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02-Jan-26\"/>
    </mc:Choice>
  </mc:AlternateContent>
  <bookViews>
    <workbookView xWindow="0" yWindow="0" windowWidth="24000" windowHeight="963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Data Vlaue (Cr)" sheetId="1" r:id="rId16"/>
    <sheet name="Data shares" sheetId="4" r:id="rId17"/>
    <sheet name="NIFTY GRP" sheetId="9"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6">'Data shares'!$A$1:$FA$215</definedName>
    <definedName name="Expry_Roll___20" localSheetId="17">'NIFTY GRP'!$A$1:$EY$2</definedName>
    <definedName name="fii" localSheetId="18">FII!$A$1:$N$16</definedName>
    <definedName name="_xlnm.Print_Area" localSheetId="14">Disclaimar!$A$1:$A$24</definedName>
    <definedName name="stats__2" localSheetId="15">'Data Vlaue (Cr)'!$A$1:$FB$215</definedName>
  </definedNames>
  <calcPr calcId="162913"/>
</workbook>
</file>

<file path=xl/calcChain.xml><?xml version="1.0" encoding="utf-8"?>
<calcChain xmlns="http://schemas.openxmlformats.org/spreadsheetml/2006/main">
  <c r="J3" i="21" l="1"/>
  <c r="J4" i="21"/>
  <c r="L4" i="21" l="1"/>
  <c r="L3" i="21"/>
  <c r="A148" i="14"/>
  <c r="F62" i="18" l="1"/>
  <c r="F94" i="18" l="1"/>
  <c r="F58" i="18"/>
  <c r="F126" i="18"/>
  <c r="F47" i="18"/>
  <c r="F200" i="18"/>
  <c r="F165" i="18"/>
  <c r="F110" i="18"/>
  <c r="F21" i="18"/>
  <c r="F205" i="18"/>
  <c r="F51" i="18"/>
  <c r="F61" i="18"/>
  <c r="F112" i="18"/>
  <c r="F68" i="18"/>
  <c r="F26" i="18"/>
  <c r="F124" i="18"/>
  <c r="F76" i="18"/>
  <c r="F142" i="18"/>
  <c r="F82" i="18"/>
  <c r="F87" i="18"/>
  <c r="F102" i="18"/>
  <c r="F83" i="18"/>
  <c r="F115" i="18"/>
  <c r="F154" i="18"/>
  <c r="F48" i="18"/>
  <c r="F33" i="18"/>
  <c r="F107" i="18"/>
  <c r="F183" i="18"/>
  <c r="F9" i="18"/>
  <c r="F146" i="18"/>
  <c r="F187" i="18"/>
  <c r="F137" i="18"/>
  <c r="F169" i="18"/>
  <c r="F49" i="18"/>
  <c r="F118" i="18"/>
  <c r="F131" i="18"/>
  <c r="F194" i="18"/>
  <c r="F191" i="18"/>
  <c r="F128" i="18"/>
  <c r="F145" i="18"/>
  <c r="F199" i="18"/>
  <c r="F103" i="18"/>
  <c r="F16" i="18"/>
  <c r="F17" i="18"/>
  <c r="F42" i="18"/>
  <c r="F28" i="18"/>
  <c r="F64" i="18"/>
  <c r="F173" i="18"/>
  <c r="F40" i="18"/>
  <c r="F7" i="18"/>
  <c r="F30" i="18"/>
  <c r="F161" i="18"/>
  <c r="F56" i="18"/>
  <c r="F180" i="18"/>
  <c r="F132" i="18"/>
  <c r="F91" i="18"/>
  <c r="F109" i="18"/>
  <c r="F5" i="18"/>
  <c r="F160" i="18"/>
  <c r="F57" i="18"/>
  <c r="F66" i="18"/>
  <c r="F134" i="18"/>
  <c r="F181" i="18"/>
  <c r="F43" i="18"/>
  <c r="F129" i="18"/>
  <c r="F174" i="18"/>
  <c r="F196" i="18"/>
  <c r="F189" i="18"/>
  <c r="F119" i="18"/>
  <c r="F155" i="18"/>
  <c r="F138" i="18"/>
  <c r="F80" i="18"/>
  <c r="F156" i="18"/>
  <c r="F203" i="18"/>
  <c r="F46" i="18"/>
  <c r="F31" i="18"/>
  <c r="F175" i="18"/>
  <c r="F135" i="18"/>
  <c r="F29" i="18"/>
  <c r="F168" i="18"/>
  <c r="F171" i="18"/>
  <c r="F88" i="18"/>
  <c r="F182" i="18"/>
  <c r="F117" i="18"/>
  <c r="F95" i="18"/>
  <c r="F20" i="18"/>
  <c r="F13" i="18"/>
  <c r="F98" i="18"/>
  <c r="F212" i="18"/>
  <c r="F162" i="18"/>
  <c r="F97" i="18"/>
  <c r="F34" i="18"/>
  <c r="F10" i="18"/>
  <c r="F202" i="18"/>
  <c r="F24" i="18"/>
  <c r="F172" i="18"/>
  <c r="F8" i="18"/>
  <c r="F93" i="18"/>
  <c r="F197" i="18"/>
  <c r="F204" i="18"/>
  <c r="F105" i="18"/>
  <c r="F127" i="18"/>
  <c r="F85" i="18"/>
  <c r="F176" i="18"/>
  <c r="F60" i="18"/>
  <c r="F188" i="18"/>
  <c r="F208" i="18"/>
  <c r="F170" i="18"/>
  <c r="F72" i="18"/>
  <c r="F70" i="18"/>
  <c r="F192" i="18"/>
  <c r="F143" i="18"/>
  <c r="F67" i="18"/>
  <c r="F73" i="18"/>
  <c r="F163" i="18"/>
  <c r="F38" i="18"/>
  <c r="F101" i="18"/>
  <c r="F74" i="18"/>
  <c r="F84" i="18"/>
  <c r="F122" i="18"/>
  <c r="F211" i="18"/>
  <c r="F166" i="18"/>
  <c r="F130" i="18"/>
  <c r="F150" i="18"/>
  <c r="F158" i="18"/>
  <c r="F120" i="18"/>
  <c r="F69" i="18"/>
  <c r="F116" i="18"/>
  <c r="F65" i="18"/>
  <c r="F53" i="18"/>
  <c r="F19" i="18"/>
  <c r="F151" i="18"/>
  <c r="F12" i="18"/>
  <c r="F22" i="18"/>
  <c r="F78" i="18"/>
  <c r="F178" i="18"/>
  <c r="F50" i="18"/>
  <c r="F59" i="18"/>
  <c r="F23" i="18"/>
  <c r="F11" i="18"/>
  <c r="F96" i="18"/>
  <c r="F71" i="18"/>
  <c r="F77" i="18"/>
  <c r="F141" i="18"/>
  <c r="F157" i="18"/>
  <c r="F121" i="18"/>
  <c r="F210" i="18"/>
  <c r="F81" i="18"/>
  <c r="F133" i="18"/>
  <c r="F153" i="18"/>
  <c r="F114" i="18"/>
  <c r="F185" i="18"/>
  <c r="F164" i="18"/>
  <c r="F45" i="18"/>
  <c r="F36" i="18"/>
  <c r="F37" i="18"/>
  <c r="F209" i="18"/>
  <c r="F184" i="18"/>
  <c r="F35" i="18"/>
  <c r="F149" i="18"/>
  <c r="F6" i="18"/>
  <c r="F159" i="18"/>
  <c r="F100" i="18"/>
  <c r="F207" i="18"/>
  <c r="F125" i="18"/>
  <c r="F90" i="18"/>
  <c r="F206" i="18"/>
  <c r="F195" i="18"/>
  <c r="F14" i="18"/>
  <c r="F32" i="18"/>
  <c r="F89" i="18"/>
  <c r="F111" i="18"/>
  <c r="F177" i="18"/>
  <c r="F193" i="18"/>
  <c r="F52" i="18"/>
  <c r="F186" i="18"/>
  <c r="F41" i="18"/>
  <c r="F104" i="18"/>
  <c r="F113" i="18"/>
  <c r="F39" i="18"/>
  <c r="F190" i="18"/>
  <c r="F198" i="18"/>
  <c r="F140" i="18"/>
  <c r="F25" i="18"/>
  <c r="F86" i="18"/>
  <c r="F201" i="18"/>
  <c r="F44" i="18"/>
  <c r="F75" i="18"/>
  <c r="F136" i="18"/>
  <c r="F152" i="18"/>
  <c r="F108" i="18"/>
  <c r="F15" i="18"/>
  <c r="F106" i="18"/>
  <c r="F148" i="18"/>
  <c r="F92" i="18"/>
  <c r="F144" i="18"/>
  <c r="F167" i="18"/>
  <c r="F179" i="18"/>
  <c r="F63" i="18"/>
  <c r="F27" i="18"/>
  <c r="F18" i="18"/>
  <c r="F55" i="18"/>
  <c r="F139" i="18"/>
  <c r="F123" i="18"/>
  <c r="F99" i="18"/>
  <c r="F54" i="18"/>
  <c r="F79" i="18"/>
  <c r="E75"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15" i="18"/>
  <c r="E175" i="18"/>
  <c r="E28" i="18"/>
  <c r="E26" i="18"/>
  <c r="E88" i="18"/>
  <c r="E144" i="18"/>
  <c r="E129" i="18"/>
  <c r="E140" i="18"/>
  <c r="E132" i="18"/>
  <c r="E117" i="18"/>
  <c r="E34" i="18"/>
  <c r="E57" i="18"/>
  <c r="E116" i="18"/>
  <c r="E156" i="18"/>
  <c r="E106" i="18"/>
  <c r="E80" i="18"/>
  <c r="E195" i="18"/>
  <c r="E197" i="18"/>
  <c r="E87" i="18"/>
  <c r="E54" i="18"/>
  <c r="E150" i="18"/>
  <c r="E201" i="18"/>
  <c r="E103" i="18"/>
  <c r="E94" i="18"/>
  <c r="E25" i="18"/>
  <c r="E14" i="18"/>
  <c r="E157" i="18"/>
  <c r="E209" i="18"/>
  <c r="E73" i="18"/>
  <c r="E186" i="18"/>
  <c r="E208" i="18"/>
  <c r="E181" i="18"/>
  <c r="E8" i="18"/>
  <c r="E120" i="18"/>
  <c r="E200" i="18"/>
  <c r="E202" i="18"/>
  <c r="E22" i="18"/>
  <c r="E109" i="18"/>
  <c r="E93" i="18"/>
  <c r="E79" i="18"/>
  <c r="E188" i="18"/>
  <c r="E166" i="18"/>
  <c r="E5" i="18"/>
  <c r="E143" i="18"/>
  <c r="E191" i="18"/>
  <c r="E198" i="18"/>
  <c r="E16" i="18"/>
  <c r="E33" i="18"/>
  <c r="E17" i="18"/>
  <c r="E42" i="18"/>
  <c r="E196" i="18"/>
  <c r="E64" i="18"/>
  <c r="E136" i="18"/>
  <c r="E74" i="18"/>
  <c r="E113" i="18"/>
  <c r="E170" i="18"/>
  <c r="E192" i="18"/>
  <c r="E95" i="18"/>
  <c r="E101" i="18"/>
  <c r="E38" i="18"/>
  <c r="E193" i="18"/>
  <c r="E146" i="18"/>
  <c r="E11" i="18"/>
  <c r="E20" i="18"/>
  <c r="E86" i="18"/>
  <c r="E212" i="18"/>
  <c r="E182" i="18"/>
  <c r="E27" i="18"/>
  <c r="E133" i="18"/>
  <c r="E161" i="18"/>
  <c r="E180" i="18"/>
  <c r="E141" i="18"/>
  <c r="E183" i="18"/>
  <c r="E35" i="18"/>
  <c r="E39" i="18"/>
  <c r="E165" i="18"/>
  <c r="E108" i="18"/>
  <c r="E152" i="18"/>
  <c r="E102" i="18"/>
  <c r="E67" i="18"/>
  <c r="E121" i="18"/>
  <c r="E135" i="18"/>
  <c r="E43" i="18"/>
  <c r="E49" i="18"/>
  <c r="E55" i="18"/>
  <c r="E91" i="18"/>
  <c r="E105" i="18"/>
  <c r="E51" i="18"/>
  <c r="E107" i="18"/>
  <c r="E130" i="18"/>
  <c r="E169" i="18"/>
  <c r="E194" i="18"/>
  <c r="E6" i="18"/>
  <c r="E176" i="18"/>
  <c r="E174" i="18"/>
  <c r="E162" i="18"/>
  <c r="E99" i="18"/>
  <c r="E155" i="18"/>
  <c r="E160" i="18"/>
  <c r="E59" i="18"/>
  <c r="E127" i="18"/>
  <c r="E23" i="18"/>
  <c r="E92" i="18"/>
  <c r="E137" i="18"/>
  <c r="E131" i="18"/>
  <c r="E10" i="18"/>
  <c r="E126" i="18"/>
  <c r="E207" i="18"/>
  <c r="E12" i="18"/>
  <c r="E189" i="18"/>
  <c r="E177" i="18"/>
  <c r="E118" i="18"/>
  <c r="E32" i="18"/>
  <c r="E142" i="18"/>
  <c r="E173" i="18"/>
  <c r="E122" i="18"/>
  <c r="E119" i="18"/>
  <c r="E97" i="18"/>
  <c r="E90" i="18"/>
  <c r="E60" i="18"/>
  <c r="E211" i="18"/>
  <c r="E47" i="18"/>
  <c r="E44" i="18"/>
  <c r="E138" i="18"/>
  <c r="E48" i="18"/>
  <c r="E179" i="18"/>
  <c r="E172" i="18"/>
  <c r="E19" i="18"/>
  <c r="E112" i="18"/>
  <c r="E149" i="18"/>
  <c r="E163" i="18"/>
  <c r="E18" i="18"/>
  <c r="E72" i="18"/>
  <c r="E206" i="18"/>
  <c r="E168" i="18"/>
  <c r="E69" i="18"/>
  <c r="E98" i="18"/>
  <c r="E147" i="18"/>
  <c r="F147" i="18"/>
  <c r="E24" i="18"/>
  <c r="E58" i="18"/>
  <c r="E158" i="18"/>
  <c r="E46" i="18"/>
  <c r="E139" i="18"/>
  <c r="E61" i="18"/>
  <c r="E203" i="18"/>
  <c r="E50" i="18"/>
  <c r="E210" i="18"/>
  <c r="E45" i="18"/>
  <c r="E151" i="18"/>
  <c r="E78" i="18"/>
  <c r="E185" i="18"/>
  <c r="E134" i="18"/>
  <c r="E66" i="18"/>
  <c r="E178" i="18"/>
  <c r="E37" i="18"/>
  <c r="E204" i="18"/>
  <c r="E171" i="18"/>
  <c r="E77" i="18"/>
  <c r="E96" i="18"/>
  <c r="E71" i="18"/>
  <c r="E31" i="18"/>
  <c r="E70" i="18"/>
  <c r="E9" i="18"/>
  <c r="E159" i="18"/>
  <c r="E82" i="18"/>
  <c r="E63" i="18"/>
  <c r="E52" i="18"/>
  <c r="E36" i="18"/>
  <c r="E7" i="18"/>
  <c r="E123" i="18"/>
  <c r="E199" i="18"/>
  <c r="E125" i="18"/>
  <c r="E81" i="18"/>
  <c r="E76" i="18"/>
  <c r="E85" i="18"/>
  <c r="E145" i="18"/>
  <c r="E114" i="18"/>
  <c r="E205" i="18"/>
  <c r="E110" i="18"/>
  <c r="E83" i="18"/>
  <c r="E153" i="18"/>
  <c r="E187" i="18"/>
  <c r="E68" i="18"/>
  <c r="E164" i="18"/>
  <c r="E29" i="18"/>
  <c r="E128" i="18"/>
  <c r="E21" i="18"/>
  <c r="E111" i="18"/>
  <c r="E56" i="18"/>
  <c r="E89" i="18"/>
  <c r="E65" i="18"/>
  <c r="E13" i="18"/>
  <c r="E190" i="18"/>
  <c r="E148" i="18"/>
  <c r="E100" i="18"/>
  <c r="E40" i="18"/>
  <c r="E15" i="18"/>
  <c r="A7" i="14"/>
  <c r="C7" i="14" s="1"/>
  <c r="A8" i="14"/>
  <c r="B8" i="14" s="1"/>
  <c r="A9" i="14"/>
  <c r="B9" i="14" s="1"/>
  <c r="A10" i="14"/>
  <c r="C10" i="14" s="1"/>
  <c r="A11" i="14"/>
  <c r="C11" i="14" s="1"/>
  <c r="A12" i="14"/>
  <c r="B12" i="14" s="1"/>
  <c r="A13" i="14"/>
  <c r="D13" i="14" s="1"/>
  <c r="A14" i="14"/>
  <c r="C14" i="14" s="1"/>
  <c r="A15" i="14"/>
  <c r="C15" i="14" s="1"/>
  <c r="A16" i="14"/>
  <c r="B16" i="14" s="1"/>
  <c r="A17" i="14"/>
  <c r="D17" i="14" s="1"/>
  <c r="A18" i="14"/>
  <c r="C18" i="14" s="1"/>
  <c r="A19" i="14"/>
  <c r="C19" i="14" s="1"/>
  <c r="A20" i="14"/>
  <c r="B20" i="14" s="1"/>
  <c r="A21" i="14"/>
  <c r="D21" i="14" s="1"/>
  <c r="A22" i="14"/>
  <c r="A23" i="14"/>
  <c r="C23" i="14" s="1"/>
  <c r="A24" i="14"/>
  <c r="C24" i="14" s="1"/>
  <c r="A25" i="14"/>
  <c r="D25" i="14" s="1"/>
  <c r="A26" i="14"/>
  <c r="C26" i="14" s="1"/>
  <c r="A27" i="14"/>
  <c r="C27" i="14" s="1"/>
  <c r="A28" i="14"/>
  <c r="C28" i="14" s="1"/>
  <c r="A29" i="14"/>
  <c r="C29" i="14" s="1"/>
  <c r="A30" i="14"/>
  <c r="E30" i="14" s="1"/>
  <c r="A31" i="14"/>
  <c r="C31" i="14" s="1"/>
  <c r="A32" i="14"/>
  <c r="C32" i="14" s="1"/>
  <c r="A33" i="14"/>
  <c r="C33" i="14" s="1"/>
  <c r="A34" i="14"/>
  <c r="C34" i="14" s="1"/>
  <c r="A35" i="14"/>
  <c r="C35" i="14" s="1"/>
  <c r="A36" i="14"/>
  <c r="A37" i="14"/>
  <c r="D37" i="14" s="1"/>
  <c r="A38" i="14"/>
  <c r="A39" i="14"/>
  <c r="C39" i="14" s="1"/>
  <c r="A40" i="14"/>
  <c r="C40" i="14" s="1"/>
  <c r="A41" i="14"/>
  <c r="B41" i="14" s="1"/>
  <c r="A42" i="14"/>
  <c r="C42" i="14" s="1"/>
  <c r="A43" i="14"/>
  <c r="F43" i="14" s="1"/>
  <c r="A44" i="14"/>
  <c r="E44" i="14" s="1"/>
  <c r="A45" i="14"/>
  <c r="A46" i="14"/>
  <c r="E46" i="14" s="1"/>
  <c r="A47" i="14"/>
  <c r="F47" i="14" s="1"/>
  <c r="A48" i="14"/>
  <c r="D48" i="14" s="1"/>
  <c r="A49" i="14"/>
  <c r="C49" i="14" s="1"/>
  <c r="A50" i="14"/>
  <c r="E50" i="14" s="1"/>
  <c r="A51" i="14"/>
  <c r="C51" i="14" s="1"/>
  <c r="A52" i="14"/>
  <c r="D52" i="14" s="1"/>
  <c r="A53" i="14"/>
  <c r="D53" i="14" s="1"/>
  <c r="A54" i="14"/>
  <c r="C54" i="14" s="1"/>
  <c r="A55" i="14"/>
  <c r="C55" i="14" s="1"/>
  <c r="A56" i="14"/>
  <c r="D56" i="14" s="1"/>
  <c r="A57" i="14"/>
  <c r="D57" i="14" s="1"/>
  <c r="A58" i="14"/>
  <c r="A59" i="14"/>
  <c r="C59" i="14" s="1"/>
  <c r="A60" i="14"/>
  <c r="D60" i="14" s="1"/>
  <c r="A61" i="14"/>
  <c r="C61" i="14" s="1"/>
  <c r="A62" i="14"/>
  <c r="C62" i="14" s="1"/>
  <c r="A63" i="14"/>
  <c r="C63" i="14" s="1"/>
  <c r="A64" i="14"/>
  <c r="A65" i="14"/>
  <c r="C65" i="14" s="1"/>
  <c r="A66" i="14"/>
  <c r="C66" i="14" s="1"/>
  <c r="A67" i="14"/>
  <c r="C67" i="14" s="1"/>
  <c r="A68" i="14"/>
  <c r="A69" i="14"/>
  <c r="C69" i="14" s="1"/>
  <c r="A70" i="14"/>
  <c r="C70" i="14" s="1"/>
  <c r="A71" i="14"/>
  <c r="C71" i="14" s="1"/>
  <c r="A72" i="14"/>
  <c r="A73" i="14"/>
  <c r="C73" i="14" s="1"/>
  <c r="A74" i="14"/>
  <c r="C74" i="14" s="1"/>
  <c r="A75" i="14"/>
  <c r="C75" i="14" s="1"/>
  <c r="A76" i="14"/>
  <c r="A77" i="14"/>
  <c r="C77" i="14" s="1"/>
  <c r="A78" i="14"/>
  <c r="C78" i="14" s="1"/>
  <c r="A79" i="14"/>
  <c r="C79" i="14" s="1"/>
  <c r="A80" i="14"/>
  <c r="A81" i="14"/>
  <c r="E81" i="14" s="1"/>
  <c r="A82" i="14"/>
  <c r="E82" i="14" s="1"/>
  <c r="A83" i="14"/>
  <c r="F83" i="14" s="1"/>
  <c r="A84" i="14"/>
  <c r="B84" i="14" s="1"/>
  <c r="A85" i="14"/>
  <c r="E85" i="14" s="1"/>
  <c r="A86" i="14"/>
  <c r="C86" i="14" s="1"/>
  <c r="A87" i="14"/>
  <c r="C87" i="14" s="1"/>
  <c r="A88" i="14"/>
  <c r="C88" i="14" s="1"/>
  <c r="A89" i="14"/>
  <c r="D89" i="14" s="1"/>
  <c r="A90" i="14"/>
  <c r="A91" i="14"/>
  <c r="C91" i="14" s="1"/>
  <c r="A92" i="14"/>
  <c r="C92" i="14" s="1"/>
  <c r="A93" i="14"/>
  <c r="D93" i="14" s="1"/>
  <c r="A94" i="14"/>
  <c r="C94" i="14" s="1"/>
  <c r="A95" i="14"/>
  <c r="C95" i="14" s="1"/>
  <c r="A96" i="14"/>
  <c r="C96" i="14" s="1"/>
  <c r="A97" i="14"/>
  <c r="D97" i="14" s="1"/>
  <c r="A98" i="14"/>
  <c r="C98" i="14" s="1"/>
  <c r="A99" i="14"/>
  <c r="C99" i="14" s="1"/>
  <c r="A100" i="14"/>
  <c r="C100" i="14" s="1"/>
  <c r="A101" i="14"/>
  <c r="E101" i="14" s="1"/>
  <c r="A102" i="14"/>
  <c r="C102" i="14" s="1"/>
  <c r="A103" i="14"/>
  <c r="C103" i="14" s="1"/>
  <c r="A104" i="14"/>
  <c r="C104" i="14" s="1"/>
  <c r="A105" i="14"/>
  <c r="D105" i="14" s="1"/>
  <c r="A106" i="14"/>
  <c r="A107" i="14"/>
  <c r="C107" i="14" s="1"/>
  <c r="A108" i="14"/>
  <c r="C108" i="14" s="1"/>
  <c r="A109" i="14"/>
  <c r="B109" i="14" s="1"/>
  <c r="A110" i="14"/>
  <c r="A111" i="14"/>
  <c r="C111" i="14" s="1"/>
  <c r="A112" i="14"/>
  <c r="C112" i="14" s="1"/>
  <c r="A113" i="14"/>
  <c r="D113" i="14" s="1"/>
  <c r="A114" i="14"/>
  <c r="C114" i="14" s="1"/>
  <c r="A115" i="14"/>
  <c r="C115" i="14" s="1"/>
  <c r="A116" i="14"/>
  <c r="A117" i="14"/>
  <c r="C117" i="14" s="1"/>
  <c r="A118" i="14"/>
  <c r="C118" i="14" s="1"/>
  <c r="A119" i="14"/>
  <c r="C119" i="14" s="1"/>
  <c r="A120" i="14"/>
  <c r="C120" i="14" s="1"/>
  <c r="A121" i="14"/>
  <c r="A122" i="14"/>
  <c r="A123" i="14"/>
  <c r="C123" i="14" s="1"/>
  <c r="A124" i="14"/>
  <c r="C124" i="14" s="1"/>
  <c r="A125" i="14"/>
  <c r="C125" i="14" s="1"/>
  <c r="A126" i="14"/>
  <c r="C126" i="14" s="1"/>
  <c r="A127" i="14"/>
  <c r="C127" i="14" s="1"/>
  <c r="A128" i="14"/>
  <c r="A129" i="14"/>
  <c r="B129" i="14" s="1"/>
  <c r="A130" i="14"/>
  <c r="C130" i="14" s="1"/>
  <c r="A131" i="14"/>
  <c r="D131" i="14" s="1"/>
  <c r="A132" i="14"/>
  <c r="A133" i="14"/>
  <c r="C133" i="14" s="1"/>
  <c r="A134" i="14"/>
  <c r="A135" i="14"/>
  <c r="D135" i="14" s="1"/>
  <c r="A136" i="14"/>
  <c r="D136" i="14" s="1"/>
  <c r="A137" i="14"/>
  <c r="C137" i="14" s="1"/>
  <c r="A138" i="14"/>
  <c r="C138" i="14" s="1"/>
  <c r="A139" i="14"/>
  <c r="C139" i="14" s="1"/>
  <c r="A140" i="14"/>
  <c r="C140" i="14" s="1"/>
  <c r="A141" i="14"/>
  <c r="C141" i="14" s="1"/>
  <c r="A142" i="14"/>
  <c r="C142" i="14" s="1"/>
  <c r="A143" i="14"/>
  <c r="E143" i="14" s="1"/>
  <c r="A144" i="14"/>
  <c r="F144" i="14" s="1"/>
  <c r="A145" i="14"/>
  <c r="A146" i="14"/>
  <c r="A147" i="14"/>
  <c r="D148" i="14"/>
  <c r="A149" i="14"/>
  <c r="D149" i="14" s="1"/>
  <c r="A150" i="14"/>
  <c r="A151" i="14"/>
  <c r="F151" i="14" s="1"/>
  <c r="A152" i="14"/>
  <c r="D152" i="14" s="1"/>
  <c r="A153" i="14"/>
  <c r="C153" i="14" s="1"/>
  <c r="A154" i="14"/>
  <c r="A155" i="14"/>
  <c r="A156" i="14"/>
  <c r="D156" i="14" s="1"/>
  <c r="A157" i="14"/>
  <c r="C157" i="14" s="1"/>
  <c r="A158" i="14"/>
  <c r="C158" i="14" s="1"/>
  <c r="A159" i="14"/>
  <c r="B159" i="14" s="1"/>
  <c r="A160" i="14"/>
  <c r="D160" i="14" s="1"/>
  <c r="A161" i="14"/>
  <c r="D161" i="14" s="1"/>
  <c r="A162" i="14"/>
  <c r="A163" i="14"/>
  <c r="A164" i="14"/>
  <c r="A165" i="14"/>
  <c r="B165" i="14" s="1"/>
  <c r="A166" i="14"/>
  <c r="A167" i="14"/>
  <c r="D167" i="14" s="1"/>
  <c r="A168" i="14"/>
  <c r="F168" i="14" s="1"/>
  <c r="A169" i="14"/>
  <c r="C169" i="14" s="1"/>
  <c r="A170" i="14"/>
  <c r="A171" i="14"/>
  <c r="C171" i="14" s="1"/>
  <c r="A172" i="14"/>
  <c r="C172" i="14" s="1"/>
  <c r="A173" i="14"/>
  <c r="E173" i="14" s="1"/>
  <c r="A174" i="14"/>
  <c r="E174" i="14" s="1"/>
  <c r="A175" i="14"/>
  <c r="E175" i="14" s="1"/>
  <c r="A176" i="14"/>
  <c r="E176" i="14" s="1"/>
  <c r="A177" i="14"/>
  <c r="E177" i="14" s="1"/>
  <c r="A178" i="14"/>
  <c r="C178" i="14" s="1"/>
  <c r="A179" i="14"/>
  <c r="A180" i="14"/>
  <c r="C180" i="14" s="1"/>
  <c r="A181" i="14"/>
  <c r="A182" i="14"/>
  <c r="E182" i="14" s="1"/>
  <c r="A183" i="14"/>
  <c r="B183" i="14" s="1"/>
  <c r="A184" i="14"/>
  <c r="C184" i="14" s="1"/>
  <c r="A185" i="14"/>
  <c r="F185" i="14" s="1"/>
  <c r="A186" i="14"/>
  <c r="C186" i="14" s="1"/>
  <c r="A187" i="14"/>
  <c r="B187" i="14" s="1"/>
  <c r="A188" i="14"/>
  <c r="C188" i="14" s="1"/>
  <c r="A189" i="14"/>
  <c r="D189" i="14" s="1"/>
  <c r="A6" i="13"/>
  <c r="C6" i="13" s="1"/>
  <c r="A7" i="13"/>
  <c r="D7" i="13" s="1"/>
  <c r="A8" i="13"/>
  <c r="C8" i="13" s="1"/>
  <c r="A9" i="13"/>
  <c r="D9" i="13" s="1"/>
  <c r="A10" i="13"/>
  <c r="A11" i="13"/>
  <c r="D11" i="13" s="1"/>
  <c r="A12" i="13"/>
  <c r="C12" i="13" s="1"/>
  <c r="A13" i="13"/>
  <c r="D13" i="13" s="1"/>
  <c r="A14" i="13"/>
  <c r="C14" i="13" s="1"/>
  <c r="A15" i="13"/>
  <c r="A16" i="13"/>
  <c r="A17" i="13"/>
  <c r="A18" i="13"/>
  <c r="C18" i="13" s="1"/>
  <c r="A19" i="13"/>
  <c r="E19" i="13" s="1"/>
  <c r="A20" i="13"/>
  <c r="E20" i="13" s="1"/>
  <c r="A21" i="13"/>
  <c r="E21" i="13" s="1"/>
  <c r="A22" i="13"/>
  <c r="C22" i="13" s="1"/>
  <c r="A23" i="13"/>
  <c r="D23" i="13" s="1"/>
  <c r="A24" i="13"/>
  <c r="C24" i="13" s="1"/>
  <c r="A25" i="13"/>
  <c r="C25" i="13" s="1"/>
  <c r="A26" i="13"/>
  <c r="A27" i="13"/>
  <c r="D27" i="13" s="1"/>
  <c r="A28" i="13"/>
  <c r="C28" i="13" s="1"/>
  <c r="A29" i="13"/>
  <c r="D29" i="13" s="1"/>
  <c r="A30" i="13"/>
  <c r="C30" i="13" s="1"/>
  <c r="A31" i="13"/>
  <c r="A32" i="13"/>
  <c r="A33" i="13"/>
  <c r="A34" i="13"/>
  <c r="C34" i="13" s="1"/>
  <c r="A35" i="13"/>
  <c r="F35" i="13" s="1"/>
  <c r="A36" i="13"/>
  <c r="D36" i="13" s="1"/>
  <c r="A37" i="13"/>
  <c r="E37" i="13" s="1"/>
  <c r="A38" i="13"/>
  <c r="D38" i="13" s="1"/>
  <c r="A39" i="13"/>
  <c r="A40" i="13"/>
  <c r="D40" i="13" s="1"/>
  <c r="A41" i="13"/>
  <c r="B41" i="13" s="1"/>
  <c r="A42" i="13"/>
  <c r="C42" i="13" s="1"/>
  <c r="A43" i="13"/>
  <c r="F43" i="13" s="1"/>
  <c r="A44" i="13"/>
  <c r="D44" i="13" s="1"/>
  <c r="A45" i="13"/>
  <c r="D45" i="13" s="1"/>
  <c r="A46" i="13"/>
  <c r="C46" i="13" s="1"/>
  <c r="A47" i="13"/>
  <c r="B47" i="13" s="1"/>
  <c r="A48" i="13"/>
  <c r="D48" i="13" s="1"/>
  <c r="A49" i="13"/>
  <c r="E49" i="13" s="1"/>
  <c r="A50" i="13"/>
  <c r="C50" i="13" s="1"/>
  <c r="A51" i="13"/>
  <c r="D51" i="13" s="1"/>
  <c r="A52" i="13"/>
  <c r="D52" i="13" s="1"/>
  <c r="A53" i="13"/>
  <c r="A54" i="13"/>
  <c r="E54" i="13" s="1"/>
  <c r="A55" i="13"/>
  <c r="D55" i="13" s="1"/>
  <c r="A56" i="13"/>
  <c r="D56" i="13" s="1"/>
  <c r="A57" i="13"/>
  <c r="A58" i="13"/>
  <c r="G58" i="13" s="1"/>
  <c r="A59" i="13"/>
  <c r="F59" i="13" s="1"/>
  <c r="A60" i="13"/>
  <c r="A61" i="13"/>
  <c r="E61" i="13" s="1"/>
  <c r="A62" i="13"/>
  <c r="D62" i="13" s="1"/>
  <c r="A63" i="13"/>
  <c r="F63" i="13" s="1"/>
  <c r="A64" i="13"/>
  <c r="F64" i="13" s="1"/>
  <c r="A65" i="13"/>
  <c r="B65" i="13" s="1"/>
  <c r="A66" i="13"/>
  <c r="D66" i="13" s="1"/>
  <c r="A67" i="13"/>
  <c r="D67" i="13" s="1"/>
  <c r="A68" i="13"/>
  <c r="C68" i="13" s="1"/>
  <c r="A69" i="13"/>
  <c r="D69" i="13" s="1"/>
  <c r="A70" i="13"/>
  <c r="D70" i="13" s="1"/>
  <c r="A71" i="13"/>
  <c r="A72" i="13"/>
  <c r="G72" i="13" s="1"/>
  <c r="A73" i="13"/>
  <c r="E73" i="13" s="1"/>
  <c r="A74" i="13"/>
  <c r="G74" i="13" s="1"/>
  <c r="A75" i="13"/>
  <c r="B75" i="13" s="1"/>
  <c r="A76" i="13"/>
  <c r="F76" i="13" s="1"/>
  <c r="A77" i="13"/>
  <c r="F77" i="13" s="1"/>
  <c r="A78" i="13"/>
  <c r="E78" i="13" s="1"/>
  <c r="A79" i="13"/>
  <c r="D79" i="13" s="1"/>
  <c r="A80" i="13"/>
  <c r="D80" i="13" s="1"/>
  <c r="A81" i="13"/>
  <c r="D81" i="13" s="1"/>
  <c r="A82" i="13"/>
  <c r="D82" i="13" s="1"/>
  <c r="A83" i="13"/>
  <c r="D83" i="13" s="1"/>
  <c r="A84" i="13"/>
  <c r="C84" i="13" s="1"/>
  <c r="A85" i="13"/>
  <c r="C85" i="13" s="1"/>
  <c r="A86" i="13"/>
  <c r="D86" i="13" s="1"/>
  <c r="A87" i="13"/>
  <c r="C87" i="13" s="1"/>
  <c r="A88" i="13"/>
  <c r="A89" i="13"/>
  <c r="E89" i="13" s="1"/>
  <c r="A90" i="13"/>
  <c r="C90" i="13" s="1"/>
  <c r="A91" i="13"/>
  <c r="C91" i="13" s="1"/>
  <c r="A92" i="13"/>
  <c r="C92" i="13" s="1"/>
  <c r="A93" i="13"/>
  <c r="E93" i="13" s="1"/>
  <c r="A94" i="13"/>
  <c r="C94" i="13" s="1"/>
  <c r="A95" i="13"/>
  <c r="C95" i="13" s="1"/>
  <c r="A96" i="13"/>
  <c r="C96" i="13" s="1"/>
  <c r="A97" i="13"/>
  <c r="A98" i="13"/>
  <c r="C98" i="13" s="1"/>
  <c r="A99" i="13"/>
  <c r="C99" i="13" s="1"/>
  <c r="A100" i="13"/>
  <c r="C100" i="13" s="1"/>
  <c r="A101" i="13"/>
  <c r="A102" i="13"/>
  <c r="F102" i="13" s="1"/>
  <c r="A103" i="13"/>
  <c r="C103" i="13" s="1"/>
  <c r="A104" i="13"/>
  <c r="C104" i="13" s="1"/>
  <c r="A105" i="13"/>
  <c r="A106" i="13"/>
  <c r="F106" i="13" s="1"/>
  <c r="A107" i="13"/>
  <c r="C107" i="13" s="1"/>
  <c r="A108" i="13"/>
  <c r="C108" i="13" s="1"/>
  <c r="A109" i="13"/>
  <c r="A110" i="13"/>
  <c r="D110" i="13" s="1"/>
  <c r="A111" i="13"/>
  <c r="C111" i="13" s="1"/>
  <c r="A112" i="13"/>
  <c r="C112" i="13" s="1"/>
  <c r="A113" i="13"/>
  <c r="A114" i="13"/>
  <c r="E114" i="13" s="1"/>
  <c r="A115" i="13"/>
  <c r="C115" i="13" s="1"/>
  <c r="A116" i="13"/>
  <c r="C116" i="13" s="1"/>
  <c r="A117" i="13"/>
  <c r="A118" i="13"/>
  <c r="B118" i="13" s="1"/>
  <c r="A119" i="13"/>
  <c r="C119" i="13" s="1"/>
  <c r="A120" i="13"/>
  <c r="A121" i="13"/>
  <c r="A122" i="13"/>
  <c r="C122" i="13" s="1"/>
  <c r="A123" i="13"/>
  <c r="G123" i="13" s="1"/>
  <c r="A124" i="13"/>
  <c r="B124" i="13" s="1"/>
  <c r="A125" i="13"/>
  <c r="A126" i="13"/>
  <c r="D126" i="13" s="1"/>
  <c r="A127" i="13"/>
  <c r="C127" i="13" s="1"/>
  <c r="A128" i="13"/>
  <c r="F128" i="13" s="1"/>
  <c r="A129" i="13"/>
  <c r="D129" i="13" s="1"/>
  <c r="A130" i="13"/>
  <c r="B130" i="13" s="1"/>
  <c r="A131" i="13"/>
  <c r="A132" i="13"/>
  <c r="A133" i="13"/>
  <c r="E133" i="13" s="1"/>
  <c r="A134" i="13"/>
  <c r="B134" i="13" s="1"/>
  <c r="A135" i="13"/>
  <c r="C135" i="13" s="1"/>
  <c r="A136" i="13"/>
  <c r="A137" i="13"/>
  <c r="A138" i="13"/>
  <c r="B138" i="13" s="1"/>
  <c r="A139" i="13"/>
  <c r="A140" i="13"/>
  <c r="A141" i="13"/>
  <c r="F141" i="13" s="1"/>
  <c r="A142" i="13"/>
  <c r="E142" i="13" s="1"/>
  <c r="A143" i="13"/>
  <c r="A144" i="13"/>
  <c r="D144" i="13" s="1"/>
  <c r="A145" i="13"/>
  <c r="A146" i="13"/>
  <c r="C146" i="13" s="1"/>
  <c r="A147" i="13"/>
  <c r="E147" i="13" s="1"/>
  <c r="A148" i="13"/>
  <c r="F148" i="13" s="1"/>
  <c r="A149" i="13"/>
  <c r="A150" i="13"/>
  <c r="A151" i="13"/>
  <c r="A152" i="13"/>
  <c r="E152" i="13" s="1"/>
  <c r="A153" i="13"/>
  <c r="F153" i="13" s="1"/>
  <c r="A154" i="13"/>
  <c r="C154" i="13" s="1"/>
  <c r="A155" i="13"/>
  <c r="D155" i="13" s="1"/>
  <c r="A156" i="13"/>
  <c r="B156" i="13" s="1"/>
  <c r="A157" i="13"/>
  <c r="A158" i="13"/>
  <c r="A159" i="13"/>
  <c r="C159" i="13" s="1"/>
  <c r="A160" i="13"/>
  <c r="D160" i="13" s="1"/>
  <c r="A161" i="13"/>
  <c r="A162" i="13"/>
  <c r="C162" i="13" s="1"/>
  <c r="A163" i="13"/>
  <c r="E163" i="13" s="1"/>
  <c r="A164" i="13"/>
  <c r="F164" i="13" s="1"/>
  <c r="A165" i="13"/>
  <c r="F165" i="13" s="1"/>
  <c r="A166" i="13"/>
  <c r="C166" i="13" s="1"/>
  <c r="A167" i="13"/>
  <c r="A168" i="13"/>
  <c r="A169" i="13"/>
  <c r="A170" i="13"/>
  <c r="E170" i="13" s="1"/>
  <c r="A171" i="13"/>
  <c r="G171" i="13" s="1"/>
  <c r="A172" i="13"/>
  <c r="F172" i="13" s="1"/>
  <c r="A173" i="13"/>
  <c r="G173" i="13" s="1"/>
  <c r="A174" i="13"/>
  <c r="E174" i="13" s="1"/>
  <c r="A175" i="13"/>
  <c r="D175" i="13" s="1"/>
  <c r="A176" i="13"/>
  <c r="A177" i="13"/>
  <c r="G177" i="13" s="1"/>
  <c r="A178" i="13"/>
  <c r="D178" i="13" s="1"/>
  <c r="A179" i="13"/>
  <c r="A180" i="13"/>
  <c r="E180" i="13" s="1"/>
  <c r="A181" i="13"/>
  <c r="A182" i="13"/>
  <c r="A183" i="13"/>
  <c r="A184" i="13"/>
  <c r="F184" i="13" s="1"/>
  <c r="A185" i="13"/>
  <c r="C185" i="13" s="1"/>
  <c r="A186" i="13"/>
  <c r="E186" i="13" s="1"/>
  <c r="A187" i="13"/>
  <c r="C187" i="13" s="1"/>
  <c r="A188" i="13"/>
  <c r="D188" i="13" s="1"/>
  <c r="A206" i="13"/>
  <c r="A7" i="12"/>
  <c r="D7" i="12" s="1"/>
  <c r="A8" i="12"/>
  <c r="C8" i="12" s="1"/>
  <c r="A9" i="12"/>
  <c r="A10" i="12"/>
  <c r="G10" i="12" s="1"/>
  <c r="A11" i="12"/>
  <c r="D11" i="12" s="1"/>
  <c r="A12" i="12"/>
  <c r="A13" i="12"/>
  <c r="F13" i="12" s="1"/>
  <c r="A14" i="12"/>
  <c r="A15" i="12"/>
  <c r="F15" i="12" s="1"/>
  <c r="A16" i="12"/>
  <c r="C16" i="12" s="1"/>
  <c r="A17" i="12"/>
  <c r="C17" i="12" s="1"/>
  <c r="A18" i="12"/>
  <c r="A19" i="12"/>
  <c r="F19" i="12" s="1"/>
  <c r="A20" i="12"/>
  <c r="C20" i="12" s="1"/>
  <c r="A21" i="12"/>
  <c r="D21" i="12" s="1"/>
  <c r="A22" i="12"/>
  <c r="G22" i="12" s="1"/>
  <c r="A23" i="12"/>
  <c r="A24" i="12"/>
  <c r="C24" i="12" s="1"/>
  <c r="A25" i="12"/>
  <c r="E25" i="12" s="1"/>
  <c r="A26" i="12"/>
  <c r="A27" i="12"/>
  <c r="C27" i="12" s="1"/>
  <c r="A28" i="12"/>
  <c r="A29" i="12"/>
  <c r="F29" i="12" s="1"/>
  <c r="A30" i="12"/>
  <c r="C30" i="12" s="1"/>
  <c r="A31" i="12"/>
  <c r="C31" i="12" s="1"/>
  <c r="A32" i="12"/>
  <c r="C32" i="12" s="1"/>
  <c r="A33" i="12"/>
  <c r="A34" i="12"/>
  <c r="G34" i="12" s="1"/>
  <c r="A35" i="12"/>
  <c r="A36" i="12"/>
  <c r="B36" i="12" s="1"/>
  <c r="A37" i="12"/>
  <c r="A38" i="12"/>
  <c r="D38" i="12" s="1"/>
  <c r="A39" i="12"/>
  <c r="E39" i="12" s="1"/>
  <c r="A40" i="12"/>
  <c r="C40" i="12" s="1"/>
  <c r="A41" i="12"/>
  <c r="A42" i="12"/>
  <c r="A43" i="12"/>
  <c r="B43" i="12" s="1"/>
  <c r="A44" i="12"/>
  <c r="A45" i="12"/>
  <c r="B45" i="12" s="1"/>
  <c r="A46" i="12"/>
  <c r="E46" i="12" s="1"/>
  <c r="A47" i="12"/>
  <c r="D47" i="12" s="1"/>
  <c r="A48" i="12"/>
  <c r="A49" i="12"/>
  <c r="B49" i="12" s="1"/>
  <c r="A50" i="12"/>
  <c r="G50" i="12" s="1"/>
  <c r="A51" i="12"/>
  <c r="D51" i="12" s="1"/>
  <c r="A52" i="12"/>
  <c r="F52" i="12" s="1"/>
  <c r="A53" i="12"/>
  <c r="B53" i="12" s="1"/>
  <c r="A54" i="12"/>
  <c r="D54" i="12" s="1"/>
  <c r="A55" i="12"/>
  <c r="B55" i="12" s="1"/>
  <c r="A56" i="12"/>
  <c r="A57" i="12"/>
  <c r="C57" i="12" s="1"/>
  <c r="A58" i="12"/>
  <c r="A59" i="12"/>
  <c r="D59" i="12" s="1"/>
  <c r="A60" i="12"/>
  <c r="A61" i="12"/>
  <c r="B61" i="12" s="1"/>
  <c r="A62" i="12"/>
  <c r="A63" i="12"/>
  <c r="D63" i="12" s="1"/>
  <c r="A64" i="12"/>
  <c r="B64" i="12" s="1"/>
  <c r="A65" i="12"/>
  <c r="C65" i="12" s="1"/>
  <c r="A66" i="12"/>
  <c r="D66" i="12" s="1"/>
  <c r="A67" i="12"/>
  <c r="F67" i="12" s="1"/>
  <c r="A68" i="12"/>
  <c r="C68" i="12" s="1"/>
  <c r="A69" i="12"/>
  <c r="C69" i="12" s="1"/>
  <c r="A70" i="12"/>
  <c r="D70" i="12" s="1"/>
  <c r="A71" i="12"/>
  <c r="E71" i="12" s="1"/>
  <c r="A72" i="12"/>
  <c r="D72" i="12" s="1"/>
  <c r="A73" i="12"/>
  <c r="F73" i="12" s="1"/>
  <c r="A74" i="12"/>
  <c r="B74" i="12" s="1"/>
  <c r="A75" i="12"/>
  <c r="A76" i="12"/>
  <c r="F76" i="12" s="1"/>
  <c r="A77" i="12"/>
  <c r="B77" i="12" s="1"/>
  <c r="A78" i="12"/>
  <c r="C78" i="12" s="1"/>
  <c r="A79" i="12"/>
  <c r="E79" i="12" s="1"/>
  <c r="A80" i="12"/>
  <c r="A81" i="12"/>
  <c r="A82" i="12"/>
  <c r="C82" i="12" s="1"/>
  <c r="A83" i="12"/>
  <c r="F83" i="12" s="1"/>
  <c r="A84" i="12"/>
  <c r="A85" i="12"/>
  <c r="D85" i="12" s="1"/>
  <c r="A86" i="12"/>
  <c r="C86" i="12" s="1"/>
  <c r="A87" i="12"/>
  <c r="C87" i="12" s="1"/>
  <c r="A88" i="12"/>
  <c r="A89" i="12"/>
  <c r="A90" i="12"/>
  <c r="B90" i="12" s="1"/>
  <c r="A91" i="12"/>
  <c r="F91" i="12" s="1"/>
  <c r="A92" i="12"/>
  <c r="A93" i="12"/>
  <c r="A94" i="12"/>
  <c r="E94" i="12" s="1"/>
  <c r="A95" i="12"/>
  <c r="C95" i="12" s="1"/>
  <c r="A96" i="12"/>
  <c r="E96" i="12" s="1"/>
  <c r="A97" i="12"/>
  <c r="A98" i="12"/>
  <c r="G98" i="12" s="1"/>
  <c r="A99" i="12"/>
  <c r="C99" i="12" s="1"/>
  <c r="A100" i="12"/>
  <c r="C100" i="12" s="1"/>
  <c r="A101" i="12"/>
  <c r="A102" i="12"/>
  <c r="C102" i="12" s="1"/>
  <c r="A103" i="12"/>
  <c r="A104" i="12"/>
  <c r="C104" i="12" s="1"/>
  <c r="A105" i="12"/>
  <c r="E105" i="12" s="1"/>
  <c r="A106" i="12"/>
  <c r="C106" i="12" s="1"/>
  <c r="A107" i="12"/>
  <c r="C107" i="12" s="1"/>
  <c r="A108" i="12"/>
  <c r="C108" i="12" s="1"/>
  <c r="A109" i="12"/>
  <c r="C109" i="12" s="1"/>
  <c r="A110" i="12"/>
  <c r="E110" i="12" s="1"/>
  <c r="A111" i="12"/>
  <c r="C111" i="12" s="1"/>
  <c r="A112" i="12"/>
  <c r="C112" i="12" s="1"/>
  <c r="A113" i="12"/>
  <c r="D113" i="12" s="1"/>
  <c r="A114" i="12"/>
  <c r="E114" i="12" s="1"/>
  <c r="A115" i="12"/>
  <c r="C115" i="12" s="1"/>
  <c r="A116" i="12"/>
  <c r="C116" i="12" s="1"/>
  <c r="A117" i="12"/>
  <c r="F117" i="12" s="1"/>
  <c r="A118" i="12"/>
  <c r="E118" i="12" s="1"/>
  <c r="A119" i="12"/>
  <c r="E119" i="12" s="1"/>
  <c r="A120" i="12"/>
  <c r="C120" i="12" s="1"/>
  <c r="A121" i="12"/>
  <c r="D121" i="12" s="1"/>
  <c r="A122" i="12"/>
  <c r="B122" i="12" s="1"/>
  <c r="A123" i="12"/>
  <c r="C123" i="12" s="1"/>
  <c r="A124" i="12"/>
  <c r="A125" i="12"/>
  <c r="F125" i="12" s="1"/>
  <c r="A126" i="12"/>
  <c r="B126" i="12" s="1"/>
  <c r="A127" i="12"/>
  <c r="C127" i="12" s="1"/>
  <c r="A128" i="12"/>
  <c r="E128" i="12" s="1"/>
  <c r="A129" i="12"/>
  <c r="D129" i="12" s="1"/>
  <c r="A130" i="12"/>
  <c r="G130" i="12" s="1"/>
  <c r="A131" i="12"/>
  <c r="A132" i="12"/>
  <c r="C132" i="12" s="1"/>
  <c r="A133" i="12"/>
  <c r="A134" i="12"/>
  <c r="F134" i="12" s="1"/>
  <c r="A135" i="12"/>
  <c r="F135" i="12" s="1"/>
  <c r="A136" i="12"/>
  <c r="D136" i="12" s="1"/>
  <c r="A137" i="12"/>
  <c r="F137" i="12" s="1"/>
  <c r="A138" i="12"/>
  <c r="B138" i="12" s="1"/>
  <c r="A139" i="12"/>
  <c r="A140" i="12"/>
  <c r="A141" i="12"/>
  <c r="F141" i="12" s="1"/>
  <c r="A142" i="12"/>
  <c r="A143" i="12"/>
  <c r="D143" i="12" s="1"/>
  <c r="A144" i="12"/>
  <c r="E144" i="12" s="1"/>
  <c r="A145" i="12"/>
  <c r="A146" i="12"/>
  <c r="A147" i="12"/>
  <c r="E147" i="12" s="1"/>
  <c r="A148" i="12"/>
  <c r="E148" i="12" s="1"/>
  <c r="A149" i="12"/>
  <c r="C149" i="12" s="1"/>
  <c r="A150" i="12"/>
  <c r="A151" i="12"/>
  <c r="C151" i="12" s="1"/>
  <c r="A152" i="12"/>
  <c r="E152" i="12" s="1"/>
  <c r="A153" i="12"/>
  <c r="G153" i="12" s="1"/>
  <c r="A154" i="12"/>
  <c r="E154" i="12" s="1"/>
  <c r="A155" i="12"/>
  <c r="A156" i="12"/>
  <c r="C156" i="12" s="1"/>
  <c r="A157" i="12"/>
  <c r="F157" i="12" s="1"/>
  <c r="A158" i="12"/>
  <c r="E158" i="12" s="1"/>
  <c r="A159" i="12"/>
  <c r="E159" i="12" s="1"/>
  <c r="A160" i="12"/>
  <c r="A161" i="12"/>
  <c r="A162" i="12"/>
  <c r="E162" i="12" s="1"/>
  <c r="A163" i="12"/>
  <c r="A164" i="12"/>
  <c r="C164" i="12" s="1"/>
  <c r="A165" i="12"/>
  <c r="E165" i="12" s="1"/>
  <c r="A166" i="12"/>
  <c r="C166" i="12" s="1"/>
  <c r="A167" i="12"/>
  <c r="D167" i="12" s="1"/>
  <c r="A168" i="12"/>
  <c r="C168" i="12" s="1"/>
  <c r="A169" i="12"/>
  <c r="G169" i="12" s="1"/>
  <c r="A170" i="12"/>
  <c r="G170" i="12" s="1"/>
  <c r="A171" i="12"/>
  <c r="E171" i="12" s="1"/>
  <c r="A172" i="12"/>
  <c r="C172" i="12" s="1"/>
  <c r="A173" i="12"/>
  <c r="D173" i="12" s="1"/>
  <c r="A174" i="12"/>
  <c r="E174" i="12" s="1"/>
  <c r="A175" i="12"/>
  <c r="A176" i="12"/>
  <c r="A177" i="12"/>
  <c r="D177" i="12" s="1"/>
  <c r="A178" i="12"/>
  <c r="G178" i="12" s="1"/>
  <c r="A179" i="12"/>
  <c r="E179" i="12" s="1"/>
  <c r="A180" i="12"/>
  <c r="A181" i="12"/>
  <c r="A182" i="12"/>
  <c r="E182" i="12" s="1"/>
  <c r="A183" i="12"/>
  <c r="A184" i="12"/>
  <c r="A185" i="12"/>
  <c r="A186" i="12"/>
  <c r="A187" i="12"/>
  <c r="E187" i="12" s="1"/>
  <c r="A188" i="12"/>
  <c r="A189" i="12"/>
  <c r="B189" i="12" s="1"/>
  <c r="A190" i="12"/>
  <c r="G190" i="12" s="1"/>
  <c r="A7" i="11"/>
  <c r="E7" i="11" s="1"/>
  <c r="A8" i="11"/>
  <c r="L8" i="11" s="1"/>
  <c r="A9" i="11"/>
  <c r="A10" i="11"/>
  <c r="L10" i="11" s="1"/>
  <c r="A11" i="11"/>
  <c r="A12" i="11"/>
  <c r="F12" i="11" s="1"/>
  <c r="A13" i="11"/>
  <c r="A14" i="11"/>
  <c r="A15" i="11"/>
  <c r="E15" i="11" s="1"/>
  <c r="A16" i="11"/>
  <c r="A17" i="11"/>
  <c r="C17" i="11" s="1"/>
  <c r="A18" i="11"/>
  <c r="E18" i="11" s="1"/>
  <c r="A19" i="11"/>
  <c r="H19" i="11" s="1"/>
  <c r="A20" i="11"/>
  <c r="L20" i="11" s="1"/>
  <c r="A21" i="11"/>
  <c r="C21" i="11" s="1"/>
  <c r="A22" i="11"/>
  <c r="C22" i="11" s="1"/>
  <c r="A23" i="11"/>
  <c r="C23" i="11" s="1"/>
  <c r="A24" i="11"/>
  <c r="E24" i="11" s="1"/>
  <c r="A25" i="11"/>
  <c r="I25" i="11" s="1"/>
  <c r="A26" i="11"/>
  <c r="A27" i="11"/>
  <c r="G27" i="11" s="1"/>
  <c r="A28" i="11"/>
  <c r="L28" i="11" s="1"/>
  <c r="A29" i="11"/>
  <c r="B29" i="11" s="1"/>
  <c r="A30" i="11"/>
  <c r="A31" i="11"/>
  <c r="D31" i="11" s="1"/>
  <c r="A32" i="11"/>
  <c r="B32" i="11" s="1"/>
  <c r="A33" i="11"/>
  <c r="K33" i="11" s="1"/>
  <c r="A34" i="11"/>
  <c r="B34" i="11" s="1"/>
  <c r="A35" i="11"/>
  <c r="C35" i="11" s="1"/>
  <c r="A36" i="11"/>
  <c r="N36" i="11" s="1"/>
  <c r="A37" i="11"/>
  <c r="A38" i="11"/>
  <c r="C38" i="11" s="1"/>
  <c r="A39" i="11"/>
  <c r="C39" i="11" s="1"/>
  <c r="A40" i="11"/>
  <c r="B40" i="11" s="1"/>
  <c r="A41" i="11"/>
  <c r="B41" i="11" s="1"/>
  <c r="A42" i="11"/>
  <c r="C42" i="11" s="1"/>
  <c r="A43" i="11"/>
  <c r="D43" i="11" s="1"/>
  <c r="A44" i="11"/>
  <c r="B44" i="11" s="1"/>
  <c r="A45" i="11"/>
  <c r="B45" i="11" s="1"/>
  <c r="A46" i="11"/>
  <c r="B46" i="11" s="1"/>
  <c r="A47" i="11"/>
  <c r="A48" i="11"/>
  <c r="C48" i="11" s="1"/>
  <c r="A49" i="11"/>
  <c r="A50" i="11"/>
  <c r="F50" i="11" s="1"/>
  <c r="A51" i="11"/>
  <c r="B51" i="11" s="1"/>
  <c r="A52" i="11"/>
  <c r="I52" i="11" s="1"/>
  <c r="A53" i="11"/>
  <c r="D53" i="11" s="1"/>
  <c r="A54" i="11"/>
  <c r="E54" i="11" s="1"/>
  <c r="A55" i="11"/>
  <c r="B55" i="11" s="1"/>
  <c r="A56" i="11"/>
  <c r="A57" i="11"/>
  <c r="D57" i="11" s="1"/>
  <c r="A58" i="11"/>
  <c r="C58" i="11" s="1"/>
  <c r="A59" i="11"/>
  <c r="A60" i="11"/>
  <c r="C60" i="11" s="1"/>
  <c r="A61" i="11"/>
  <c r="K61" i="11" s="1"/>
  <c r="A62" i="11"/>
  <c r="F62" i="11" s="1"/>
  <c r="A63" i="11"/>
  <c r="E63" i="11" s="1"/>
  <c r="A64" i="11"/>
  <c r="B64" i="11" s="1"/>
  <c r="A65" i="11"/>
  <c r="I65" i="11" s="1"/>
  <c r="A66" i="11"/>
  <c r="E66" i="11" s="1"/>
  <c r="A67" i="11"/>
  <c r="E67" i="11" s="1"/>
  <c r="A68" i="11"/>
  <c r="C68" i="11" s="1"/>
  <c r="A69" i="11"/>
  <c r="I69" i="11" s="1"/>
  <c r="A70" i="11"/>
  <c r="E70" i="11" s="1"/>
  <c r="A71" i="11"/>
  <c r="C71" i="11" s="1"/>
  <c r="A72" i="11"/>
  <c r="C72" i="11" s="1"/>
  <c r="A73" i="11"/>
  <c r="G73" i="11" s="1"/>
  <c r="A74" i="11"/>
  <c r="E74" i="11" s="1"/>
  <c r="A75" i="11"/>
  <c r="C75" i="11" s="1"/>
  <c r="A76" i="11"/>
  <c r="C76" i="11" s="1"/>
  <c r="A77" i="11"/>
  <c r="E77" i="11" s="1"/>
  <c r="A78" i="11"/>
  <c r="A79" i="11"/>
  <c r="A80" i="11"/>
  <c r="C80" i="11" s="1"/>
  <c r="A81" i="11"/>
  <c r="K81" i="11" s="1"/>
  <c r="A82" i="11"/>
  <c r="C82" i="11" s="1"/>
  <c r="A83" i="11"/>
  <c r="C83" i="11" s="1"/>
  <c r="A84" i="11"/>
  <c r="C84" i="11" s="1"/>
  <c r="A85" i="11"/>
  <c r="I85" i="11" s="1"/>
  <c r="A86" i="11"/>
  <c r="E86" i="11" s="1"/>
  <c r="A87" i="11"/>
  <c r="A88" i="11"/>
  <c r="D88" i="11" s="1"/>
  <c r="A89" i="11"/>
  <c r="G89" i="11" s="1"/>
  <c r="A90" i="11"/>
  <c r="E90" i="11" s="1"/>
  <c r="A91" i="11"/>
  <c r="C91" i="11" s="1"/>
  <c r="A92" i="11"/>
  <c r="D92" i="11" s="1"/>
  <c r="A93" i="11"/>
  <c r="K93" i="11" s="1"/>
  <c r="A94" i="11"/>
  <c r="B94" i="11" s="1"/>
  <c r="A95" i="11"/>
  <c r="E95" i="11" s="1"/>
  <c r="A96" i="11"/>
  <c r="F96" i="11" s="1"/>
  <c r="A97" i="11"/>
  <c r="N97" i="11" s="1"/>
  <c r="A98" i="11"/>
  <c r="E98" i="11" s="1"/>
  <c r="A99" i="11"/>
  <c r="C99" i="11" s="1"/>
  <c r="A100" i="11"/>
  <c r="E100" i="11" s="1"/>
  <c r="A101" i="11"/>
  <c r="F101" i="11" s="1"/>
  <c r="A102" i="11"/>
  <c r="G102" i="11" s="1"/>
  <c r="A103" i="11"/>
  <c r="D103" i="11" s="1"/>
  <c r="A104" i="11"/>
  <c r="L104" i="11" s="1"/>
  <c r="A105" i="11"/>
  <c r="F105" i="11" s="1"/>
  <c r="A106" i="11"/>
  <c r="D106" i="11" s="1"/>
  <c r="A107" i="11"/>
  <c r="D107" i="11" s="1"/>
  <c r="A108" i="11"/>
  <c r="I108" i="11" s="1"/>
  <c r="A109" i="11"/>
  <c r="K109" i="11" s="1"/>
  <c r="A110" i="11"/>
  <c r="L110" i="11" s="1"/>
  <c r="A111" i="11"/>
  <c r="E111" i="11" s="1"/>
  <c r="A112" i="11"/>
  <c r="F112" i="11" s="1"/>
  <c r="A113" i="11"/>
  <c r="C113" i="11" s="1"/>
  <c r="A114" i="11"/>
  <c r="E114" i="11" s="1"/>
  <c r="A115" i="11"/>
  <c r="G115" i="11" s="1"/>
  <c r="A116" i="11"/>
  <c r="B116" i="11" s="1"/>
  <c r="A117" i="11"/>
  <c r="C117" i="11" s="1"/>
  <c r="A118" i="11"/>
  <c r="E118" i="11" s="1"/>
  <c r="A119" i="11"/>
  <c r="H119" i="11" s="1"/>
  <c r="A120" i="11"/>
  <c r="A121" i="11"/>
  <c r="G121" i="11" s="1"/>
  <c r="A122" i="11"/>
  <c r="B122" i="11" s="1"/>
  <c r="A123" i="11"/>
  <c r="C123" i="11" s="1"/>
  <c r="A124" i="11"/>
  <c r="B124" i="11" s="1"/>
  <c r="A125" i="11"/>
  <c r="B125" i="11" s="1"/>
  <c r="A126" i="11"/>
  <c r="B126" i="11" s="1"/>
  <c r="A127" i="11"/>
  <c r="E127" i="11" s="1"/>
  <c r="A128" i="11"/>
  <c r="F128" i="11" s="1"/>
  <c r="A129" i="11"/>
  <c r="C129" i="11" s="1"/>
  <c r="A130" i="11"/>
  <c r="I130" i="11" s="1"/>
  <c r="A131" i="11"/>
  <c r="M131" i="11" s="1"/>
  <c r="A132" i="11"/>
  <c r="B132" i="11" s="1"/>
  <c r="A133" i="11"/>
  <c r="E133" i="11" s="1"/>
  <c r="A134" i="11"/>
  <c r="G134" i="11" s="1"/>
  <c r="A135" i="11"/>
  <c r="M135" i="11" s="1"/>
  <c r="A136" i="11"/>
  <c r="B136" i="11" s="1"/>
  <c r="A137" i="11"/>
  <c r="D137" i="11" s="1"/>
  <c r="A138" i="11"/>
  <c r="I138" i="11" s="1"/>
  <c r="A139" i="11"/>
  <c r="M139" i="11" s="1"/>
  <c r="A140" i="11"/>
  <c r="F140" i="11" s="1"/>
  <c r="A141" i="11"/>
  <c r="E141" i="11" s="1"/>
  <c r="A142" i="11"/>
  <c r="C142" i="11" s="1"/>
  <c r="A143" i="11"/>
  <c r="E143" i="11" s="1"/>
  <c r="A144" i="11"/>
  <c r="B144" i="11" s="1"/>
  <c r="A145" i="11"/>
  <c r="D145" i="11" s="1"/>
  <c r="A146" i="11"/>
  <c r="C146" i="11" s="1"/>
  <c r="A147" i="11"/>
  <c r="B147" i="11" s="1"/>
  <c r="A148" i="11"/>
  <c r="B148" i="11" s="1"/>
  <c r="A149" i="11"/>
  <c r="A150" i="11"/>
  <c r="E150" i="11" s="1"/>
  <c r="A151" i="11"/>
  <c r="L151" i="11" s="1"/>
  <c r="A152" i="11"/>
  <c r="B152" i="11" s="1"/>
  <c r="A153" i="11"/>
  <c r="D153" i="11" s="1"/>
  <c r="A154" i="11"/>
  <c r="C154" i="11" s="1"/>
  <c r="A155" i="11"/>
  <c r="B155" i="11" s="1"/>
  <c r="A156" i="11"/>
  <c r="B156" i="11" s="1"/>
  <c r="A157" i="11"/>
  <c r="F157" i="11" s="1"/>
  <c r="A158" i="11"/>
  <c r="A159" i="11"/>
  <c r="L159" i="11" s="1"/>
  <c r="A160" i="11"/>
  <c r="B160" i="11" s="1"/>
  <c r="A161" i="11"/>
  <c r="A162" i="11"/>
  <c r="I162" i="11" s="1"/>
  <c r="A163" i="11"/>
  <c r="H163" i="11" s="1"/>
  <c r="A164" i="11"/>
  <c r="B164" i="11" s="1"/>
  <c r="A165" i="11"/>
  <c r="K165" i="11" s="1"/>
  <c r="A166" i="11"/>
  <c r="I166" i="11" s="1"/>
  <c r="A167" i="11"/>
  <c r="E167" i="11" s="1"/>
  <c r="A168" i="11"/>
  <c r="B168" i="11" s="1"/>
  <c r="A169" i="11"/>
  <c r="D169" i="11" s="1"/>
  <c r="A170" i="11"/>
  <c r="I170" i="11" s="1"/>
  <c r="A171" i="11"/>
  <c r="H171" i="11" s="1"/>
  <c r="A172" i="11"/>
  <c r="E172" i="11" s="1"/>
  <c r="A173" i="11"/>
  <c r="F173" i="11" s="1"/>
  <c r="A174" i="11"/>
  <c r="E174" i="11" s="1"/>
  <c r="A175" i="11"/>
  <c r="D175" i="11" s="1"/>
  <c r="A176" i="11"/>
  <c r="E176" i="11" s="1"/>
  <c r="A177" i="11"/>
  <c r="K177" i="11" s="1"/>
  <c r="A178" i="11"/>
  <c r="A179" i="11"/>
  <c r="D179" i="11" s="1"/>
  <c r="A180" i="11"/>
  <c r="E180" i="11" s="1"/>
  <c r="A181" i="11"/>
  <c r="K181" i="11" s="1"/>
  <c r="A182" i="11"/>
  <c r="I182" i="11" s="1"/>
  <c r="A183" i="11"/>
  <c r="H183" i="11" s="1"/>
  <c r="A184" i="11"/>
  <c r="E184" i="11" s="1"/>
  <c r="A185" i="11"/>
  <c r="A186" i="11"/>
  <c r="C186" i="11" s="1"/>
  <c r="A187" i="11"/>
  <c r="E187" i="11" s="1"/>
  <c r="A188" i="11"/>
  <c r="B188" i="11" s="1"/>
  <c r="A189" i="11"/>
  <c r="D189" i="11" s="1"/>
  <c r="A7" i="10"/>
  <c r="D7" i="10" s="1"/>
  <c r="A8" i="10"/>
  <c r="B8" i="10" s="1"/>
  <c r="A9" i="10"/>
  <c r="E9" i="10" s="1"/>
  <c r="A10" i="10"/>
  <c r="B10" i="10" s="1"/>
  <c r="A11" i="10"/>
  <c r="C11" i="10" s="1"/>
  <c r="A12" i="10"/>
  <c r="G12" i="10" s="1"/>
  <c r="A13" i="10"/>
  <c r="D13" i="10" s="1"/>
  <c r="A14" i="10"/>
  <c r="B14" i="10" s="1"/>
  <c r="A15" i="10"/>
  <c r="B15" i="10" s="1"/>
  <c r="A16" i="10"/>
  <c r="G16" i="10" s="1"/>
  <c r="A17" i="10"/>
  <c r="B17" i="10" s="1"/>
  <c r="A18" i="10"/>
  <c r="F18" i="10" s="1"/>
  <c r="A19" i="10"/>
  <c r="E19" i="10" s="1"/>
  <c r="A20" i="10"/>
  <c r="C20" i="10" s="1"/>
  <c r="A21" i="10"/>
  <c r="F21" i="10" s="1"/>
  <c r="A22" i="10"/>
  <c r="B22" i="10" s="1"/>
  <c r="A23" i="10"/>
  <c r="A24" i="10"/>
  <c r="D24" i="10" s="1"/>
  <c r="A25" i="10"/>
  <c r="C25" i="10" s="1"/>
  <c r="A26" i="10"/>
  <c r="B26" i="10" s="1"/>
  <c r="A27" i="10"/>
  <c r="A28" i="10"/>
  <c r="A29" i="10"/>
  <c r="E29" i="10" s="1"/>
  <c r="A30" i="10"/>
  <c r="B30" i="10" s="1"/>
  <c r="A31" i="10"/>
  <c r="E31" i="10" s="1"/>
  <c r="A32" i="10"/>
  <c r="F32" i="10" s="1"/>
  <c r="A33" i="10"/>
  <c r="E33" i="10" s="1"/>
  <c r="A34" i="10"/>
  <c r="B34" i="10" s="1"/>
  <c r="A35" i="10"/>
  <c r="A36" i="10"/>
  <c r="A37" i="10"/>
  <c r="C37" i="10" s="1"/>
  <c r="A38" i="10"/>
  <c r="B38" i="10" s="1"/>
  <c r="A39" i="10"/>
  <c r="E39" i="10" s="1"/>
  <c r="A40" i="10"/>
  <c r="D40" i="10" s="1"/>
  <c r="A41" i="10"/>
  <c r="B41" i="10" s="1"/>
  <c r="A42" i="10"/>
  <c r="B42" i="10" s="1"/>
  <c r="A43" i="10"/>
  <c r="A44" i="10"/>
  <c r="D44" i="10" s="1"/>
  <c r="A45" i="10"/>
  <c r="D45" i="10" s="1"/>
  <c r="A46" i="10"/>
  <c r="B46" i="10" s="1"/>
  <c r="A47" i="10"/>
  <c r="A48" i="10"/>
  <c r="N48" i="10" s="1"/>
  <c r="A49" i="10"/>
  <c r="B49" i="10" s="1"/>
  <c r="A50" i="10"/>
  <c r="B50" i="10" s="1"/>
  <c r="A51" i="10"/>
  <c r="A52" i="10"/>
  <c r="D52" i="10" s="1"/>
  <c r="A53" i="10"/>
  <c r="B53" i="10" s="1"/>
  <c r="A54" i="10"/>
  <c r="E54" i="10" s="1"/>
  <c r="A55" i="10"/>
  <c r="E55" i="10" s="1"/>
  <c r="A56" i="10"/>
  <c r="D56" i="10" s="1"/>
  <c r="A57" i="10"/>
  <c r="B57" i="10" s="1"/>
  <c r="A58" i="10"/>
  <c r="A59" i="10"/>
  <c r="A60" i="10"/>
  <c r="C60" i="10" s="1"/>
  <c r="A61" i="10"/>
  <c r="B61" i="10" s="1"/>
  <c r="A62" i="10"/>
  <c r="B62" i="10" s="1"/>
  <c r="A63" i="10"/>
  <c r="E63" i="10" s="1"/>
  <c r="A64" i="10"/>
  <c r="A65" i="10"/>
  <c r="B65" i="10" s="1"/>
  <c r="A66" i="10"/>
  <c r="A67" i="10"/>
  <c r="A68" i="10"/>
  <c r="D68" i="10" s="1"/>
  <c r="A69" i="10"/>
  <c r="D69" i="10" s="1"/>
  <c r="A70" i="10"/>
  <c r="B70" i="10" s="1"/>
  <c r="A71" i="10"/>
  <c r="E71" i="10" s="1"/>
  <c r="A72" i="10"/>
  <c r="D72" i="10" s="1"/>
  <c r="A73" i="10"/>
  <c r="A74" i="10"/>
  <c r="A75" i="10"/>
  <c r="A76" i="10"/>
  <c r="K76" i="10" s="1"/>
  <c r="A77" i="10"/>
  <c r="C77" i="10" s="1"/>
  <c r="A78" i="10"/>
  <c r="A79" i="10"/>
  <c r="E79" i="10" s="1"/>
  <c r="A80" i="10"/>
  <c r="D80" i="10" s="1"/>
  <c r="A81" i="10"/>
  <c r="I81" i="10" s="1"/>
  <c r="A82" i="10"/>
  <c r="E82" i="10" s="1"/>
  <c r="A83" i="10"/>
  <c r="A84" i="10"/>
  <c r="C84" i="10" s="1"/>
  <c r="A85" i="10"/>
  <c r="C85" i="10" s="1"/>
  <c r="A86" i="10"/>
  <c r="B86" i="10" s="1"/>
  <c r="A87" i="10"/>
  <c r="E87" i="10" s="1"/>
  <c r="A88" i="10"/>
  <c r="D88" i="10" s="1"/>
  <c r="A89" i="10"/>
  <c r="C89" i="10" s="1"/>
  <c r="A90" i="10"/>
  <c r="I90" i="10" s="1"/>
  <c r="A91" i="10"/>
  <c r="A92" i="10"/>
  <c r="A93" i="10"/>
  <c r="B93" i="10" s="1"/>
  <c r="A94" i="10"/>
  <c r="B94" i="10" s="1"/>
  <c r="A95" i="10"/>
  <c r="A96" i="10"/>
  <c r="D96" i="10" s="1"/>
  <c r="A97" i="10"/>
  <c r="I97" i="10" s="1"/>
  <c r="A98" i="10"/>
  <c r="L98" i="10" s="1"/>
  <c r="A99" i="10"/>
  <c r="A100" i="10"/>
  <c r="B100" i="10" s="1"/>
  <c r="A101" i="10"/>
  <c r="I101" i="10" s="1"/>
  <c r="A102" i="10"/>
  <c r="A103" i="10"/>
  <c r="E103" i="10" s="1"/>
  <c r="A104" i="10"/>
  <c r="E104" i="10" s="1"/>
  <c r="A105" i="10"/>
  <c r="A106" i="10"/>
  <c r="E106" i="10" s="1"/>
  <c r="A107" i="10"/>
  <c r="A108" i="10"/>
  <c r="C108" i="10" s="1"/>
  <c r="A109" i="10"/>
  <c r="C109" i="10" s="1"/>
  <c r="A110" i="10"/>
  <c r="B110" i="10" s="1"/>
  <c r="A111" i="10"/>
  <c r="A112" i="10"/>
  <c r="A113" i="10"/>
  <c r="C113" i="10" s="1"/>
  <c r="A114" i="10"/>
  <c r="B114" i="10" s="1"/>
  <c r="A115" i="10"/>
  <c r="A116" i="10"/>
  <c r="A117" i="10"/>
  <c r="E117" i="10" s="1"/>
  <c r="A118" i="10"/>
  <c r="A119" i="10"/>
  <c r="B119" i="10" s="1"/>
  <c r="A120" i="10"/>
  <c r="D120" i="10" s="1"/>
  <c r="A121" i="10"/>
  <c r="C121" i="10" s="1"/>
  <c r="A122" i="10"/>
  <c r="H122" i="10" s="1"/>
  <c r="A123" i="10"/>
  <c r="I123" i="10" s="1"/>
  <c r="A124" i="10"/>
  <c r="A125" i="10"/>
  <c r="C125" i="10" s="1"/>
  <c r="A126" i="10"/>
  <c r="H126" i="10" s="1"/>
  <c r="A127" i="10"/>
  <c r="I127" i="10" s="1"/>
  <c r="A128" i="10"/>
  <c r="I128" i="10" s="1"/>
  <c r="A129" i="10"/>
  <c r="I129" i="10" s="1"/>
  <c r="A130" i="10"/>
  <c r="A131" i="10"/>
  <c r="A132" i="10"/>
  <c r="D132" i="10" s="1"/>
  <c r="A133" i="10"/>
  <c r="B133" i="10" s="1"/>
  <c r="A134" i="10"/>
  <c r="E134" i="10" s="1"/>
  <c r="A135" i="10"/>
  <c r="A136" i="10"/>
  <c r="B136" i="10" s="1"/>
  <c r="A137" i="10"/>
  <c r="L137" i="10" s="1"/>
  <c r="A138" i="10"/>
  <c r="D138" i="10" s="1"/>
  <c r="A139" i="10"/>
  <c r="A140" i="10"/>
  <c r="A141" i="10"/>
  <c r="E141" i="10" s="1"/>
  <c r="A142" i="10"/>
  <c r="D142" i="10" s="1"/>
  <c r="A143" i="10"/>
  <c r="E143" i="10" s="1"/>
  <c r="A144" i="10"/>
  <c r="C144" i="10" s="1"/>
  <c r="A145" i="10"/>
  <c r="C145" i="10" s="1"/>
  <c r="A146" i="10"/>
  <c r="A147" i="10"/>
  <c r="A148" i="10"/>
  <c r="A149" i="10"/>
  <c r="A150" i="10"/>
  <c r="A151" i="10"/>
  <c r="L151" i="10" s="1"/>
  <c r="A152" i="10"/>
  <c r="A153" i="10"/>
  <c r="B153" i="10" s="1"/>
  <c r="A154" i="10"/>
  <c r="D154" i="10" s="1"/>
  <c r="A155" i="10"/>
  <c r="F155" i="10" s="1"/>
  <c r="A156" i="10"/>
  <c r="C156" i="10" s="1"/>
  <c r="A157" i="10"/>
  <c r="D157" i="10" s="1"/>
  <c r="A158" i="10"/>
  <c r="E158" i="10" s="1"/>
  <c r="A159" i="10"/>
  <c r="L159" i="10" s="1"/>
  <c r="A160" i="10"/>
  <c r="A161" i="10"/>
  <c r="B161" i="10" s="1"/>
  <c r="A162" i="10"/>
  <c r="A163" i="10"/>
  <c r="A164" i="10"/>
  <c r="C164" i="10" s="1"/>
  <c r="A165" i="10"/>
  <c r="A166" i="10"/>
  <c r="L166" i="10" s="1"/>
  <c r="A167" i="10"/>
  <c r="D167" i="10" s="1"/>
  <c r="A168" i="10"/>
  <c r="A169" i="10"/>
  <c r="C169" i="10" s="1"/>
  <c r="A170" i="10"/>
  <c r="A171" i="10"/>
  <c r="D171" i="10" s="1"/>
  <c r="A172" i="10"/>
  <c r="C172" i="10" s="1"/>
  <c r="A173" i="10"/>
  <c r="A174" i="10"/>
  <c r="E174" i="10" s="1"/>
  <c r="A175" i="10"/>
  <c r="A176" i="10"/>
  <c r="B176" i="10" s="1"/>
  <c r="A177" i="10"/>
  <c r="A178" i="10"/>
  <c r="L178" i="10" s="1"/>
  <c r="A179" i="10"/>
  <c r="M179" i="10" s="1"/>
  <c r="A180" i="10"/>
  <c r="C180" i="10" s="1"/>
  <c r="A181" i="10"/>
  <c r="I181" i="10" s="1"/>
  <c r="A182" i="10"/>
  <c r="H182" i="10" s="1"/>
  <c r="A183" i="10"/>
  <c r="A184" i="10"/>
  <c r="M184" i="10" s="1"/>
  <c r="A185" i="10"/>
  <c r="C185" i="10" s="1"/>
  <c r="A186" i="10"/>
  <c r="L186" i="10" s="1"/>
  <c r="A187" i="10"/>
  <c r="F187" i="10" s="1"/>
  <c r="A188" i="10"/>
  <c r="A189" i="10"/>
  <c r="I189" i="10" s="1"/>
  <c r="A7" i="8"/>
  <c r="D7" i="8" s="1"/>
  <c r="A8" i="8"/>
  <c r="F8" i="8" s="1"/>
  <c r="A9" i="8"/>
  <c r="G9" i="8" s="1"/>
  <c r="A10" i="8"/>
  <c r="A11" i="8"/>
  <c r="A12" i="8"/>
  <c r="A13" i="8"/>
  <c r="A14" i="8"/>
  <c r="F14" i="8" s="1"/>
  <c r="A15" i="8"/>
  <c r="A16" i="8"/>
  <c r="I16" i="8" s="1"/>
  <c r="A17" i="8"/>
  <c r="D17" i="8" s="1"/>
  <c r="A18" i="8"/>
  <c r="C18" i="8" s="1"/>
  <c r="A19" i="8"/>
  <c r="D19" i="8" s="1"/>
  <c r="A20" i="8"/>
  <c r="C20" i="8" s="1"/>
  <c r="A21" i="8"/>
  <c r="D21" i="8" s="1"/>
  <c r="A22" i="8"/>
  <c r="C22" i="8" s="1"/>
  <c r="A23" i="8"/>
  <c r="D23" i="8" s="1"/>
  <c r="A24" i="8"/>
  <c r="F24" i="8" s="1"/>
  <c r="A25" i="8"/>
  <c r="G25" i="8" s="1"/>
  <c r="A26" i="8"/>
  <c r="C26" i="8" s="1"/>
  <c r="A27" i="8"/>
  <c r="D27" i="8" s="1"/>
  <c r="A28" i="8"/>
  <c r="A29" i="8"/>
  <c r="A30" i="8"/>
  <c r="G30" i="8" s="1"/>
  <c r="A31" i="8"/>
  <c r="D31" i="8" s="1"/>
  <c r="A32" i="8"/>
  <c r="I32" i="8" s="1"/>
  <c r="A33" i="8"/>
  <c r="D33" i="8" s="1"/>
  <c r="A34" i="8"/>
  <c r="C34" i="8" s="1"/>
  <c r="A35" i="8"/>
  <c r="D35" i="8" s="1"/>
  <c r="A36" i="8"/>
  <c r="A37" i="8"/>
  <c r="G37" i="8" s="1"/>
  <c r="A38" i="8"/>
  <c r="C38" i="8" s="1"/>
  <c r="A39" i="8"/>
  <c r="D39" i="8" s="1"/>
  <c r="A40" i="8"/>
  <c r="C40" i="8" s="1"/>
  <c r="A41" i="8"/>
  <c r="D41" i="8" s="1"/>
  <c r="A42" i="8"/>
  <c r="A43" i="8"/>
  <c r="A44" i="8"/>
  <c r="F44" i="8" s="1"/>
  <c r="A45" i="8"/>
  <c r="A46" i="8"/>
  <c r="A47" i="8"/>
  <c r="G47" i="8" s="1"/>
  <c r="A48" i="8"/>
  <c r="C48" i="8" s="1"/>
  <c r="A49" i="8"/>
  <c r="D49" i="8" s="1"/>
  <c r="A50" i="8"/>
  <c r="C50" i="8" s="1"/>
  <c r="A51" i="8"/>
  <c r="D51" i="8" s="1"/>
  <c r="A52" i="8"/>
  <c r="F52" i="8" s="1"/>
  <c r="A53" i="8"/>
  <c r="A54" i="8"/>
  <c r="G54" i="8" s="1"/>
  <c r="A55" i="8"/>
  <c r="D55" i="8" s="1"/>
  <c r="A56" i="8"/>
  <c r="F56" i="8" s="1"/>
  <c r="A7" i="6"/>
  <c r="A7" i="7" s="1"/>
  <c r="C7" i="7" s="1"/>
  <c r="A8" i="6"/>
  <c r="C8" i="6" s="1"/>
  <c r="A9" i="6"/>
  <c r="E9" i="6" s="1"/>
  <c r="A10" i="6"/>
  <c r="G10" i="6" s="1"/>
  <c r="A11" i="6"/>
  <c r="B11" i="6" s="1"/>
  <c r="A12" i="6"/>
  <c r="A12" i="7" s="1"/>
  <c r="E12" i="7" s="1"/>
  <c r="A13" i="6"/>
  <c r="I13" i="6" s="1"/>
  <c r="A14" i="6"/>
  <c r="A14" i="7" s="1"/>
  <c r="A15" i="6"/>
  <c r="A16" i="6"/>
  <c r="C16" i="6" s="1"/>
  <c r="A17" i="6"/>
  <c r="B17" i="6" s="1"/>
  <c r="A18" i="6"/>
  <c r="A18" i="7" s="1"/>
  <c r="A19" i="6"/>
  <c r="A19" i="7" s="1"/>
  <c r="A20" i="6"/>
  <c r="A20" i="7" s="1"/>
  <c r="I20" i="7" s="1"/>
  <c r="A21" i="6"/>
  <c r="D21" i="6" s="1"/>
  <c r="A22" i="6"/>
  <c r="D22" i="6" s="1"/>
  <c r="A23" i="6"/>
  <c r="I23" i="6" s="1"/>
  <c r="A24" i="6"/>
  <c r="E24" i="6" s="1"/>
  <c r="A25" i="6"/>
  <c r="D25" i="6" s="1"/>
  <c r="A26" i="6"/>
  <c r="G26" i="6" s="1"/>
  <c r="A27" i="6"/>
  <c r="A27" i="7" s="1"/>
  <c r="B27" i="7" s="1"/>
  <c r="A28" i="6"/>
  <c r="A29" i="6"/>
  <c r="F29" i="6" s="1"/>
  <c r="A30" i="6"/>
  <c r="M30" i="6" s="1"/>
  <c r="A31" i="6"/>
  <c r="A31" i="7" s="1"/>
  <c r="B31" i="7" s="1"/>
  <c r="A32" i="6"/>
  <c r="L32" i="6" s="1"/>
  <c r="A33" i="6"/>
  <c r="B33" i="6" s="1"/>
  <c r="A34" i="6"/>
  <c r="C34" i="6" s="1"/>
  <c r="A35" i="6"/>
  <c r="C35" i="6" s="1"/>
  <c r="A36" i="6"/>
  <c r="G36" i="6" s="1"/>
  <c r="A37" i="6"/>
  <c r="L37" i="6" s="1"/>
  <c r="A38" i="6"/>
  <c r="B38" i="6" s="1"/>
  <c r="A39" i="6"/>
  <c r="C39" i="6" s="1"/>
  <c r="A40" i="6"/>
  <c r="L40" i="6" s="1"/>
  <c r="A41" i="6"/>
  <c r="A41" i="7" s="1"/>
  <c r="H41" i="7" s="1"/>
  <c r="A42" i="6"/>
  <c r="A42" i="7" s="1"/>
  <c r="B42" i="7" s="1"/>
  <c r="A43" i="6"/>
  <c r="C43" i="6" s="1"/>
  <c r="A44" i="6"/>
  <c r="L44" i="6" s="1"/>
  <c r="A45" i="6"/>
  <c r="D45" i="6" s="1"/>
  <c r="A46" i="6"/>
  <c r="I46" i="6" s="1"/>
  <c r="A47" i="6"/>
  <c r="D47" i="6" s="1"/>
  <c r="A48" i="6"/>
  <c r="I48" i="6" s="1"/>
  <c r="A49" i="6"/>
  <c r="L49" i="6" s="1"/>
  <c r="A50" i="6"/>
  <c r="K50" i="6" s="1"/>
  <c r="A51" i="6"/>
  <c r="K51" i="6" s="1"/>
  <c r="A52" i="6"/>
  <c r="E52" i="6" s="1"/>
  <c r="A53" i="6"/>
  <c r="I53" i="6" s="1"/>
  <c r="A54" i="6"/>
  <c r="A55" i="6"/>
  <c r="B55" i="6" s="1"/>
  <c r="A56" i="6"/>
  <c r="O56" i="6" s="1"/>
  <c r="A57" i="6"/>
  <c r="F57" i="6" s="1"/>
  <c r="A58" i="6"/>
  <c r="K58" i="6" s="1"/>
  <c r="A59" i="6"/>
  <c r="F59" i="6" s="1"/>
  <c r="A60" i="6"/>
  <c r="E60" i="6" s="1"/>
  <c r="A61" i="6"/>
  <c r="L61" i="6" s="1"/>
  <c r="A62" i="6"/>
  <c r="A63" i="6"/>
  <c r="A63" i="7" s="1"/>
  <c r="A64" i="6"/>
  <c r="A64" i="7" s="1"/>
  <c r="C64" i="7" s="1"/>
  <c r="A65" i="6"/>
  <c r="E65" i="6" s="1"/>
  <c r="A66" i="6"/>
  <c r="A67" i="6"/>
  <c r="E67" i="6" s="1"/>
  <c r="A68" i="6"/>
  <c r="K68" i="6" s="1"/>
  <c r="A69" i="6"/>
  <c r="F69" i="6" s="1"/>
  <c r="A70" i="6"/>
  <c r="I70" i="6" s="1"/>
  <c r="A71" i="6"/>
  <c r="A71" i="7" s="1"/>
  <c r="C71" i="7" s="1"/>
  <c r="A72" i="6"/>
  <c r="A72" i="7" s="1"/>
  <c r="L72" i="7" s="1"/>
  <c r="A73" i="6"/>
  <c r="J73" i="6" s="1"/>
  <c r="A74" i="6"/>
  <c r="I74" i="6" s="1"/>
  <c r="A75" i="6"/>
  <c r="E75" i="6" s="1"/>
  <c r="A76" i="6"/>
  <c r="A77" i="6"/>
  <c r="D77" i="6" s="1"/>
  <c r="A78" i="6"/>
  <c r="I78" i="6" s="1"/>
  <c r="A79" i="6"/>
  <c r="A79" i="7" s="1"/>
  <c r="F79" i="7" s="1"/>
  <c r="A80" i="6"/>
  <c r="C80" i="6" s="1"/>
  <c r="A81" i="6"/>
  <c r="A81" i="7" s="1"/>
  <c r="L81" i="7" s="1"/>
  <c r="A82" i="6"/>
  <c r="I82" i="6" s="1"/>
  <c r="A83" i="6"/>
  <c r="A83" i="7" s="1"/>
  <c r="A84" i="6"/>
  <c r="C84" i="6" s="1"/>
  <c r="A85" i="6"/>
  <c r="F85" i="6" s="1"/>
  <c r="A86" i="6"/>
  <c r="I86" i="6" s="1"/>
  <c r="A87" i="6"/>
  <c r="L87" i="6" s="1"/>
  <c r="A88" i="6"/>
  <c r="C88" i="6" s="1"/>
  <c r="A89" i="6"/>
  <c r="B89" i="6" s="1"/>
  <c r="A90" i="6"/>
  <c r="I90" i="6" s="1"/>
  <c r="A91" i="6"/>
  <c r="C91" i="6" s="1"/>
  <c r="A92" i="6"/>
  <c r="G92" i="6" s="1"/>
  <c r="A93" i="6"/>
  <c r="A93" i="7" s="1"/>
  <c r="O93" i="7" s="1"/>
  <c r="A94" i="6"/>
  <c r="M94" i="6" s="1"/>
  <c r="A95" i="6"/>
  <c r="A95" i="7" s="1"/>
  <c r="B95" i="7" s="1"/>
  <c r="A96" i="6"/>
  <c r="K96" i="6" s="1"/>
  <c r="A97" i="6"/>
  <c r="E97" i="6" s="1"/>
  <c r="A98" i="6"/>
  <c r="I98" i="6" s="1"/>
  <c r="A99" i="6"/>
  <c r="E99" i="6" s="1"/>
  <c r="A100" i="6"/>
  <c r="G100" i="6" s="1"/>
  <c r="A101" i="6"/>
  <c r="L101" i="6" s="1"/>
  <c r="A102" i="6"/>
  <c r="A103" i="6"/>
  <c r="D103" i="6" s="1"/>
  <c r="A104" i="6"/>
  <c r="C104" i="6" s="1"/>
  <c r="A105" i="6"/>
  <c r="B105" i="6" s="1"/>
  <c r="A106" i="6"/>
  <c r="I106" i="6" s="1"/>
  <c r="A107" i="6"/>
  <c r="C107" i="6" s="1"/>
  <c r="A108" i="6"/>
  <c r="G108" i="6" s="1"/>
  <c r="A109" i="6"/>
  <c r="E109" i="6" s="1"/>
  <c r="A110" i="6"/>
  <c r="A111" i="6"/>
  <c r="C111" i="6" s="1"/>
  <c r="A112" i="6"/>
  <c r="A112" i="7" s="1"/>
  <c r="H112" i="7" s="1"/>
  <c r="A113" i="6"/>
  <c r="F113" i="6" s="1"/>
  <c r="A114" i="6"/>
  <c r="J114" i="6" s="1"/>
  <c r="A115" i="6"/>
  <c r="B115" i="6" s="1"/>
  <c r="A116" i="6"/>
  <c r="G116" i="6" s="1"/>
  <c r="A117" i="6"/>
  <c r="D117" i="6" s="1"/>
  <c r="A118" i="6"/>
  <c r="F118" i="6" s="1"/>
  <c r="A119" i="6"/>
  <c r="B119" i="6" s="1"/>
  <c r="A120" i="6"/>
  <c r="E120" i="6" s="1"/>
  <c r="A121" i="6"/>
  <c r="I121" i="6" s="1"/>
  <c r="A122" i="6"/>
  <c r="C122" i="6" s="1"/>
  <c r="A123" i="6"/>
  <c r="B123" i="6" s="1"/>
  <c r="A124" i="6"/>
  <c r="G124" i="6" s="1"/>
  <c r="A125" i="6"/>
  <c r="A126" i="6"/>
  <c r="F126" i="6" s="1"/>
  <c r="A127" i="6"/>
  <c r="C127" i="6" s="1"/>
  <c r="A128" i="6"/>
  <c r="O128" i="6" s="1"/>
  <c r="A129" i="6"/>
  <c r="L129" i="6" s="1"/>
  <c r="A130" i="6"/>
  <c r="B130" i="6" s="1"/>
  <c r="A131" i="6"/>
  <c r="C131" i="6" s="1"/>
  <c r="A132" i="6"/>
  <c r="C132" i="6" s="1"/>
  <c r="A133" i="6"/>
  <c r="D133" i="6" s="1"/>
  <c r="A134" i="6"/>
  <c r="K134" i="6" s="1"/>
  <c r="A135" i="6"/>
  <c r="A136" i="6"/>
  <c r="E136" i="6" s="1"/>
  <c r="A137" i="6"/>
  <c r="B137" i="6" s="1"/>
  <c r="A138" i="6"/>
  <c r="A138" i="7" s="1"/>
  <c r="F138" i="7" s="1"/>
  <c r="A139" i="6"/>
  <c r="B139" i="6" s="1"/>
  <c r="A140" i="6"/>
  <c r="G140" i="6" s="1"/>
  <c r="A141" i="6"/>
  <c r="A142" i="6"/>
  <c r="B142" i="6" s="1"/>
  <c r="A143" i="6"/>
  <c r="A143" i="7" s="1"/>
  <c r="F143" i="7" s="1"/>
  <c r="A144" i="6"/>
  <c r="H144" i="6" s="1"/>
  <c r="A145" i="6"/>
  <c r="F145" i="6" s="1"/>
  <c r="A146" i="6"/>
  <c r="E146" i="6" s="1"/>
  <c r="A147" i="6"/>
  <c r="A148" i="6"/>
  <c r="I148" i="6" s="1"/>
  <c r="A149" i="6"/>
  <c r="E149" i="6" s="1"/>
  <c r="A150" i="6"/>
  <c r="A151" i="6"/>
  <c r="F151" i="6" s="1"/>
  <c r="A152" i="6"/>
  <c r="A152" i="7" s="1"/>
  <c r="G152" i="7" s="1"/>
  <c r="A153" i="6"/>
  <c r="C153" i="6" s="1"/>
  <c r="A154" i="6"/>
  <c r="E154" i="6" s="1"/>
  <c r="A155" i="6"/>
  <c r="B155" i="6" s="1"/>
  <c r="A156" i="6"/>
  <c r="B156" i="6" s="1"/>
  <c r="A157" i="6"/>
  <c r="A157" i="7" s="1"/>
  <c r="A158" i="6"/>
  <c r="E158" i="6" s="1"/>
  <c r="A159" i="6"/>
  <c r="D159" i="6" s="1"/>
  <c r="A160" i="6"/>
  <c r="A161" i="6"/>
  <c r="N161" i="6" s="1"/>
  <c r="A162" i="6"/>
  <c r="E162" i="6" s="1"/>
  <c r="A163" i="6"/>
  <c r="D163" i="6" s="1"/>
  <c r="A164" i="6"/>
  <c r="A165" i="6"/>
  <c r="H165" i="6" s="1"/>
  <c r="A166" i="6"/>
  <c r="E166" i="6" s="1"/>
  <c r="A167" i="6"/>
  <c r="D167" i="6" s="1"/>
  <c r="A168" i="6"/>
  <c r="B168" i="6" s="1"/>
  <c r="A169" i="6"/>
  <c r="B169" i="6" s="1"/>
  <c r="A170" i="6"/>
  <c r="E170" i="6" s="1"/>
  <c r="A171" i="6"/>
  <c r="F171" i="6" s="1"/>
  <c r="A172" i="6"/>
  <c r="A173" i="6"/>
  <c r="G173" i="6" s="1"/>
  <c r="A174" i="6"/>
  <c r="E174" i="6" s="1"/>
  <c r="A175" i="6"/>
  <c r="C175" i="6" s="1"/>
  <c r="A176" i="6"/>
  <c r="C176" i="6" s="1"/>
  <c r="A177" i="6"/>
  <c r="B177" i="6" s="1"/>
  <c r="A178" i="6"/>
  <c r="E178" i="6" s="1"/>
  <c r="A179" i="6"/>
  <c r="D179" i="6" s="1"/>
  <c r="A180" i="6"/>
  <c r="D180" i="6" s="1"/>
  <c r="A181" i="6"/>
  <c r="B181" i="6" s="1"/>
  <c r="A182" i="6"/>
  <c r="E182" i="6" s="1"/>
  <c r="A183" i="6"/>
  <c r="C183" i="6" s="1"/>
  <c r="A184" i="6"/>
  <c r="I184" i="6" s="1"/>
  <c r="A185" i="6"/>
  <c r="A185" i="7" s="1"/>
  <c r="F185" i="7" s="1"/>
  <c r="A186" i="6"/>
  <c r="E186" i="6" s="1"/>
  <c r="A187" i="6"/>
  <c r="A188" i="6"/>
  <c r="I188" i="6" s="1"/>
  <c r="A189" i="6"/>
  <c r="A189" i="7" s="1"/>
  <c r="B189" i="7" s="1"/>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A7" i="3"/>
  <c r="C7" i="3" s="1"/>
  <c r="A8" i="3"/>
  <c r="O8" i="3" s="1"/>
  <c r="A9" i="3"/>
  <c r="C9" i="3" s="1"/>
  <c r="A10" i="3"/>
  <c r="M10" i="3" s="1"/>
  <c r="A11" i="3"/>
  <c r="Q11" i="3" s="1"/>
  <c r="A12" i="3"/>
  <c r="G12" i="3" s="1"/>
  <c r="A13" i="3"/>
  <c r="B13" i="3" s="1"/>
  <c r="A14" i="3"/>
  <c r="I14" i="3" s="1"/>
  <c r="A15" i="3"/>
  <c r="D15" i="3" s="1"/>
  <c r="A16" i="3"/>
  <c r="B16" i="3" s="1"/>
  <c r="A17" i="3"/>
  <c r="Q17" i="3" s="1"/>
  <c r="A18" i="3"/>
  <c r="B18" i="3" s="1"/>
  <c r="A19" i="3"/>
  <c r="D19" i="3" s="1"/>
  <c r="A20" i="3"/>
  <c r="C20" i="3" s="1"/>
  <c r="A21" i="3"/>
  <c r="F21" i="3" s="1"/>
  <c r="A22" i="3"/>
  <c r="F22" i="3" s="1"/>
  <c r="A23" i="3"/>
  <c r="C23" i="3" s="1"/>
  <c r="A24" i="3"/>
  <c r="B24" i="3" s="1"/>
  <c r="A25" i="3"/>
  <c r="N25" i="3" s="1"/>
  <c r="A26" i="3"/>
  <c r="B26" i="3" s="1"/>
  <c r="A27" i="3"/>
  <c r="G27" i="3" s="1"/>
  <c r="A28" i="3"/>
  <c r="B28" i="3" s="1"/>
  <c r="A29" i="3"/>
  <c r="F29" i="3" s="1"/>
  <c r="A30" i="3"/>
  <c r="I30" i="3" s="1"/>
  <c r="A31" i="3"/>
  <c r="C31" i="3" s="1"/>
  <c r="A32" i="3"/>
  <c r="B32" i="3" s="1"/>
  <c r="A33" i="3"/>
  <c r="F33" i="3" s="1"/>
  <c r="A34" i="3"/>
  <c r="B34" i="3" s="1"/>
  <c r="A35" i="3"/>
  <c r="D35" i="3" s="1"/>
  <c r="A36" i="3"/>
  <c r="B36" i="3" s="1"/>
  <c r="A37" i="3"/>
  <c r="C37" i="3" s="1"/>
  <c r="A38" i="3"/>
  <c r="L38" i="3" s="1"/>
  <c r="A39" i="3"/>
  <c r="P39" i="3" s="1"/>
  <c r="A40" i="3"/>
  <c r="B40" i="3" s="1"/>
  <c r="A41" i="3"/>
  <c r="A42" i="3"/>
  <c r="D42" i="3" s="1"/>
  <c r="A43" i="3"/>
  <c r="C43" i="3" s="1"/>
  <c r="A44" i="3"/>
  <c r="D44" i="3" s="1"/>
  <c r="A45" i="3"/>
  <c r="G45" i="3" s="1"/>
  <c r="A46" i="3"/>
  <c r="I46" i="3" s="1"/>
  <c r="A47" i="3"/>
  <c r="D47" i="3" s="1"/>
  <c r="A48" i="3"/>
  <c r="C48" i="3" s="1"/>
  <c r="A49" i="3"/>
  <c r="B49" i="3" s="1"/>
  <c r="A50" i="3"/>
  <c r="A51" i="3"/>
  <c r="I51" i="3" s="1"/>
  <c r="A52" i="3"/>
  <c r="Q52" i="3" s="1"/>
  <c r="A53" i="3"/>
  <c r="F53" i="3" s="1"/>
  <c r="A54" i="3"/>
  <c r="B54" i="3" s="1"/>
  <c r="A55" i="3"/>
  <c r="A56" i="3"/>
  <c r="C56" i="3" s="1"/>
  <c r="A57" i="3"/>
  <c r="I57" i="3" s="1"/>
  <c r="A58" i="3"/>
  <c r="I58" i="3" s="1"/>
  <c r="A59" i="3"/>
  <c r="C59" i="3" s="1"/>
  <c r="A60" i="3"/>
  <c r="G60" i="3" s="1"/>
  <c r="A61" i="3"/>
  <c r="G61" i="3" s="1"/>
  <c r="A62" i="3"/>
  <c r="I62" i="3" s="1"/>
  <c r="A63" i="3"/>
  <c r="I63" i="3" s="1"/>
  <c r="A64" i="3"/>
  <c r="D64" i="3" s="1"/>
  <c r="A65" i="3"/>
  <c r="B65" i="3" s="1"/>
  <c r="A66" i="3"/>
  <c r="F66" i="3" s="1"/>
  <c r="A67" i="3"/>
  <c r="G67" i="3" s="1"/>
  <c r="A68" i="3"/>
  <c r="D68" i="3" s="1"/>
  <c r="A69" i="3"/>
  <c r="F69" i="3" s="1"/>
  <c r="A70" i="3"/>
  <c r="A71" i="3"/>
  <c r="G71" i="3" s="1"/>
  <c r="A72" i="3"/>
  <c r="D72" i="3" s="1"/>
  <c r="A73" i="3"/>
  <c r="I73" i="3" s="1"/>
  <c r="A74" i="3"/>
  <c r="A75" i="3"/>
  <c r="Q75" i="3" s="1"/>
  <c r="A76" i="3"/>
  <c r="O76" i="3" s="1"/>
  <c r="A77" i="3"/>
  <c r="F77" i="3" s="1"/>
  <c r="A78" i="3"/>
  <c r="A79" i="3"/>
  <c r="C79" i="3" s="1"/>
  <c r="A80" i="3"/>
  <c r="L80" i="3" s="1"/>
  <c r="A81" i="3"/>
  <c r="Q81" i="3" s="1"/>
  <c r="A82" i="3"/>
  <c r="B82" i="3" s="1"/>
  <c r="A83" i="3"/>
  <c r="D83" i="3" s="1"/>
  <c r="A84" i="3"/>
  <c r="A85" i="3"/>
  <c r="F85" i="3" s="1"/>
  <c r="A86" i="3"/>
  <c r="A87" i="3"/>
  <c r="L87" i="3" s="1"/>
  <c r="A88" i="3"/>
  <c r="P88" i="3" s="1"/>
  <c r="A89" i="3"/>
  <c r="C89" i="3" s="1"/>
  <c r="A90" i="3"/>
  <c r="I90" i="3" s="1"/>
  <c r="A91" i="3"/>
  <c r="C91" i="3" s="1"/>
  <c r="A92" i="3"/>
  <c r="C92" i="3" s="1"/>
  <c r="A93" i="3"/>
  <c r="B93" i="3" s="1"/>
  <c r="A94" i="3"/>
  <c r="D94" i="3" s="1"/>
  <c r="A95" i="3"/>
  <c r="A96" i="3"/>
  <c r="B96" i="3" s="1"/>
  <c r="A97" i="3"/>
  <c r="F97" i="3" s="1"/>
  <c r="A98" i="3"/>
  <c r="B98" i="3" s="1"/>
  <c r="A99" i="3"/>
  <c r="I99" i="3" s="1"/>
  <c r="A100" i="3"/>
  <c r="F100" i="3" s="1"/>
  <c r="A101" i="3"/>
  <c r="N101" i="3" s="1"/>
  <c r="A102" i="3"/>
  <c r="F102" i="3" s="1"/>
  <c r="A103" i="3"/>
  <c r="G103" i="3" s="1"/>
  <c r="A104" i="3"/>
  <c r="B104" i="3" s="1"/>
  <c r="A105" i="3"/>
  <c r="Q105" i="3" s="1"/>
  <c r="A106" i="3"/>
  <c r="N106" i="3" s="1"/>
  <c r="A107" i="3"/>
  <c r="A108" i="3"/>
  <c r="D108" i="3" s="1"/>
  <c r="A109" i="3"/>
  <c r="G109" i="3" s="1"/>
  <c r="A110" i="3"/>
  <c r="I110" i="3" s="1"/>
  <c r="A111" i="3"/>
  <c r="C111" i="3" s="1"/>
  <c r="A112" i="3"/>
  <c r="D112" i="3" s="1"/>
  <c r="A113" i="3"/>
  <c r="F113" i="3" s="1"/>
  <c r="A114" i="3"/>
  <c r="J114" i="3" s="1"/>
  <c r="A115" i="3"/>
  <c r="I115" i="3" s="1"/>
  <c r="A116" i="3"/>
  <c r="B116" i="3" s="1"/>
  <c r="A117" i="3"/>
  <c r="F117" i="3" s="1"/>
  <c r="A118" i="3"/>
  <c r="F118" i="3" s="1"/>
  <c r="A119" i="3"/>
  <c r="L119" i="3" s="1"/>
  <c r="A120" i="3"/>
  <c r="I120" i="3" s="1"/>
  <c r="A121" i="3"/>
  <c r="Q121" i="3" s="1"/>
  <c r="A122" i="3"/>
  <c r="B122" i="3" s="1"/>
  <c r="A123" i="3"/>
  <c r="D123" i="3" s="1"/>
  <c r="A124" i="3"/>
  <c r="M124" i="3" s="1"/>
  <c r="A125" i="3"/>
  <c r="J125" i="3" s="1"/>
  <c r="A126" i="3"/>
  <c r="A127" i="3"/>
  <c r="F127" i="3" s="1"/>
  <c r="A128" i="3"/>
  <c r="Q128" i="3" s="1"/>
  <c r="A129" i="3"/>
  <c r="F129" i="3" s="1"/>
  <c r="A130" i="3"/>
  <c r="D130" i="3" s="1"/>
  <c r="A131" i="3"/>
  <c r="D131" i="3" s="1"/>
  <c r="A132" i="3"/>
  <c r="B132" i="3" s="1"/>
  <c r="A133" i="3"/>
  <c r="I133" i="3" s="1"/>
  <c r="A134" i="3"/>
  <c r="O134" i="3" s="1"/>
  <c r="A135" i="3"/>
  <c r="C135" i="3" s="1"/>
  <c r="A136" i="3"/>
  <c r="B136" i="3" s="1"/>
  <c r="A137" i="3"/>
  <c r="M137" i="3" s="1"/>
  <c r="A138" i="3"/>
  <c r="C138" i="3" s="1"/>
  <c r="A139" i="3"/>
  <c r="C139" i="3" s="1"/>
  <c r="A140" i="3"/>
  <c r="M140" i="3" s="1"/>
  <c r="A141" i="3"/>
  <c r="A142" i="3"/>
  <c r="P142" i="3" s="1"/>
  <c r="A143" i="3"/>
  <c r="F143" i="3" s="1"/>
  <c r="A144" i="3"/>
  <c r="Q144" i="3" s="1"/>
  <c r="A145" i="3"/>
  <c r="A146" i="3"/>
  <c r="M146" i="3" s="1"/>
  <c r="A147" i="3"/>
  <c r="C147" i="3" s="1"/>
  <c r="A148" i="3"/>
  <c r="Q148" i="3" s="1"/>
  <c r="A149" i="3"/>
  <c r="A150" i="3"/>
  <c r="A151" i="3"/>
  <c r="O151" i="3" s="1"/>
  <c r="A152" i="3"/>
  <c r="I152" i="3" s="1"/>
  <c r="A153" i="3"/>
  <c r="M153" i="3" s="1"/>
  <c r="A154" i="3"/>
  <c r="D154" i="3" s="1"/>
  <c r="A155" i="3"/>
  <c r="J155" i="3" s="1"/>
  <c r="A156" i="3"/>
  <c r="B156" i="3" s="1"/>
  <c r="A157" i="3"/>
  <c r="I157" i="3" s="1"/>
  <c r="A158" i="3"/>
  <c r="A159" i="3"/>
  <c r="G159" i="3" s="1"/>
  <c r="A160" i="3"/>
  <c r="I160" i="3" s="1"/>
  <c r="A161" i="3"/>
  <c r="I161" i="3" s="1"/>
  <c r="A162" i="3"/>
  <c r="D162" i="3" s="1"/>
  <c r="A163" i="3"/>
  <c r="D163" i="3" s="1"/>
  <c r="A164" i="3"/>
  <c r="A165" i="3"/>
  <c r="I165" i="3" s="1"/>
  <c r="A166" i="3"/>
  <c r="G166" i="3" s="1"/>
  <c r="A167" i="3"/>
  <c r="N167" i="3" s="1"/>
  <c r="A168" i="3"/>
  <c r="I168" i="3" s="1"/>
  <c r="A169" i="3"/>
  <c r="I169" i="3" s="1"/>
  <c r="A170" i="3"/>
  <c r="G170" i="3" s="1"/>
  <c r="A171" i="3"/>
  <c r="B171" i="3" s="1"/>
  <c r="A172" i="3"/>
  <c r="Q172" i="3" s="1"/>
  <c r="A173" i="3"/>
  <c r="A174" i="3"/>
  <c r="D174" i="3" s="1"/>
  <c r="A175" i="3"/>
  <c r="D175" i="3" s="1"/>
  <c r="A176" i="3"/>
  <c r="M176" i="3" s="1"/>
  <c r="A177" i="3"/>
  <c r="Q177" i="3" s="1"/>
  <c r="A178" i="3"/>
  <c r="B178" i="3" s="1"/>
  <c r="A179" i="3"/>
  <c r="P179" i="3" s="1"/>
  <c r="A180" i="3"/>
  <c r="Q180" i="3" s="1"/>
  <c r="A181" i="3"/>
  <c r="I181" i="3" s="1"/>
  <c r="A182" i="3"/>
  <c r="C182" i="3" s="1"/>
  <c r="A183" i="3"/>
  <c r="B183" i="3" s="1"/>
  <c r="A184" i="3"/>
  <c r="I184" i="3" s="1"/>
  <c r="A185" i="3"/>
  <c r="I185" i="3" s="1"/>
  <c r="A186" i="3"/>
  <c r="G186" i="3" s="1"/>
  <c r="A187" i="3"/>
  <c r="C187" i="3" s="1"/>
  <c r="A188" i="3"/>
  <c r="G188" i="3" s="1"/>
  <c r="A189" i="3"/>
  <c r="C10" i="2"/>
  <c r="B6" i="3" s="1"/>
  <c r="D6" i="5" s="1"/>
  <c r="D10" i="2"/>
  <c r="R10" i="2" s="1"/>
  <c r="A11" i="2"/>
  <c r="Q11" i="2" s="1"/>
  <c r="A12" i="2"/>
  <c r="D12" i="2" s="1"/>
  <c r="A13" i="2"/>
  <c r="L13" i="2" s="1"/>
  <c r="A14" i="2"/>
  <c r="L14" i="2" s="1"/>
  <c r="A15" i="2"/>
  <c r="I15" i="2" s="1"/>
  <c r="A16" i="2"/>
  <c r="E16" i="2" s="1"/>
  <c r="A17" i="2"/>
  <c r="Q17" i="2" s="1"/>
  <c r="A18" i="2"/>
  <c r="I18" i="2" s="1"/>
  <c r="A19" i="2"/>
  <c r="Q19" i="2" s="1"/>
  <c r="A20" i="2"/>
  <c r="C20" i="2" s="1"/>
  <c r="A21" i="2"/>
  <c r="L21" i="2" s="1"/>
  <c r="A22" i="2"/>
  <c r="Q22" i="2" s="1"/>
  <c r="A23" i="2"/>
  <c r="C23" i="2" s="1"/>
  <c r="A24" i="2"/>
  <c r="A25" i="2"/>
  <c r="A26" i="2"/>
  <c r="L26" i="2" s="1"/>
  <c r="A27" i="2"/>
  <c r="C27" i="2" s="1"/>
  <c r="A28" i="2"/>
  <c r="D28" i="2" s="1"/>
  <c r="A29" i="2"/>
  <c r="I29" i="2" s="1"/>
  <c r="A30" i="2"/>
  <c r="A31" i="2"/>
  <c r="Q31" i="2" s="1"/>
  <c r="A32" i="2"/>
  <c r="E32" i="2" s="1"/>
  <c r="A33" i="2"/>
  <c r="D33" i="2" s="1"/>
  <c r="A34" i="2"/>
  <c r="I34" i="2" s="1"/>
  <c r="A35" i="2"/>
  <c r="S35" i="2" s="1"/>
  <c r="A36" i="2"/>
  <c r="B36" i="2" s="1"/>
  <c r="A37" i="2"/>
  <c r="L37" i="2" s="1"/>
  <c r="A38" i="2"/>
  <c r="D38" i="2" s="1"/>
  <c r="A39" i="2"/>
  <c r="C39" i="2" s="1"/>
  <c r="A40" i="2"/>
  <c r="Q40" i="2" s="1"/>
  <c r="A41" i="2"/>
  <c r="L41" i="2" s="1"/>
  <c r="A42" i="2"/>
  <c r="L42" i="2" s="1"/>
  <c r="A43" i="2"/>
  <c r="I43" i="2" s="1"/>
  <c r="A44" i="2"/>
  <c r="H44" i="2" s="1"/>
  <c r="A45" i="2"/>
  <c r="I45" i="2" s="1"/>
  <c r="A46" i="2"/>
  <c r="A47" i="2"/>
  <c r="C47" i="2" s="1"/>
  <c r="A48" i="2"/>
  <c r="B48" i="2" s="1"/>
  <c r="A49" i="2"/>
  <c r="A50" i="2"/>
  <c r="I50" i="2" s="1"/>
  <c r="A51" i="2"/>
  <c r="S51" i="2" s="1"/>
  <c r="A52" i="2"/>
  <c r="B52" i="2" s="1"/>
  <c r="A53" i="2"/>
  <c r="D53" i="2" s="1"/>
  <c r="A54" i="2"/>
  <c r="D54" i="2" s="1"/>
  <c r="A55" i="2"/>
  <c r="C55" i="2" s="1"/>
  <c r="A56" i="2"/>
  <c r="B56" i="2" s="1"/>
  <c r="A57" i="2"/>
  <c r="Q57" i="2" s="1"/>
  <c r="A58" i="2"/>
  <c r="D58" i="2" s="1"/>
  <c r="A59" i="2"/>
  <c r="C59" i="2" s="1"/>
  <c r="A60" i="2"/>
  <c r="P60" i="2" s="1"/>
  <c r="A61" i="2"/>
  <c r="I61" i="2" s="1"/>
  <c r="A62" i="2"/>
  <c r="D62" i="2" s="1"/>
  <c r="A63" i="2"/>
  <c r="Q63" i="2" s="1"/>
  <c r="A64" i="2"/>
  <c r="B64" i="2" s="1"/>
  <c r="A65" i="2"/>
  <c r="D65" i="2" s="1"/>
  <c r="A66" i="2"/>
  <c r="Q66" i="2" s="1"/>
  <c r="A67" i="2"/>
  <c r="C67" i="2" s="1"/>
  <c r="A68" i="2"/>
  <c r="B68" i="2" s="1"/>
  <c r="A69" i="2"/>
  <c r="L69" i="2" s="1"/>
  <c r="A70" i="2"/>
  <c r="D70" i="2" s="1"/>
  <c r="A71" i="2"/>
  <c r="C71" i="2" s="1"/>
  <c r="A72" i="2"/>
  <c r="D72" i="2" s="1"/>
  <c r="A73" i="2"/>
  <c r="A74" i="2"/>
  <c r="A75" i="2"/>
  <c r="C75" i="2" s="1"/>
  <c r="A76" i="2"/>
  <c r="D76" i="2" s="1"/>
  <c r="A77" i="2"/>
  <c r="D77" i="2" s="1"/>
  <c r="A78" i="2"/>
  <c r="A79" i="2"/>
  <c r="A80" i="2"/>
  <c r="C80" i="2" s="1"/>
  <c r="A81" i="2"/>
  <c r="I81" i="2" s="1"/>
  <c r="A82" i="2"/>
  <c r="I82" i="2" s="1"/>
  <c r="A83" i="2"/>
  <c r="A84" i="2"/>
  <c r="I84" i="2" s="1"/>
  <c r="A85" i="2"/>
  <c r="D85" i="2" s="1"/>
  <c r="A86" i="2"/>
  <c r="D86" i="2" s="1"/>
  <c r="A87" i="2"/>
  <c r="I87" i="2" s="1"/>
  <c r="A88" i="2"/>
  <c r="C88" i="2" s="1"/>
  <c r="A89" i="2"/>
  <c r="I89" i="2" s="1"/>
  <c r="A90" i="2"/>
  <c r="A91" i="2"/>
  <c r="C91" i="2" s="1"/>
  <c r="A92" i="2"/>
  <c r="H92" i="2" s="1"/>
  <c r="A93" i="2"/>
  <c r="A94" i="2"/>
  <c r="D94" i="2" s="1"/>
  <c r="A95" i="2"/>
  <c r="I95" i="2" s="1"/>
  <c r="A96" i="2"/>
  <c r="D96" i="2" s="1"/>
  <c r="A97" i="2"/>
  <c r="I97" i="2" s="1"/>
  <c r="A98" i="2"/>
  <c r="I98" i="2" s="1"/>
  <c r="A99" i="2"/>
  <c r="I99" i="2" s="1"/>
  <c r="A100" i="2"/>
  <c r="C100" i="2" s="1"/>
  <c r="A101" i="2"/>
  <c r="D101" i="2" s="1"/>
  <c r="A102" i="2"/>
  <c r="D102" i="2" s="1"/>
  <c r="A103" i="2"/>
  <c r="I103" i="2" s="1"/>
  <c r="A104" i="2"/>
  <c r="D104" i="2" s="1"/>
  <c r="A105" i="2"/>
  <c r="I105" i="2" s="1"/>
  <c r="A106" i="2"/>
  <c r="I106" i="2" s="1"/>
  <c r="A107" i="2"/>
  <c r="A108" i="2"/>
  <c r="E108" i="2" s="1"/>
  <c r="A109" i="2"/>
  <c r="D109" i="2" s="1"/>
  <c r="A110" i="2"/>
  <c r="D110" i="2" s="1"/>
  <c r="A111" i="2"/>
  <c r="I111" i="2" s="1"/>
  <c r="A112" i="2"/>
  <c r="E112" i="2" s="1"/>
  <c r="A113" i="2"/>
  <c r="D113" i="2" s="1"/>
  <c r="A114" i="2"/>
  <c r="L114" i="2" s="1"/>
  <c r="A115" i="2"/>
  <c r="C115" i="2" s="1"/>
  <c r="A116" i="2"/>
  <c r="R116" i="2" s="1"/>
  <c r="A117" i="2"/>
  <c r="D117" i="2" s="1"/>
  <c r="A118" i="2"/>
  <c r="D118" i="2" s="1"/>
  <c r="A119" i="2"/>
  <c r="A120" i="2"/>
  <c r="D120" i="2" s="1"/>
  <c r="A121" i="2"/>
  <c r="I121" i="2" s="1"/>
  <c r="A122" i="2"/>
  <c r="L122" i="2" s="1"/>
  <c r="A123" i="2"/>
  <c r="C123" i="2" s="1"/>
  <c r="A124" i="2"/>
  <c r="D124" i="2" s="1"/>
  <c r="A125" i="2"/>
  <c r="D125" i="2" s="1"/>
  <c r="A126" i="2"/>
  <c r="D126" i="2" s="1"/>
  <c r="A127" i="2"/>
  <c r="I127" i="2" s="1"/>
  <c r="A128" i="2"/>
  <c r="D128" i="2" s="1"/>
  <c r="A129" i="2"/>
  <c r="I129" i="2" s="1"/>
  <c r="A130" i="2"/>
  <c r="I130" i="2" s="1"/>
  <c r="A131" i="2"/>
  <c r="C131" i="2" s="1"/>
  <c r="A132" i="2"/>
  <c r="C132" i="2" s="1"/>
  <c r="A133" i="2"/>
  <c r="D133" i="2" s="1"/>
  <c r="A134" i="2"/>
  <c r="A135" i="2"/>
  <c r="I135" i="2" s="1"/>
  <c r="A136" i="2"/>
  <c r="D136" i="2" s="1"/>
  <c r="A137" i="2"/>
  <c r="I137" i="2" s="1"/>
  <c r="A138" i="2"/>
  <c r="Q138" i="2" s="1"/>
  <c r="A139" i="2"/>
  <c r="C139" i="2" s="1"/>
  <c r="A140" i="2"/>
  <c r="C140" i="2" s="1"/>
  <c r="A141" i="2"/>
  <c r="D141" i="2" s="1"/>
  <c r="A142" i="2"/>
  <c r="A143" i="2"/>
  <c r="I143" i="2" s="1"/>
  <c r="A144" i="2"/>
  <c r="I144" i="2" s="1"/>
  <c r="A145" i="2"/>
  <c r="D145" i="2" s="1"/>
  <c r="A146" i="2"/>
  <c r="C146" i="2" s="1"/>
  <c r="A147" i="2"/>
  <c r="D147" i="2" s="1"/>
  <c r="A148" i="2"/>
  <c r="D148" i="2" s="1"/>
  <c r="A149" i="2"/>
  <c r="I149" i="2" s="1"/>
  <c r="A150" i="2"/>
  <c r="I150" i="2" s="1"/>
  <c r="A151" i="2"/>
  <c r="I151" i="2" s="1"/>
  <c r="A152" i="2"/>
  <c r="Q152" i="2" s="1"/>
  <c r="A153" i="2"/>
  <c r="A154" i="2"/>
  <c r="C154" i="2" s="1"/>
  <c r="A155" i="2"/>
  <c r="E155" i="2" s="1"/>
  <c r="A156" i="2"/>
  <c r="A157" i="2"/>
  <c r="I157" i="2" s="1"/>
  <c r="A158" i="2"/>
  <c r="A159" i="2"/>
  <c r="I159" i="2" s="1"/>
  <c r="A160" i="2"/>
  <c r="Q160" i="2" s="1"/>
  <c r="A161" i="2"/>
  <c r="D161" i="2" s="1"/>
  <c r="A162" i="2"/>
  <c r="C162" i="2" s="1"/>
  <c r="A163" i="2"/>
  <c r="A164" i="2"/>
  <c r="A165" i="2"/>
  <c r="I165" i="2" s="1"/>
  <c r="A166" i="2"/>
  <c r="Q166" i="2" s="1"/>
  <c r="A167" i="2"/>
  <c r="I167" i="2" s="1"/>
  <c r="A168" i="2"/>
  <c r="Q168" i="2" s="1"/>
  <c r="A169" i="2"/>
  <c r="D169" i="2" s="1"/>
  <c r="A170" i="2"/>
  <c r="Q170" i="2" s="1"/>
  <c r="A171" i="2"/>
  <c r="C171" i="2" s="1"/>
  <c r="A172" i="2"/>
  <c r="C172" i="2" s="1"/>
  <c r="A173" i="2"/>
  <c r="B173" i="2" s="1"/>
  <c r="A174" i="2"/>
  <c r="E174" i="2" s="1"/>
  <c r="A175" i="2"/>
  <c r="C175" i="2" s="1"/>
  <c r="A176" i="2"/>
  <c r="I176" i="2" s="1"/>
  <c r="A177" i="2"/>
  <c r="D177" i="2" s="1"/>
  <c r="A178" i="2"/>
  <c r="C178" i="2" s="1"/>
  <c r="A179" i="2"/>
  <c r="H179" i="2" s="1"/>
  <c r="A180" i="2"/>
  <c r="A181" i="2"/>
  <c r="D181" i="2" s="1"/>
  <c r="A182" i="2"/>
  <c r="E182" i="2" s="1"/>
  <c r="A183" i="2"/>
  <c r="A184" i="2"/>
  <c r="E184" i="2" s="1"/>
  <c r="A185" i="2"/>
  <c r="E185" i="2" s="1"/>
  <c r="A186" i="2"/>
  <c r="C186" i="2" s="1"/>
  <c r="A187" i="2"/>
  <c r="C187" i="2" s="1"/>
  <c r="A188" i="2"/>
  <c r="C188" i="2" s="1"/>
  <c r="A189" i="2"/>
  <c r="D189" i="2" s="1"/>
  <c r="A190" i="2"/>
  <c r="I190" i="2" s="1"/>
  <c r="A191" i="2"/>
  <c r="C191" i="2" s="1"/>
  <c r="A192" i="2"/>
  <c r="E192" i="2" s="1"/>
  <c r="A193" i="2"/>
  <c r="Q193" i="2" s="1"/>
  <c r="G240" i="2"/>
  <c r="C241" i="2"/>
  <c r="D241" i="2"/>
  <c r="F241" i="2"/>
  <c r="G241" i="2"/>
  <c r="C242" i="2"/>
  <c r="D242" i="2"/>
  <c r="F242" i="2"/>
  <c r="G242" i="2"/>
  <c r="C243" i="2"/>
  <c r="D243" i="2"/>
  <c r="F243" i="2"/>
  <c r="G243" i="2"/>
  <c r="C244" i="2"/>
  <c r="D244" i="2"/>
  <c r="F244" i="2"/>
  <c r="G244" i="2"/>
  <c r="A101" i="7" l="1"/>
  <c r="A29" i="7"/>
  <c r="L29" i="7" s="1"/>
  <c r="A159" i="7"/>
  <c r="A119" i="7"/>
  <c r="N119" i="7" s="1"/>
  <c r="A148" i="7"/>
  <c r="I148" i="7" s="1"/>
  <c r="A136" i="7"/>
  <c r="O136" i="7" s="1"/>
  <c r="A114" i="7"/>
  <c r="D114" i="7" s="1"/>
  <c r="A183" i="7"/>
  <c r="I183" i="7" s="1"/>
  <c r="A173" i="7"/>
  <c r="L173" i="7" s="1"/>
  <c r="A90" i="7"/>
  <c r="F90" i="7" s="1"/>
  <c r="A60" i="7"/>
  <c r="D60" i="7" s="1"/>
  <c r="A52" i="7"/>
  <c r="F52" i="7" s="1"/>
  <c r="A171" i="7"/>
  <c r="D171" i="7" s="1"/>
  <c r="A78" i="7"/>
  <c r="J78" i="7" s="1"/>
  <c r="A30" i="7"/>
  <c r="B30" i="7" s="1"/>
  <c r="A163" i="7"/>
  <c r="B163" i="7" s="1"/>
  <c r="A131" i="7"/>
  <c r="B131" i="7" s="1"/>
  <c r="A107" i="7"/>
  <c r="N107" i="7" s="1"/>
  <c r="A47" i="7"/>
  <c r="H47" i="7" s="1"/>
  <c r="A155" i="7"/>
  <c r="J155" i="7" s="1"/>
  <c r="A59" i="7"/>
  <c r="C59" i="7" s="1"/>
  <c r="A35" i="7"/>
  <c r="B35" i="7" s="1"/>
  <c r="A11" i="7"/>
  <c r="I11" i="7" s="1"/>
  <c r="A181" i="7"/>
  <c r="H181" i="7" s="1"/>
  <c r="A94" i="7"/>
  <c r="F94" i="7" s="1"/>
  <c r="A178" i="7"/>
  <c r="B178" i="7" s="1"/>
  <c r="A46" i="7"/>
  <c r="J46" i="7" s="1"/>
  <c r="A177" i="7"/>
  <c r="E177" i="7" s="1"/>
  <c r="A82" i="7"/>
  <c r="F82" i="7" s="1"/>
  <c r="B104" i="13"/>
  <c r="A130" i="7"/>
  <c r="B130" i="7" s="1"/>
  <c r="A80" i="7"/>
  <c r="K80" i="7" s="1"/>
  <c r="A34" i="7"/>
  <c r="G34" i="7" s="1"/>
  <c r="C240" i="2"/>
  <c r="F240" i="2" s="1"/>
  <c r="A169" i="7"/>
  <c r="F169" i="7" s="1"/>
  <c r="A127" i="7"/>
  <c r="B127" i="7" s="1"/>
  <c r="A67" i="7"/>
  <c r="O67" i="7" s="1"/>
  <c r="A16" i="7"/>
  <c r="H16" i="7" s="1"/>
  <c r="F19" i="14"/>
  <c r="A97" i="7"/>
  <c r="G97" i="7" s="1"/>
  <c r="L155" i="6"/>
  <c r="J155" i="6"/>
  <c r="E155" i="6"/>
  <c r="A146" i="7"/>
  <c r="D146" i="7" s="1"/>
  <c r="A122" i="7"/>
  <c r="A96" i="7"/>
  <c r="G96" i="7" s="1"/>
  <c r="A50" i="7"/>
  <c r="F50" i="7" s="1"/>
  <c r="A170" i="7"/>
  <c r="B170" i="7" s="1"/>
  <c r="A145" i="7"/>
  <c r="A121" i="7"/>
  <c r="E121" i="7" s="1"/>
  <c r="A74" i="7"/>
  <c r="F74" i="7" s="1"/>
  <c r="A49" i="7"/>
  <c r="E49" i="7" s="1"/>
  <c r="A26" i="7"/>
  <c r="B26" i="7" s="1"/>
  <c r="A144" i="7"/>
  <c r="I144" i="7" s="1"/>
  <c r="A120" i="7"/>
  <c r="K120" i="7" s="1"/>
  <c r="A73" i="7"/>
  <c r="G73" i="7" s="1"/>
  <c r="A48" i="7"/>
  <c r="K48" i="7" s="1"/>
  <c r="A25" i="7"/>
  <c r="K25" i="7" s="1"/>
  <c r="A167" i="7"/>
  <c r="E167" i="7" s="1"/>
  <c r="A24" i="7"/>
  <c r="E24" i="7" s="1"/>
  <c r="A166" i="7"/>
  <c r="I166" i="7" s="1"/>
  <c r="A89" i="7"/>
  <c r="G89" i="7" s="1"/>
  <c r="A23" i="7"/>
  <c r="C23" i="7" s="1"/>
  <c r="A182" i="7"/>
  <c r="M182" i="7" s="1"/>
  <c r="A165" i="7"/>
  <c r="N165" i="7" s="1"/>
  <c r="A113" i="7"/>
  <c r="C113" i="7" s="1"/>
  <c r="A85" i="7"/>
  <c r="C85" i="7" s="1"/>
  <c r="A68" i="7"/>
  <c r="D68" i="7" s="1"/>
  <c r="A17" i="7"/>
  <c r="A134" i="7"/>
  <c r="E134" i="7" s="1"/>
  <c r="A84" i="7"/>
  <c r="O84" i="7" s="1"/>
  <c r="A38" i="7"/>
  <c r="B38" i="7" s="1"/>
  <c r="A180" i="7"/>
  <c r="C180" i="7" s="1"/>
  <c r="A133" i="7"/>
  <c r="C133" i="7" s="1"/>
  <c r="A111" i="7"/>
  <c r="B111" i="7" s="1"/>
  <c r="A37" i="7"/>
  <c r="O37" i="7" s="1"/>
  <c r="A179" i="7"/>
  <c r="K179" i="7" s="1"/>
  <c r="A132" i="7"/>
  <c r="J132" i="7" s="1"/>
  <c r="A108" i="7"/>
  <c r="B108" i="7" s="1"/>
  <c r="A61" i="7"/>
  <c r="C61" i="7" s="1"/>
  <c r="A36" i="7"/>
  <c r="D36" i="7" s="1"/>
  <c r="A13" i="7"/>
  <c r="K13" i="7" s="1"/>
  <c r="A129" i="7"/>
  <c r="G129" i="7" s="1"/>
  <c r="A33" i="7"/>
  <c r="C33" i="7" s="1"/>
  <c r="A162" i="7"/>
  <c r="E162" i="7" s="1"/>
  <c r="A123" i="7"/>
  <c r="J123" i="7" s="1"/>
  <c r="A45" i="7"/>
  <c r="I45" i="7" s="1"/>
  <c r="A175" i="7"/>
  <c r="I175" i="7" s="1"/>
  <c r="A161" i="7"/>
  <c r="L161" i="7" s="1"/>
  <c r="A92" i="7"/>
  <c r="C92" i="7" s="1"/>
  <c r="A75" i="7"/>
  <c r="C75" i="7" s="1"/>
  <c r="A44" i="7"/>
  <c r="A174" i="7"/>
  <c r="A142" i="7"/>
  <c r="A106" i="7"/>
  <c r="B106" i="7" s="1"/>
  <c r="A91" i="7"/>
  <c r="C91" i="7" s="1"/>
  <c r="A58" i="7"/>
  <c r="A43" i="7"/>
  <c r="K43" i="7" s="1"/>
  <c r="A105" i="7"/>
  <c r="C105" i="7" s="1"/>
  <c r="A57" i="7"/>
  <c r="H57" i="7" s="1"/>
  <c r="A10" i="7"/>
  <c r="C10" i="7" s="1"/>
  <c r="A184" i="7"/>
  <c r="A156" i="7"/>
  <c r="E156" i="7" s="1"/>
  <c r="A104" i="7"/>
  <c r="A56" i="7"/>
  <c r="A39" i="7"/>
  <c r="O39" i="7" s="1"/>
  <c r="A8" i="7"/>
  <c r="I8" i="7" s="1"/>
  <c r="A117" i="7"/>
  <c r="L117" i="7" s="1"/>
  <c r="A103" i="7"/>
  <c r="C103" i="7" s="1"/>
  <c r="A55" i="7"/>
  <c r="F55" i="7" s="1"/>
  <c r="A154" i="7"/>
  <c r="L154" i="7" s="1"/>
  <c r="A116" i="7"/>
  <c r="D116" i="7" s="1"/>
  <c r="A70" i="7"/>
  <c r="B70" i="7" s="1"/>
  <c r="A22" i="7"/>
  <c r="F22" i="7" s="1"/>
  <c r="E165" i="5"/>
  <c r="A168" i="7"/>
  <c r="A153" i="7"/>
  <c r="A115" i="7"/>
  <c r="A99" i="7"/>
  <c r="C99" i="7" s="1"/>
  <c r="A69" i="7"/>
  <c r="L69" i="7" s="1"/>
  <c r="A21" i="7"/>
  <c r="E21" i="7" s="1"/>
  <c r="L23" i="6"/>
  <c r="O23" i="12" s="1"/>
  <c r="E243" i="2"/>
  <c r="O32" i="3"/>
  <c r="N69" i="3"/>
  <c r="O93" i="5"/>
  <c r="L145" i="10"/>
  <c r="I33" i="10"/>
  <c r="D73" i="13"/>
  <c r="I18" i="8"/>
  <c r="C84" i="14"/>
  <c r="O73" i="5"/>
  <c r="F167" i="12"/>
  <c r="F161" i="14"/>
  <c r="M167" i="6"/>
  <c r="K132" i="10"/>
  <c r="M109" i="6"/>
  <c r="H244"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A137" i="7"/>
  <c r="A77" i="7"/>
  <c r="L77" i="7" s="1"/>
  <c r="A53" i="7"/>
  <c r="L53" i="7" s="1"/>
  <c r="H167" i="6"/>
  <c r="L109" i="6"/>
  <c r="M8" i="6"/>
  <c r="K120" i="10"/>
  <c r="E110" i="10"/>
  <c r="K113" i="11"/>
  <c r="E78" i="12"/>
  <c r="F13" i="13"/>
  <c r="I161" i="2"/>
  <c r="I36" i="5"/>
  <c r="A151" i="7"/>
  <c r="I151" i="7" s="1"/>
  <c r="A88" i="7"/>
  <c r="B88" i="7" s="1"/>
  <c r="A65" i="7"/>
  <c r="G65" i="7" s="1"/>
  <c r="A51" i="7"/>
  <c r="L51" i="7" s="1"/>
  <c r="O56" i="10"/>
  <c r="M146" i="11"/>
  <c r="C170" i="12"/>
  <c r="C161" i="14"/>
  <c r="E70" i="14"/>
  <c r="P140" i="2"/>
  <c r="C56" i="2"/>
  <c r="A176" i="7"/>
  <c r="O176" i="7" s="1"/>
  <c r="A149" i="7"/>
  <c r="G149" i="7" s="1"/>
  <c r="A98" i="7"/>
  <c r="L98" i="7" s="1"/>
  <c r="A86" i="7"/>
  <c r="L86" i="7" s="1"/>
  <c r="E16" i="6"/>
  <c r="K93" i="5"/>
  <c r="A188" i="7"/>
  <c r="E188" i="7" s="1"/>
  <c r="M165" i="6"/>
  <c r="I96" i="10"/>
  <c r="K74" i="11"/>
  <c r="D125" i="14"/>
  <c r="E193" i="2"/>
  <c r="R147" i="2"/>
  <c r="L32" i="2"/>
  <c r="I171" i="3"/>
  <c r="M37" i="3"/>
  <c r="N163" i="5"/>
  <c r="A186" i="7"/>
  <c r="E186" i="7" s="1"/>
  <c r="A118" i="7"/>
  <c r="H118" i="7" s="1"/>
  <c r="A109" i="7"/>
  <c r="D109" i="7" s="1"/>
  <c r="N35" i="6"/>
  <c r="H242" i="2"/>
  <c r="B56" i="3"/>
  <c r="O165" i="5"/>
  <c r="A158" i="7"/>
  <c r="H158" i="7" s="1"/>
  <c r="F71" i="7"/>
  <c r="A9" i="7"/>
  <c r="B9" i="7" s="1"/>
  <c r="F131" i="6"/>
  <c r="L120" i="6"/>
  <c r="E103" i="6"/>
  <c r="O80" i="6"/>
  <c r="F104" i="10"/>
  <c r="K84" i="10"/>
  <c r="I62" i="10"/>
  <c r="N72" i="11"/>
  <c r="F87" i="14"/>
  <c r="C44" i="14"/>
  <c r="I40" i="2"/>
  <c r="M178" i="3"/>
  <c r="O12" i="3"/>
  <c r="N165" i="5"/>
  <c r="A128" i="7"/>
  <c r="K128" i="7" s="1"/>
  <c r="F111" i="6"/>
  <c r="I84" i="10"/>
  <c r="L72" i="11"/>
  <c r="G173" i="12"/>
  <c r="F47" i="12"/>
  <c r="Q144" i="2"/>
  <c r="L124" i="2"/>
  <c r="L92" i="2"/>
  <c r="Q60" i="2"/>
  <c r="F187" i="3"/>
  <c r="L135" i="3"/>
  <c r="L12" i="3"/>
  <c r="K165" i="5"/>
  <c r="L38" i="10"/>
  <c r="F173" i="12"/>
  <c r="A100" i="7"/>
  <c r="F100" i="7" s="1"/>
  <c r="D144" i="2"/>
  <c r="Q16" i="2"/>
  <c r="I64" i="3"/>
  <c r="B12" i="3"/>
  <c r="K101" i="5"/>
  <c r="A139" i="7"/>
  <c r="I139" i="7" s="1"/>
  <c r="A126" i="7"/>
  <c r="H126" i="7" s="1"/>
  <c r="F153" i="10"/>
  <c r="E173" i="12"/>
  <c r="B52" i="14"/>
  <c r="G19" i="8"/>
  <c r="O163" i="5"/>
  <c r="O109" i="5"/>
  <c r="O83" i="5"/>
  <c r="O65" i="5"/>
  <c r="C18" i="5"/>
  <c r="E18" i="13"/>
  <c r="E13" i="14"/>
  <c r="L123" i="11"/>
  <c r="B173" i="12"/>
  <c r="C163" i="5"/>
  <c r="F80" i="11"/>
  <c r="N60" i="11"/>
  <c r="E177" i="13"/>
  <c r="E154" i="13"/>
  <c r="D112" i="13"/>
  <c r="E86" i="13"/>
  <c r="E113" i="14"/>
  <c r="B63" i="14"/>
  <c r="D50" i="14"/>
  <c r="E28" i="14"/>
  <c r="E25" i="14"/>
  <c r="N129" i="5"/>
  <c r="F122" i="13"/>
  <c r="B177" i="14"/>
  <c r="G177" i="14" s="1"/>
  <c r="F125" i="14"/>
  <c r="E119" i="14"/>
  <c r="B79" i="14"/>
  <c r="F55" i="14"/>
  <c r="I188" i="2"/>
  <c r="B109" i="6"/>
  <c r="I96" i="6"/>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O36" i="3"/>
  <c r="F30" i="3"/>
  <c r="M15" i="3"/>
  <c r="F109" i="6"/>
  <c r="M38" i="6"/>
  <c r="J16" i="6"/>
  <c r="H11" i="6"/>
  <c r="P11" i="12" s="1"/>
  <c r="E176" i="10"/>
  <c r="N25" i="10"/>
  <c r="I19" i="8"/>
  <c r="F18" i="8"/>
  <c r="O141" i="5"/>
  <c r="I122" i="5"/>
  <c r="O101" i="5"/>
  <c r="N85" i="5"/>
  <c r="K65" i="5"/>
  <c r="I13" i="5"/>
  <c r="F78" i="12"/>
  <c r="F77" i="12"/>
  <c r="E134" i="13"/>
  <c r="E116" i="13"/>
  <c r="G110" i="13"/>
  <c r="F98" i="13"/>
  <c r="C69" i="13"/>
  <c r="B29"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B110" i="13"/>
  <c r="G40" i="13"/>
  <c r="B37"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R104" i="12" s="1"/>
  <c r="I94" i="6"/>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B108" i="13"/>
  <c r="B98" i="13"/>
  <c r="B96" i="13"/>
  <c r="B90" i="13"/>
  <c r="B81" i="13"/>
  <c r="E72" i="13"/>
  <c r="E69" i="13"/>
  <c r="G29" i="13"/>
  <c r="D21" i="13"/>
  <c r="F19" i="13"/>
  <c r="G13" i="13"/>
  <c r="B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E187" i="13"/>
  <c r="G170" i="13"/>
  <c r="C134" i="13"/>
  <c r="D127" i="13"/>
  <c r="F124" i="13"/>
  <c r="D122" i="13"/>
  <c r="B116" i="13"/>
  <c r="B100" i="13"/>
  <c r="E98" i="13"/>
  <c r="B86" i="13"/>
  <c r="F80" i="13"/>
  <c r="E13" i="13"/>
  <c r="F15" i="14"/>
  <c r="O151" i="5"/>
  <c r="O133" i="5"/>
  <c r="C123" i="5"/>
  <c r="I114" i="5"/>
  <c r="K107" i="5"/>
  <c r="O97" i="5"/>
  <c r="O89" i="5"/>
  <c r="O81" i="5"/>
  <c r="O75" i="5"/>
  <c r="N69" i="5"/>
  <c r="K63" i="5"/>
  <c r="N44" i="5"/>
  <c r="C34" i="5"/>
  <c r="N23" i="5"/>
  <c r="K166" i="11"/>
  <c r="I94" i="11"/>
  <c r="J92" i="11"/>
  <c r="L88" i="11"/>
  <c r="G53" i="11"/>
  <c r="G74" i="12"/>
  <c r="D98" i="13"/>
  <c r="F96" i="13"/>
  <c r="F90" i="13"/>
  <c r="C13"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N20" i="3"/>
  <c r="Q12" i="3"/>
  <c r="D12" i="3"/>
  <c r="L171" i="7"/>
  <c r="R191" i="2"/>
  <c r="Q173" i="2"/>
  <c r="L171" i="3"/>
  <c r="D171" i="3"/>
  <c r="G127" i="3"/>
  <c r="Q72" i="3"/>
  <c r="L189" i="7"/>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E59" i="5" s="1"/>
  <c r="P47" i="3"/>
  <c r="J28" i="3"/>
  <c r="H189" i="7"/>
  <c r="E171" i="7"/>
  <c r="E113" i="7"/>
  <c r="S75" i="2"/>
  <c r="G72" i="7"/>
  <c r="C72" i="7"/>
  <c r="O72" i="7"/>
  <c r="D72" i="7"/>
  <c r="I72" i="7"/>
  <c r="I12" i="10"/>
  <c r="L18" i="7"/>
  <c r="I183" i="6"/>
  <c r="K169" i="6"/>
  <c r="L52" i="6"/>
  <c r="M187" i="10"/>
  <c r="L133" i="10"/>
  <c r="H133" i="10"/>
  <c r="D133" i="10"/>
  <c r="O132" i="10"/>
  <c r="J132" i="10"/>
  <c r="E132" i="10"/>
  <c r="J125" i="10"/>
  <c r="N69" i="10"/>
  <c r="O68" i="10"/>
  <c r="L57" i="10"/>
  <c r="M49" i="10"/>
  <c r="F18" i="7"/>
  <c r="E183" i="6"/>
  <c r="I169" i="6"/>
  <c r="O130" i="6"/>
  <c r="J97" i="6"/>
  <c r="I77" i="6"/>
  <c r="K52" i="6"/>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64" i="12" s="1"/>
  <c r="I21" i="7"/>
  <c r="B18" i="7"/>
  <c r="L183" i="6"/>
  <c r="D183" i="6"/>
  <c r="I181" i="6"/>
  <c r="N177" i="6"/>
  <c r="K176" i="6"/>
  <c r="I170" i="6"/>
  <c r="C169" i="6"/>
  <c r="L131" i="6"/>
  <c r="K130" i="6"/>
  <c r="N122" i="6"/>
  <c r="H109" i="6"/>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D54"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D186" i="13"/>
  <c r="B173" i="13"/>
  <c r="D134" i="13"/>
  <c r="F129" i="13"/>
  <c r="F112" i="13"/>
  <c r="C110" i="13"/>
  <c r="E108" i="13"/>
  <c r="B94" i="13"/>
  <c r="B92" i="13"/>
  <c r="D90" i="13"/>
  <c r="B83" i="13"/>
  <c r="F81" i="13"/>
  <c r="E70" i="13"/>
  <c r="E65" i="13"/>
  <c r="C62" i="13"/>
  <c r="B59" i="13"/>
  <c r="C54" i="13"/>
  <c r="F51" i="13"/>
  <c r="B40" i="13"/>
  <c r="F37" i="13"/>
  <c r="C29" i="13"/>
  <c r="E189" i="14"/>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C170" i="13"/>
  <c r="D159" i="13"/>
  <c r="F156" i="13"/>
  <c r="F134" i="13"/>
  <c r="B112" i="13"/>
  <c r="F94" i="13"/>
  <c r="F84" i="13"/>
  <c r="G82" i="13"/>
  <c r="E64" i="13"/>
  <c r="G62" i="13"/>
  <c r="G54" i="13"/>
  <c r="D50" i="13"/>
  <c r="F40" i="13"/>
  <c r="E11" i="13"/>
  <c r="C9"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Q92" i="3"/>
  <c r="G92" i="3"/>
  <c r="O85" i="3"/>
  <c r="G85" i="3"/>
  <c r="L47" i="3"/>
  <c r="P40" i="3"/>
  <c r="Q39" i="3"/>
  <c r="L165" i="6"/>
  <c r="F165" i="6"/>
  <c r="C161" i="6"/>
  <c r="I161" i="6"/>
  <c r="F161" i="6"/>
  <c r="E112" i="6"/>
  <c r="L112" i="6"/>
  <c r="I112" i="6"/>
  <c r="C95" i="6"/>
  <c r="L95" i="6"/>
  <c r="E73" i="6"/>
  <c r="H73" i="6"/>
  <c r="L73" i="12" s="1"/>
  <c r="B73" i="6"/>
  <c r="L73" i="6"/>
  <c r="I12" i="6"/>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L181" i="6"/>
  <c r="D181" i="6"/>
  <c r="I180" i="6"/>
  <c r="M169" i="6"/>
  <c r="E169" i="6"/>
  <c r="I168" i="6"/>
  <c r="Q168" i="12" s="1"/>
  <c r="L167" i="6"/>
  <c r="E167" i="6"/>
  <c r="N165" i="6"/>
  <c r="I165" i="6"/>
  <c r="B165" i="6"/>
  <c r="B114" i="6"/>
  <c r="G114" i="6"/>
  <c r="E114" i="6"/>
  <c r="C71" i="6"/>
  <c r="K71" i="6"/>
  <c r="S71" i="12" s="1"/>
  <c r="O71" i="6"/>
  <c r="G71" i="6"/>
  <c r="D69" i="6"/>
  <c r="I69" i="6"/>
  <c r="Q69" i="12" s="1"/>
  <c r="N69" i="6"/>
  <c r="E69" i="6"/>
  <c r="J69" i="6"/>
  <c r="B69" i="6"/>
  <c r="H69" i="6"/>
  <c r="M69" i="6"/>
  <c r="B41" i="6"/>
  <c r="I41" i="6"/>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C188" i="13"/>
  <c r="G188" i="13"/>
  <c r="E185" i="13"/>
  <c r="B182" i="13"/>
  <c r="F182" i="13"/>
  <c r="F178" i="13"/>
  <c r="C138" i="13"/>
  <c r="D138" i="13"/>
  <c r="E138" i="13"/>
  <c r="G126" i="13"/>
  <c r="F118" i="13"/>
  <c r="D102" i="13"/>
  <c r="E102" i="13"/>
  <c r="B102" i="13"/>
  <c r="G102" i="13"/>
  <c r="C102" i="13"/>
  <c r="L183" i="11"/>
  <c r="L163" i="11"/>
  <c r="M154" i="11"/>
  <c r="H144" i="11"/>
  <c r="O134" i="11"/>
  <c r="K129" i="11"/>
  <c r="L127" i="11"/>
  <c r="H64" i="11"/>
  <c r="F34" i="11"/>
  <c r="N32" i="11"/>
  <c r="I32" i="11"/>
  <c r="D32" i="11"/>
  <c r="E178" i="13"/>
  <c r="C130" i="13"/>
  <c r="G130" i="13"/>
  <c r="D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C186" i="13"/>
  <c r="B186" i="13"/>
  <c r="D177" i="13"/>
  <c r="C177" i="13"/>
  <c r="C171" i="13"/>
  <c r="D171" i="13"/>
  <c r="E171" i="13"/>
  <c r="E146" i="13"/>
  <c r="G146" i="13"/>
  <c r="F130" i="13"/>
  <c r="D125" i="13"/>
  <c r="B125" i="13"/>
  <c r="G125" i="13"/>
  <c r="C106" i="13"/>
  <c r="E106" i="13"/>
  <c r="B106" i="13"/>
  <c r="D106" i="13"/>
  <c r="N26" i="5"/>
  <c r="E127" i="12"/>
  <c r="E109" i="12"/>
  <c r="D99" i="12"/>
  <c r="E63" i="12"/>
  <c r="F40" i="12"/>
  <c r="D19" i="12"/>
  <c r="C178" i="13"/>
  <c r="B178" i="13"/>
  <c r="E130" i="13"/>
  <c r="C118" i="13"/>
  <c r="G118" i="13"/>
  <c r="D118" i="13"/>
  <c r="C114" i="13"/>
  <c r="B114" i="13"/>
  <c r="D114" i="13"/>
  <c r="F104" i="13"/>
  <c r="F100" i="13"/>
  <c r="E96" i="13"/>
  <c r="D94" i="13"/>
  <c r="C80" i="13"/>
  <c r="G56" i="13"/>
  <c r="E38" i="13"/>
  <c r="G34" i="13"/>
  <c r="G25" i="13"/>
  <c r="C156" i="14"/>
  <c r="C149" i="14"/>
  <c r="E148" i="14"/>
  <c r="E127" i="14"/>
  <c r="G125" i="14"/>
  <c r="D115" i="14"/>
  <c r="C113" i="14"/>
  <c r="E55" i="14"/>
  <c r="F52" i="14"/>
  <c r="E39" i="14"/>
  <c r="E37" i="14"/>
  <c r="D33" i="14"/>
  <c r="F31" i="14"/>
  <c r="D29" i="14"/>
  <c r="F11" i="14"/>
  <c r="E9" i="14"/>
  <c r="F116" i="13"/>
  <c r="E112" i="13"/>
  <c r="D104" i="13"/>
  <c r="E100" i="13"/>
  <c r="D96" i="13"/>
  <c r="G94" i="13"/>
  <c r="F92" i="13"/>
  <c r="G86" i="13"/>
  <c r="E83" i="13"/>
  <c r="G80" i="13"/>
  <c r="B80" i="13"/>
  <c r="F73" i="13"/>
  <c r="G69" i="13"/>
  <c r="E56" i="13"/>
  <c r="G50" i="13"/>
  <c r="C38" i="13"/>
  <c r="D34" i="13"/>
  <c r="E29" i="13"/>
  <c r="F23" i="13"/>
  <c r="F187" i="14"/>
  <c r="F160" i="14"/>
  <c r="B156" i="14"/>
  <c r="D153" i="14"/>
  <c r="F149" i="14"/>
  <c r="B149" i="14"/>
  <c r="B148" i="14"/>
  <c r="B127" i="14"/>
  <c r="B115" i="14"/>
  <c r="F113" i="14"/>
  <c r="B113" i="14"/>
  <c r="G113" i="14" s="1"/>
  <c r="F111" i="14"/>
  <c r="E109" i="14"/>
  <c r="G109" i="14" s="1"/>
  <c r="F107" i="14"/>
  <c r="E97" i="14"/>
  <c r="E95" i="14"/>
  <c r="E94" i="14"/>
  <c r="D59" i="14"/>
  <c r="D55" i="14"/>
  <c r="E53" i="14"/>
  <c r="E52" i="14"/>
  <c r="B39" i="14"/>
  <c r="C37" i="14"/>
  <c r="B33" i="14"/>
  <c r="G4" i="21" s="1"/>
  <c r="E31" i="14"/>
  <c r="B29" i="14"/>
  <c r="F27" i="14"/>
  <c r="E20" i="14"/>
  <c r="D11" i="14"/>
  <c r="C9" i="14"/>
  <c r="E7" i="14"/>
  <c r="E80" i="13"/>
  <c r="G38" i="13"/>
  <c r="E156" i="14"/>
  <c r="F148" i="14"/>
  <c r="F127" i="14"/>
  <c r="E115" i="14"/>
  <c r="F39" i="14"/>
  <c r="E33" i="14"/>
  <c r="F4" i="21" s="1"/>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I33" i="2"/>
  <c r="Q33" i="2"/>
  <c r="I27" i="2"/>
  <c r="Q181" i="3"/>
  <c r="I154" i="3"/>
  <c r="M154" i="3"/>
  <c r="P154" i="3"/>
  <c r="D145" i="3"/>
  <c r="I145" i="3"/>
  <c r="Q145" i="3"/>
  <c r="B144" i="3"/>
  <c r="M144" i="3"/>
  <c r="F144" i="3"/>
  <c r="N144" i="3"/>
  <c r="L141" i="3"/>
  <c r="I141" i="3"/>
  <c r="P141" i="3"/>
  <c r="I134" i="3"/>
  <c r="C134" i="3"/>
  <c r="P134" i="3"/>
  <c r="G134" i="3"/>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D36" i="2"/>
  <c r="M36" i="2"/>
  <c r="E36" i="2"/>
  <c r="P36" i="2"/>
  <c r="L189" i="3"/>
  <c r="F189" i="3"/>
  <c r="Q189" i="3"/>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A172" i="7"/>
  <c r="I172" i="7" s="1"/>
  <c r="I164" i="6"/>
  <c r="Q164" i="12" s="1"/>
  <c r="K164" i="6"/>
  <c r="A164" i="7"/>
  <c r="E164" i="7" s="1"/>
  <c r="B147" i="6"/>
  <c r="F147" i="6"/>
  <c r="I147" i="6"/>
  <c r="L147" i="6"/>
  <c r="B135" i="6"/>
  <c r="F135" i="6"/>
  <c r="J135" i="6"/>
  <c r="N135" i="6"/>
  <c r="C135" i="6"/>
  <c r="G135" i="6"/>
  <c r="K135" i="6"/>
  <c r="O135" i="6"/>
  <c r="D135" i="6"/>
  <c r="H135" i="6"/>
  <c r="P135" i="12" s="1"/>
  <c r="L135" i="6"/>
  <c r="B125" i="6"/>
  <c r="E125" i="6"/>
  <c r="H125" i="6"/>
  <c r="J125" i="6"/>
  <c r="A125" i="7"/>
  <c r="E54" i="6"/>
  <c r="J54" i="6"/>
  <c r="A54" i="7"/>
  <c r="I54" i="7" s="1"/>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L46" i="3"/>
  <c r="O45" i="3"/>
  <c r="O40" i="3"/>
  <c r="J40" i="3"/>
  <c r="D40" i="3"/>
  <c r="N36" i="3"/>
  <c r="I36" i="3"/>
  <c r="C36" i="3"/>
  <c r="O35" i="3"/>
  <c r="P34" i="3"/>
  <c r="M32" i="3"/>
  <c r="F32" i="3"/>
  <c r="O31" i="3"/>
  <c r="P28" i="3"/>
  <c r="G28" i="3"/>
  <c r="I25" i="3"/>
  <c r="P24" i="3"/>
  <c r="G24" i="3"/>
  <c r="I20" i="3"/>
  <c r="O19" i="3"/>
  <c r="N16" i="3"/>
  <c r="L14" i="3"/>
  <c r="O13" i="3"/>
  <c r="L7" i="3"/>
  <c r="F189" i="7"/>
  <c r="A187" i="7"/>
  <c r="C187" i="7" s="1"/>
  <c r="E180" i="7"/>
  <c r="M171" i="7"/>
  <c r="I161" i="7"/>
  <c r="M152" i="7"/>
  <c r="F152" i="7"/>
  <c r="J148" i="7"/>
  <c r="F136" i="7"/>
  <c r="A135" i="7"/>
  <c r="B135" i="7" s="1"/>
  <c r="F114" i="7"/>
  <c r="E112" i="7"/>
  <c r="C112" i="7"/>
  <c r="I112" i="7"/>
  <c r="D112" i="7"/>
  <c r="L112" i="7"/>
  <c r="J83" i="7"/>
  <c r="B83" i="7"/>
  <c r="C81" i="7"/>
  <c r="H81" i="7"/>
  <c r="M81" i="7"/>
  <c r="D81" i="7"/>
  <c r="I81" i="7"/>
  <c r="O81" i="7"/>
  <c r="E81" i="7"/>
  <c r="K81" i="7"/>
  <c r="B63" i="7"/>
  <c r="F63" i="7"/>
  <c r="K63" i="7"/>
  <c r="E46" i="7"/>
  <c r="B46" i="7"/>
  <c r="M46" i="7"/>
  <c r="F46" i="7"/>
  <c r="H46" i="7"/>
  <c r="E150" i="6"/>
  <c r="A150" i="7"/>
  <c r="I150" i="7" s="1"/>
  <c r="M135" i="6"/>
  <c r="I66" i="6"/>
  <c r="M66" i="12" s="1"/>
  <c r="A66" i="7"/>
  <c r="M66" i="7" s="1"/>
  <c r="C62" i="6"/>
  <c r="A62" i="7"/>
  <c r="K62" i="7" s="1"/>
  <c r="B13" i="6"/>
  <c r="F13" i="6"/>
  <c r="J13" i="6"/>
  <c r="N13" i="6"/>
  <c r="C13" i="6"/>
  <c r="G13" i="6"/>
  <c r="K13" i="6"/>
  <c r="O13" i="6"/>
  <c r="D13" i="6"/>
  <c r="L13" i="6"/>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H36" i="3" s="1"/>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A147" i="7"/>
  <c r="L147" i="7" s="1"/>
  <c r="E136" i="7"/>
  <c r="C77" i="7"/>
  <c r="D77" i="7"/>
  <c r="O77" i="7"/>
  <c r="G77" i="7"/>
  <c r="I77" i="7"/>
  <c r="E185" i="6"/>
  <c r="I185" i="6"/>
  <c r="M185" i="6"/>
  <c r="B141" i="6"/>
  <c r="L141" i="6"/>
  <c r="A141" i="7"/>
  <c r="I135" i="6"/>
  <c r="C76" i="6"/>
  <c r="L76" i="5" s="1"/>
  <c r="O76" i="6"/>
  <c r="A76" i="7"/>
  <c r="I76" i="7" s="1"/>
  <c r="F15" i="6"/>
  <c r="L15" i="6"/>
  <c r="A15" i="7"/>
  <c r="C15" i="7" s="1"/>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A160" i="7"/>
  <c r="I160" i="7" s="1"/>
  <c r="B152" i="6"/>
  <c r="I152" i="6"/>
  <c r="E135" i="6"/>
  <c r="F110" i="6"/>
  <c r="I110" i="6"/>
  <c r="K110" i="6"/>
  <c r="A110" i="7"/>
  <c r="C110" i="7" s="1"/>
  <c r="I102" i="6"/>
  <c r="A102" i="7"/>
  <c r="C87" i="6"/>
  <c r="H87" i="6"/>
  <c r="M87" i="6"/>
  <c r="D87" i="6"/>
  <c r="I87" i="6"/>
  <c r="Q87" i="12" s="1"/>
  <c r="O87" i="6"/>
  <c r="E87" i="6"/>
  <c r="G87" i="6"/>
  <c r="A87" i="7"/>
  <c r="F87" i="7" s="1"/>
  <c r="K87" i="6"/>
  <c r="R87" i="12" s="1"/>
  <c r="E83" i="6"/>
  <c r="G83" i="6"/>
  <c r="I83" i="6"/>
  <c r="Q83" i="12" s="1"/>
  <c r="C83" i="6"/>
  <c r="L83" i="5" s="1"/>
  <c r="K83" i="6"/>
  <c r="R83" i="12" s="1"/>
  <c r="O83" i="6"/>
  <c r="B51" i="6"/>
  <c r="G51" i="6"/>
  <c r="M51" i="6"/>
  <c r="C51" i="6"/>
  <c r="I51" i="6"/>
  <c r="N51" i="6"/>
  <c r="E51" i="6"/>
  <c r="O51" i="6"/>
  <c r="F51" i="6"/>
  <c r="J51" i="6"/>
  <c r="E28" i="6"/>
  <c r="A28" i="7"/>
  <c r="K173" i="10"/>
  <c r="E94" i="7"/>
  <c r="F42" i="7"/>
  <c r="K31" i="7"/>
  <c r="M27" i="7"/>
  <c r="G27" i="7"/>
  <c r="O21" i="7"/>
  <c r="C21" i="7"/>
  <c r="M12" i="7"/>
  <c r="N10" i="7"/>
  <c r="K7" i="7"/>
  <c r="G180" i="6"/>
  <c r="M177" i="6"/>
  <c r="E177" i="6"/>
  <c r="I176" i="6"/>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L56" i="6"/>
  <c r="D56" i="6"/>
  <c r="I56" i="6"/>
  <c r="Q56" i="12" s="1"/>
  <c r="F42" i="6"/>
  <c r="I42" i="6"/>
  <c r="H36" i="6"/>
  <c r="C31" i="6"/>
  <c r="K31" i="6"/>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C99" i="6"/>
  <c r="G99" i="6"/>
  <c r="K99" i="6"/>
  <c r="B93" i="6"/>
  <c r="F93" i="6"/>
  <c r="L93" i="6"/>
  <c r="E81" i="6"/>
  <c r="L81" i="6"/>
  <c r="I68" i="6"/>
  <c r="O68" i="6"/>
  <c r="C52" i="6"/>
  <c r="H52" i="6"/>
  <c r="M52" i="6"/>
  <c r="D52" i="6"/>
  <c r="I52" i="6"/>
  <c r="O52" i="6"/>
  <c r="F50" i="6"/>
  <c r="I50" i="6"/>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6"/>
  <c r="C112" i="6"/>
  <c r="D112" i="6"/>
  <c r="K112" i="6"/>
  <c r="D85" i="6"/>
  <c r="I85" i="6"/>
  <c r="N85" i="6"/>
  <c r="I63" i="6"/>
  <c r="Q63" i="12" s="1"/>
  <c r="M63" i="6"/>
  <c r="H60" i="6"/>
  <c r="L60" i="6"/>
  <c r="O60" i="12" s="1"/>
  <c r="E36" i="6"/>
  <c r="C36" i="6"/>
  <c r="I36" i="6"/>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C150" i="13"/>
  <c r="G150" i="13"/>
  <c r="C54" i="11"/>
  <c r="B54" i="11"/>
  <c r="H54" i="11"/>
  <c r="M54" i="11"/>
  <c r="D54" i="11"/>
  <c r="I54" i="11"/>
  <c r="N54" i="11"/>
  <c r="C52" i="11"/>
  <c r="D52" i="11"/>
  <c r="N52" i="11"/>
  <c r="F52" i="11"/>
  <c r="C50" i="11"/>
  <c r="L50" i="11"/>
  <c r="C47" i="11"/>
  <c r="K47" i="11"/>
  <c r="E35" i="11"/>
  <c r="H35" i="11"/>
  <c r="K35" i="11"/>
  <c r="D189" i="12"/>
  <c r="F189" i="12"/>
  <c r="G189" i="12"/>
  <c r="C181" i="12"/>
  <c r="F181" i="12"/>
  <c r="C122" i="12"/>
  <c r="F122" i="12"/>
  <c r="G122" i="12"/>
  <c r="B86" i="12"/>
  <c r="G86" i="12"/>
  <c r="C73" i="12"/>
  <c r="B73" i="12"/>
  <c r="E73" i="12"/>
  <c r="C70" i="12"/>
  <c r="F70" i="12"/>
  <c r="F60" i="12"/>
  <c r="C60" i="12"/>
  <c r="B41" i="12"/>
  <c r="C41" i="12"/>
  <c r="E41" i="12"/>
  <c r="G41" i="12"/>
  <c r="C37" i="12"/>
  <c r="B37" i="12"/>
  <c r="E37" i="12"/>
  <c r="F37" i="12"/>
  <c r="C14" i="12"/>
  <c r="G14" i="12"/>
  <c r="D149" i="13"/>
  <c r="B149" i="13"/>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K190" i="12"/>
  <c r="C138" i="12"/>
  <c r="E138" i="12"/>
  <c r="F138" i="12"/>
  <c r="C130" i="12"/>
  <c r="B130" i="12"/>
  <c r="F130" i="12"/>
  <c r="F126" i="12"/>
  <c r="E123" i="12"/>
  <c r="D103" i="12"/>
  <c r="F103" i="12"/>
  <c r="F89" i="12"/>
  <c r="D89" i="12"/>
  <c r="E62" i="12"/>
  <c r="G62" i="12"/>
  <c r="B44" i="12"/>
  <c r="C44" i="12"/>
  <c r="F44" i="12"/>
  <c r="D23" i="12"/>
  <c r="B23" i="12"/>
  <c r="F23" i="12"/>
  <c r="C158" i="13"/>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D176" i="13"/>
  <c r="F176" i="13"/>
  <c r="D157" i="13"/>
  <c r="B157" i="13"/>
  <c r="F157" i="13"/>
  <c r="G157" i="13"/>
  <c r="C49" i="12"/>
  <c r="F43" i="12"/>
  <c r="E122" i="13"/>
  <c r="F108" i="13"/>
  <c r="E104" i="13"/>
  <c r="E90" i="13"/>
  <c r="F86" i="13"/>
  <c r="F83" i="13"/>
  <c r="I60" i="11"/>
  <c r="I53" i="11"/>
  <c r="E151" i="12"/>
  <c r="F109" i="12"/>
  <c r="E99" i="12"/>
  <c r="E87" i="12"/>
  <c r="F63" i="12"/>
  <c r="G49" i="12"/>
  <c r="E40" i="12"/>
  <c r="C126" i="13"/>
  <c r="B122" i="13"/>
  <c r="G9" i="14"/>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H3" i="21" s="1"/>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D88" i="2"/>
  <c r="F88" i="2" s="1"/>
  <c r="Q87" i="2"/>
  <c r="L85" i="2"/>
  <c r="R84" i="2"/>
  <c r="L84" i="2"/>
  <c r="D78" i="2"/>
  <c r="L78" i="2"/>
  <c r="B76" i="2"/>
  <c r="H76" i="2"/>
  <c r="M76" i="2"/>
  <c r="R76" i="2"/>
  <c r="I74" i="2"/>
  <c r="R72" i="2"/>
  <c r="H72" i="2"/>
  <c r="S68" i="2"/>
  <c r="L68" i="2"/>
  <c r="Q64" i="2"/>
  <c r="S59" i="2"/>
  <c r="E56" i="2"/>
  <c r="H56" i="2"/>
  <c r="S56" i="2"/>
  <c r="D48" i="2"/>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O154" i="3"/>
  <c r="C151" i="3"/>
  <c r="I151" i="3"/>
  <c r="G146" i="3"/>
  <c r="D146" i="3"/>
  <c r="O146" i="3"/>
  <c r="B142" i="3"/>
  <c r="C142" i="3"/>
  <c r="L142" i="3"/>
  <c r="Q142" i="3"/>
  <c r="D142" i="3"/>
  <c r="M142" i="3"/>
  <c r="G142" i="3"/>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E76" i="5" s="1"/>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K112" i="3" s="1"/>
  <c r="P111" i="3"/>
  <c r="M108" i="3"/>
  <c r="F108" i="3"/>
  <c r="H108" i="3" s="1"/>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L52" i="3"/>
  <c r="D96" i="3"/>
  <c r="F96" i="3"/>
  <c r="M96" i="3"/>
  <c r="I89" i="3"/>
  <c r="F89" i="3"/>
  <c r="G83" i="3"/>
  <c r="Q83" i="3"/>
  <c r="B81" i="3"/>
  <c r="F81" i="3"/>
  <c r="G79" i="3"/>
  <c r="I79" i="3"/>
  <c r="Q79" i="3"/>
  <c r="F74" i="3"/>
  <c r="D74" i="3"/>
  <c r="N74" i="3"/>
  <c r="I74" i="3"/>
  <c r="P74" i="3"/>
  <c r="D62" i="3"/>
  <c r="N62" i="3"/>
  <c r="F62" i="3"/>
  <c r="Q62" i="3"/>
  <c r="B61" i="3"/>
  <c r="M61" i="3"/>
  <c r="F61" i="3"/>
  <c r="O61" i="3"/>
  <c r="C60" i="3"/>
  <c r="B60" i="3"/>
  <c r="M60" i="3"/>
  <c r="F60" i="3"/>
  <c r="H60" i="3" s="1"/>
  <c r="P60" i="3"/>
  <c r="F58" i="3"/>
  <c r="N58" i="3"/>
  <c r="J50" i="3"/>
  <c r="L50" i="3"/>
  <c r="B38" i="3"/>
  <c r="F38" i="3"/>
  <c r="J37" i="3"/>
  <c r="C27" i="3"/>
  <c r="L27" i="3"/>
  <c r="J26" i="3"/>
  <c r="P23" i="3"/>
  <c r="M21" i="3"/>
  <c r="G13" i="3"/>
  <c r="Q13" i="3"/>
  <c r="J189" i="7"/>
  <c r="E183" i="7"/>
  <c r="I162" i="7"/>
  <c r="M162" i="7"/>
  <c r="N148" i="7"/>
  <c r="F148" i="7"/>
  <c r="O47" i="3"/>
  <c r="G47" i="3"/>
  <c r="J45" i="3"/>
  <c r="P44" i="3"/>
  <c r="M42" i="3"/>
  <c r="F42" i="3"/>
  <c r="Q37" i="3"/>
  <c r="G37" i="3"/>
  <c r="F34" i="3"/>
  <c r="M34" i="3"/>
  <c r="G31" i="3"/>
  <c r="E31" i="5" s="1"/>
  <c r="F31" i="5" s="1"/>
  <c r="G31" i="5" s="1"/>
  <c r="L31" i="3"/>
  <c r="C28" i="3"/>
  <c r="I28" i="3"/>
  <c r="N28" i="3"/>
  <c r="Q26" i="3"/>
  <c r="D26" i="3"/>
  <c r="M23" i="3"/>
  <c r="J21" i="3"/>
  <c r="J13" i="3"/>
  <c r="I9" i="3"/>
  <c r="F9" i="3"/>
  <c r="C189" i="7"/>
  <c r="D189" i="7"/>
  <c r="I189" i="7"/>
  <c r="N189" i="7"/>
  <c r="J163" i="7"/>
  <c r="M148" i="7"/>
  <c r="M77" i="3"/>
  <c r="M72" i="3"/>
  <c r="F72" i="3"/>
  <c r="P71" i="3"/>
  <c r="M68" i="3"/>
  <c r="F68" i="3"/>
  <c r="O67" i="3"/>
  <c r="M66" i="3"/>
  <c r="M64" i="3"/>
  <c r="F64" i="3"/>
  <c r="N57" i="3"/>
  <c r="P56" i="3"/>
  <c r="G56" i="3"/>
  <c r="E56" i="5" s="1"/>
  <c r="M47" i="3"/>
  <c r="F45" i="3"/>
  <c r="H45" i="3" s="1"/>
  <c r="L44" i="3"/>
  <c r="Q42" i="3"/>
  <c r="L42" i="3"/>
  <c r="L39" i="3"/>
  <c r="G39" i="3"/>
  <c r="E39" i="5" s="1"/>
  <c r="F39" i="5" s="1"/>
  <c r="G39" i="5" s="1"/>
  <c r="O37" i="3"/>
  <c r="I35" i="3"/>
  <c r="G35" i="3"/>
  <c r="C32" i="3"/>
  <c r="I32" i="3"/>
  <c r="N32" i="3"/>
  <c r="Q30" i="3"/>
  <c r="M28" i="3"/>
  <c r="F28" i="3"/>
  <c r="Q27" i="3"/>
  <c r="N26" i="3"/>
  <c r="L23" i="3"/>
  <c r="C21" i="3"/>
  <c r="M18" i="3"/>
  <c r="C16" i="3"/>
  <c r="G16" i="3"/>
  <c r="F13" i="3"/>
  <c r="H13" i="3" s="1"/>
  <c r="G11" i="3"/>
  <c r="F10" i="3"/>
  <c r="L10" i="3"/>
  <c r="D167" i="7"/>
  <c r="C163" i="7"/>
  <c r="H163" i="7"/>
  <c r="F37" i="3"/>
  <c r="N37" i="3"/>
  <c r="I26" i="3"/>
  <c r="P26" i="3"/>
  <c r="C8" i="3"/>
  <c r="I8" i="3"/>
  <c r="N163" i="7"/>
  <c r="C148" i="7"/>
  <c r="G148" i="7"/>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I173" i="6"/>
  <c r="B172" i="6"/>
  <c r="E172" i="6"/>
  <c r="I172" i="6"/>
  <c r="D171" i="6"/>
  <c r="B171" i="6"/>
  <c r="J171" i="6"/>
  <c r="E171" i="6"/>
  <c r="L171" i="6"/>
  <c r="I149" i="6"/>
  <c r="B148" i="6"/>
  <c r="C148" i="6"/>
  <c r="K148" i="6"/>
  <c r="E148" i="6"/>
  <c r="M148" i="6"/>
  <c r="G148" i="6"/>
  <c r="O148" i="6"/>
  <c r="D144" i="6"/>
  <c r="C144" i="6"/>
  <c r="K144" i="6"/>
  <c r="E144" i="6"/>
  <c r="L144" i="6"/>
  <c r="G144" i="6"/>
  <c r="M144" i="6"/>
  <c r="I180" i="7"/>
  <c r="M144" i="7"/>
  <c r="E144" i="7"/>
  <c r="L136" i="7"/>
  <c r="H136" i="7"/>
  <c r="M132" i="7"/>
  <c r="G132" i="7"/>
  <c r="B132" i="7"/>
  <c r="L114" i="7"/>
  <c r="K112" i="7"/>
  <c r="K111" i="7"/>
  <c r="G107" i="7"/>
  <c r="M105" i="7"/>
  <c r="M97" i="7"/>
  <c r="M94" i="7"/>
  <c r="L92" i="7"/>
  <c r="M72" i="7"/>
  <c r="K41" i="7"/>
  <c r="M30" i="7"/>
  <c r="C18" i="7"/>
  <c r="D18" i="7"/>
  <c r="I18" i="7"/>
  <c r="N18" i="7"/>
  <c r="E18" i="7"/>
  <c r="J18" i="7"/>
  <c r="J14" i="7"/>
  <c r="O7" i="7"/>
  <c r="E189" i="6"/>
  <c r="I189" i="6"/>
  <c r="M190" i="12" s="1"/>
  <c r="M189" i="6"/>
  <c r="C187" i="6"/>
  <c r="D187" i="6"/>
  <c r="I187" i="6"/>
  <c r="M187" i="12" s="1"/>
  <c r="N187" i="6"/>
  <c r="E187" i="6"/>
  <c r="J187" i="6"/>
  <c r="N179" i="6"/>
  <c r="C177" i="6"/>
  <c r="G177" i="6"/>
  <c r="K177" i="6"/>
  <c r="O177" i="6"/>
  <c r="D177" i="6"/>
  <c r="H177" i="6"/>
  <c r="L177" i="6"/>
  <c r="D176" i="6"/>
  <c r="E176" i="6"/>
  <c r="M176" i="6"/>
  <c r="G176" i="6"/>
  <c r="O176" i="6"/>
  <c r="M171" i="6"/>
  <c r="B164" i="6"/>
  <c r="C164" i="6"/>
  <c r="O164" i="6"/>
  <c r="G164" i="6"/>
  <c r="C157" i="6"/>
  <c r="E157" i="6"/>
  <c r="I157" i="6"/>
  <c r="M157" i="6"/>
  <c r="B151" i="6"/>
  <c r="H151" i="6"/>
  <c r="M151" i="6"/>
  <c r="D151" i="6"/>
  <c r="I151" i="6"/>
  <c r="M151" i="12" s="1"/>
  <c r="N151" i="6"/>
  <c r="E151" i="6"/>
  <c r="J151" i="6"/>
  <c r="C143" i="6"/>
  <c r="E143" i="6"/>
  <c r="I143" i="6"/>
  <c r="M143" i="6"/>
  <c r="D49" i="7"/>
  <c r="C45" i="7"/>
  <c r="D45" i="7"/>
  <c r="O45" i="7"/>
  <c r="G45" i="7"/>
  <c r="C22" i="7"/>
  <c r="B22" i="7"/>
  <c r="J22" i="7"/>
  <c r="E22" i="7"/>
  <c r="L22" i="7"/>
  <c r="E20" i="7"/>
  <c r="M20" i="7"/>
  <c r="B173" i="6"/>
  <c r="C173" i="6"/>
  <c r="K173" i="6"/>
  <c r="E173" i="6"/>
  <c r="M173" i="6"/>
  <c r="B160" i="6"/>
  <c r="C160" i="6"/>
  <c r="O160" i="6"/>
  <c r="G160" i="6"/>
  <c r="I160" i="6"/>
  <c r="B149" i="6"/>
  <c r="F149" i="6"/>
  <c r="J149" i="6"/>
  <c r="N149" i="6"/>
  <c r="C149" i="6"/>
  <c r="G149" i="6"/>
  <c r="K149" i="6"/>
  <c r="O149" i="6"/>
  <c r="D149" i="6"/>
  <c r="H149" i="6"/>
  <c r="L149" i="6"/>
  <c r="B58" i="7"/>
  <c r="F58" i="7"/>
  <c r="L58" i="7"/>
  <c r="C57" i="7"/>
  <c r="E41" i="7"/>
  <c r="C41" i="7"/>
  <c r="M41" i="7"/>
  <c r="G41" i="7"/>
  <c r="M22" i="7"/>
  <c r="C31" i="7"/>
  <c r="C13" i="7"/>
  <c r="I186" i="6"/>
  <c r="M186" i="12" s="1"/>
  <c r="M183" i="6"/>
  <c r="H183" i="6"/>
  <c r="B183" i="6"/>
  <c r="N181" i="6"/>
  <c r="J181" i="6"/>
  <c r="F181" i="6"/>
  <c r="K180" i="6"/>
  <c r="C180" i="6"/>
  <c r="N175" i="6"/>
  <c r="D175" i="6"/>
  <c r="F163" i="6"/>
  <c r="M161" i="6"/>
  <c r="H161" i="6"/>
  <c r="B161" i="6"/>
  <c r="L159" i="6"/>
  <c r="I156" i="6"/>
  <c r="Q156" i="12" s="1"/>
  <c r="I153" i="6"/>
  <c r="N147" i="6"/>
  <c r="D147" i="6"/>
  <c r="K142" i="6"/>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E85" i="6"/>
  <c r="K84" i="6"/>
  <c r="R84" i="12" s="1"/>
  <c r="H81" i="6"/>
  <c r="E80" i="6"/>
  <c r="I80" i="6"/>
  <c r="M80" i="12" s="1"/>
  <c r="L77" i="6"/>
  <c r="O77" i="12" s="1"/>
  <c r="E77" i="6"/>
  <c r="K76" i="6"/>
  <c r="D73" i="6"/>
  <c r="F73" i="6"/>
  <c r="M73" i="6"/>
  <c r="E72" i="6"/>
  <c r="C72" i="6"/>
  <c r="L72" i="5" s="1"/>
  <c r="O72" i="6"/>
  <c r="I67" i="6"/>
  <c r="F61" i="6"/>
  <c r="I55" i="6"/>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L121" i="6"/>
  <c r="L116" i="6"/>
  <c r="F115" i="6"/>
  <c r="G107" i="6"/>
  <c r="H105" i="6"/>
  <c r="M99" i="6"/>
  <c r="H99" i="6"/>
  <c r="M97" i="6"/>
  <c r="B97" i="6"/>
  <c r="O95" i="6"/>
  <c r="D95" i="6"/>
  <c r="N93" i="6"/>
  <c r="I93" i="6"/>
  <c r="D93" i="6"/>
  <c r="K92" i="6"/>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E35" i="6"/>
  <c r="G35" i="6"/>
  <c r="O35" i="6"/>
  <c r="I35" i="6"/>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L92" i="5" s="1"/>
  <c r="E89" i="6"/>
  <c r="B85" i="6"/>
  <c r="H85" i="6"/>
  <c r="P85" i="12" s="1"/>
  <c r="M85" i="6"/>
  <c r="G84" i="6"/>
  <c r="I84" i="6"/>
  <c r="Q84" i="12" s="1"/>
  <c r="M81" i="6"/>
  <c r="B77" i="6"/>
  <c r="H77" i="6"/>
  <c r="M77" i="6"/>
  <c r="G76" i="6"/>
  <c r="I76" i="6"/>
  <c r="O67" i="6"/>
  <c r="D64" i="6"/>
  <c r="G64" i="6"/>
  <c r="K62" i="6"/>
  <c r="S62" i="12" s="1"/>
  <c r="N55" i="6"/>
  <c r="E46" i="6"/>
  <c r="C46" i="6"/>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E55" i="6"/>
  <c r="J55" i="6"/>
  <c r="O55" i="6"/>
  <c r="F55" i="6"/>
  <c r="K55" i="6"/>
  <c r="C47" i="6"/>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3" i="2"/>
  <c r="F245"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P48" i="5" s="1"/>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P20" i="5" s="1"/>
  <c r="C20" i="5"/>
  <c r="K18" i="5"/>
  <c r="N17" i="5"/>
  <c r="O16" i="5"/>
  <c r="C16" i="5"/>
  <c r="K14" i="5"/>
  <c r="N13" i="5"/>
  <c r="O12" i="5"/>
  <c r="P12" i="5" s="1"/>
  <c r="C12" i="5"/>
  <c r="K10" i="5"/>
  <c r="N9" i="5"/>
  <c r="O8" i="5"/>
  <c r="P8" i="5" s="1"/>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K189" i="11"/>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P137" i="5" s="1"/>
  <c r="C135" i="5"/>
  <c r="I134" i="5"/>
  <c r="N127" i="5"/>
  <c r="O121" i="5"/>
  <c r="C119" i="5"/>
  <c r="I118" i="5"/>
  <c r="N111" i="5"/>
  <c r="N108" i="5"/>
  <c r="N107" i="5"/>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F189" i="11"/>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C190" i="12"/>
  <c r="I190" i="12"/>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C179" i="13"/>
  <c r="E179" i="13"/>
  <c r="B168" i="13"/>
  <c r="E168" i="13"/>
  <c r="G154" i="13"/>
  <c r="B25" i="12"/>
  <c r="C25" i="12"/>
  <c r="G18" i="12"/>
  <c r="C18" i="12"/>
  <c r="D184" i="13"/>
  <c r="C184" i="13"/>
  <c r="E181" i="13"/>
  <c r="G181" i="13"/>
  <c r="B166" i="13"/>
  <c r="F166" i="13"/>
  <c r="D166" i="13"/>
  <c r="D162" i="13"/>
  <c r="B162" i="13"/>
  <c r="F162" i="13"/>
  <c r="C143" i="13"/>
  <c r="D143" i="13"/>
  <c r="D141" i="13"/>
  <c r="B141" i="13"/>
  <c r="G141" i="13"/>
  <c r="D133" i="13"/>
  <c r="F133" i="13"/>
  <c r="B133" i="13"/>
  <c r="E189" i="12"/>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E188" i="13"/>
  <c r="C174" i="13"/>
  <c r="G174" i="13"/>
  <c r="B170" i="13"/>
  <c r="F170" i="13"/>
  <c r="D170" i="13"/>
  <c r="G166" i="13"/>
  <c r="G162" i="13"/>
  <c r="D161" i="13"/>
  <c r="F161" i="13"/>
  <c r="D150" i="13"/>
  <c r="B150" i="13"/>
  <c r="F150" i="13"/>
  <c r="D146" i="13"/>
  <c r="B146" i="13"/>
  <c r="F146" i="13"/>
  <c r="B140" i="13"/>
  <c r="F140" i="13"/>
  <c r="B132" i="13"/>
  <c r="F132" i="13"/>
  <c r="E123" i="13"/>
  <c r="D123" i="13"/>
  <c r="G65" i="12"/>
  <c r="E54" i="12"/>
  <c r="E53" i="12"/>
  <c r="G46" i="12"/>
  <c r="E45" i="12"/>
  <c r="E31" i="12"/>
  <c r="C28" i="12"/>
  <c r="E28" i="12"/>
  <c r="G25" i="12"/>
  <c r="C21" i="12"/>
  <c r="B21" i="12"/>
  <c r="E13" i="12"/>
  <c r="F11" i="12"/>
  <c r="G180" i="13"/>
  <c r="C180" i="13"/>
  <c r="D169" i="13"/>
  <c r="C169" i="13"/>
  <c r="E166" i="13"/>
  <c r="B165" i="13"/>
  <c r="G165" i="13"/>
  <c r="E162" i="13"/>
  <c r="B154" i="13"/>
  <c r="F154" i="13"/>
  <c r="D154" i="13"/>
  <c r="D145" i="13"/>
  <c r="F145" i="13"/>
  <c r="C142" i="13"/>
  <c r="G142" i="13"/>
  <c r="D139" i="13"/>
  <c r="G139" i="13"/>
  <c r="G133" i="13"/>
  <c r="D131" i="13"/>
  <c r="E131" i="13"/>
  <c r="E149" i="13"/>
  <c r="G138" i="13"/>
  <c r="E126" i="13"/>
  <c r="F125" i="13"/>
  <c r="G122" i="13"/>
  <c r="D116" i="13"/>
  <c r="G114" i="13"/>
  <c r="D108" i="13"/>
  <c r="G106" i="13"/>
  <c r="D100" i="13"/>
  <c r="G98" i="13"/>
  <c r="D92" i="13"/>
  <c r="G90" i="13"/>
  <c r="C78" i="13"/>
  <c r="C76" i="13"/>
  <c r="B73" i="13"/>
  <c r="B72" i="13"/>
  <c r="F67" i="13"/>
  <c r="D65" i="13"/>
  <c r="B56" i="13"/>
  <c r="E51" i="13"/>
  <c r="F48" i="13"/>
  <c r="F47" i="13"/>
  <c r="E45" i="13"/>
  <c r="E43" i="13"/>
  <c r="F41" i="13"/>
  <c r="F27" i="13"/>
  <c r="B25" i="13"/>
  <c r="E25" i="13"/>
  <c r="E8" i="13"/>
  <c r="G8" i="13"/>
  <c r="E184" i="14"/>
  <c r="C183" i="14"/>
  <c r="F183" i="14"/>
  <c r="B176" i="14"/>
  <c r="G176" i="14" s="1"/>
  <c r="C176" i="14"/>
  <c r="B167" i="14"/>
  <c r="F167" i="14"/>
  <c r="C151" i="14"/>
  <c r="E151" i="14"/>
  <c r="B151" i="14"/>
  <c r="D144" i="14"/>
  <c r="C144" i="14"/>
  <c r="C110" i="14"/>
  <c r="E110" i="14"/>
  <c r="F68" i="13"/>
  <c r="E67" i="13"/>
  <c r="G65" i="13"/>
  <c r="C65" i="13"/>
  <c r="F61" i="13"/>
  <c r="F49" i="13"/>
  <c r="E48" i="13"/>
  <c r="E41" i="13"/>
  <c r="D35" i="13"/>
  <c r="E35" i="13"/>
  <c r="E27" i="13"/>
  <c r="C23" i="13"/>
  <c r="E23" i="13"/>
  <c r="C11" i="13"/>
  <c r="B11" i="13"/>
  <c r="F7" i="13"/>
  <c r="C189" i="14"/>
  <c r="B189" i="14"/>
  <c r="G189" i="14" s="1"/>
  <c r="C187" i="14"/>
  <c r="E187" i="14"/>
  <c r="G187" i="14" s="1"/>
  <c r="D172" i="14"/>
  <c r="B172" i="14"/>
  <c r="G172" i="14" s="1"/>
  <c r="B169" i="14"/>
  <c r="D169" i="14"/>
  <c r="E154" i="14"/>
  <c r="C154" i="14"/>
  <c r="D146" i="14"/>
  <c r="E146" i="14"/>
  <c r="F3" i="21" s="1"/>
  <c r="C131" i="14"/>
  <c r="B131" i="14"/>
  <c r="E131" i="14"/>
  <c r="C122" i="14"/>
  <c r="E122" i="14"/>
  <c r="E81" i="13"/>
  <c r="E75" i="13"/>
  <c r="B67" i="13"/>
  <c r="F65" i="13"/>
  <c r="B61" i="13"/>
  <c r="F56" i="13"/>
  <c r="B49" i="13"/>
  <c r="C48" i="13"/>
  <c r="F44" i="13"/>
  <c r="G42" i="13"/>
  <c r="D25" i="13"/>
  <c r="E24" i="13"/>
  <c r="G24" i="13"/>
  <c r="F11" i="13"/>
  <c r="B9" i="13"/>
  <c r="E9" i="13"/>
  <c r="F189" i="14"/>
  <c r="C177" i="14"/>
  <c r="D177" i="14"/>
  <c r="F172" i="14"/>
  <c r="D171" i="14"/>
  <c r="F169" i="14"/>
  <c r="C143" i="14"/>
  <c r="B143" i="14"/>
  <c r="F143" i="14"/>
  <c r="F140" i="14"/>
  <c r="C128" i="14"/>
  <c r="E128" i="14"/>
  <c r="C27" i="13"/>
  <c r="B27" i="13"/>
  <c r="C7" i="13"/>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G97" i="14" s="1"/>
  <c r="B91" i="14"/>
  <c r="C89" i="14"/>
  <c r="E87" i="14"/>
  <c r="G87" i="14" s="1"/>
  <c r="E79" i="14"/>
  <c r="G79" i="14" s="1"/>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G189"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J128" i="2" s="1"/>
  <c r="K128" i="2" s="1"/>
  <c r="Q127" i="2"/>
  <c r="S124" i="2"/>
  <c r="I124" i="2"/>
  <c r="C124" i="2"/>
  <c r="I123" i="2"/>
  <c r="I122" i="2"/>
  <c r="L121" i="2"/>
  <c r="N120" i="2"/>
  <c r="O120" i="2" s="1"/>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E143" i="3" s="1"/>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4" i="21" s="1"/>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O150" i="3"/>
  <c r="B139" i="3"/>
  <c r="G139" i="3"/>
  <c r="M139" i="3"/>
  <c r="Q139" i="3"/>
  <c r="B138" i="3"/>
  <c r="G138" i="3"/>
  <c r="O138" i="3"/>
  <c r="F136" i="3"/>
  <c r="Q136" i="3"/>
  <c r="B123" i="3"/>
  <c r="G123" i="3"/>
  <c r="E123" i="5" s="1"/>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F44" i="2" s="1"/>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Q59" i="3"/>
  <c r="Q58" i="3"/>
  <c r="L58" i="3"/>
  <c r="D58" i="3"/>
  <c r="N56" i="3"/>
  <c r="I56" i="3"/>
  <c r="D56" i="3"/>
  <c r="E56" i="3" s="1"/>
  <c r="Q55" i="3"/>
  <c r="G55" i="3"/>
  <c r="E55" i="5" s="1"/>
  <c r="L54" i="3"/>
  <c r="O52" i="3"/>
  <c r="J52" i="3"/>
  <c r="D52" i="3"/>
  <c r="Q51" i="3"/>
  <c r="G51" i="3"/>
  <c r="E51" i="5" s="1"/>
  <c r="P50" i="3"/>
  <c r="F50" i="3"/>
  <c r="O48" i="3"/>
  <c r="J48" i="3"/>
  <c r="D48" i="3"/>
  <c r="E48" i="3" s="1"/>
  <c r="N44" i="3"/>
  <c r="I44" i="3"/>
  <c r="C44" i="3"/>
  <c r="E44" i="3" s="1"/>
  <c r="L43" i="3"/>
  <c r="I41" i="3"/>
  <c r="L34" i="3"/>
  <c r="Q31" i="3"/>
  <c r="I31" i="3"/>
  <c r="D30" i="3"/>
  <c r="N30" i="3"/>
  <c r="G29" i="3"/>
  <c r="H29" i="3" s="1"/>
  <c r="D24" i="3"/>
  <c r="J24" i="3"/>
  <c r="O24" i="3"/>
  <c r="B22" i="3"/>
  <c r="L22" i="3"/>
  <c r="B21" i="3"/>
  <c r="I21" i="3"/>
  <c r="K21" i="3" s="1"/>
  <c r="O21" i="3"/>
  <c r="M20" i="3"/>
  <c r="F20" i="3"/>
  <c r="G19" i="3"/>
  <c r="E19" i="5" s="1"/>
  <c r="F19" i="5" s="1"/>
  <c r="G19" i="5" s="1"/>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G23" i="3"/>
  <c r="E23" i="5" s="1"/>
  <c r="F23" i="5" s="1"/>
  <c r="G23" i="5" s="1"/>
  <c r="Q23" i="3"/>
  <c r="Q21" i="3"/>
  <c r="G21" i="3"/>
  <c r="E21" i="5" s="1"/>
  <c r="F21" i="5" s="1"/>
  <c r="G21" i="5" s="1"/>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I177" i="7"/>
  <c r="O171" i="7"/>
  <c r="K171" i="7"/>
  <c r="G171" i="7"/>
  <c r="C171" i="7"/>
  <c r="I157" i="7"/>
  <c r="F151" i="7"/>
  <c r="K145" i="7"/>
  <c r="E145" i="7"/>
  <c r="O144" i="7"/>
  <c r="K144" i="7"/>
  <c r="G144" i="7"/>
  <c r="C144" i="7"/>
  <c r="I135" i="7"/>
  <c r="N134" i="7"/>
  <c r="B119"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C189" i="6"/>
  <c r="L166" i="5" s="1"/>
  <c r="G189" i="6"/>
  <c r="K189" i="6"/>
  <c r="N190" i="12" s="1"/>
  <c r="O189" i="6"/>
  <c r="D189" i="6"/>
  <c r="H189" i="6"/>
  <c r="L190" i="12" s="1"/>
  <c r="L189" i="6"/>
  <c r="O190" i="12" s="1"/>
  <c r="B189" i="6"/>
  <c r="F189" i="6"/>
  <c r="J189" i="6"/>
  <c r="N189" i="6"/>
  <c r="D64" i="7"/>
  <c r="H64" i="7"/>
  <c r="L64" i="7"/>
  <c r="B64" i="7"/>
  <c r="F64" i="7"/>
  <c r="J64" i="7"/>
  <c r="N64" i="7"/>
  <c r="B60" i="7"/>
  <c r="C19" i="7"/>
  <c r="I19" i="7"/>
  <c r="M19" i="7"/>
  <c r="E19" i="7"/>
  <c r="D184" i="6"/>
  <c r="E184" i="6"/>
  <c r="M184" i="6"/>
  <c r="G184" i="6"/>
  <c r="O184" i="6"/>
  <c r="C184" i="6"/>
  <c r="K184" i="6"/>
  <c r="B74" i="7"/>
  <c r="L74" i="7"/>
  <c r="F67" i="7"/>
  <c r="M67" i="7"/>
  <c r="B67" i="7"/>
  <c r="J67" i="7"/>
  <c r="O64" i="7"/>
  <c r="G64" i="7"/>
  <c r="G11" i="7"/>
  <c r="D188" i="6"/>
  <c r="E188" i="6"/>
  <c r="M188" i="6"/>
  <c r="G188" i="6"/>
  <c r="O188" i="6"/>
  <c r="C188" i="6"/>
  <c r="K188" i="6"/>
  <c r="I65" i="7"/>
  <c r="L46" i="7"/>
  <c r="L42" i="7"/>
  <c r="L41" i="7"/>
  <c r="F31" i="7"/>
  <c r="L30" i="7"/>
  <c r="N22" i="7"/>
  <c r="I22" i="7"/>
  <c r="D22" i="7"/>
  <c r="M21" i="7"/>
  <c r="N14" i="7"/>
  <c r="I14" i="7"/>
  <c r="D14" i="7"/>
  <c r="K8" i="7"/>
  <c r="M7" i="7"/>
  <c r="E7" i="7"/>
  <c r="J179" i="6"/>
  <c r="E179" i="6"/>
  <c r="I178" i="6"/>
  <c r="M178" i="12" s="1"/>
  <c r="J175" i="6"/>
  <c r="E175" i="6"/>
  <c r="L173" i="6"/>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N153" i="6"/>
  <c r="J153" i="6"/>
  <c r="F153" i="6"/>
  <c r="B153" i="6"/>
  <c r="K152" i="6"/>
  <c r="C152" i="6"/>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B117" i="6"/>
  <c r="H117" i="6"/>
  <c r="M117" i="6"/>
  <c r="C115" i="6"/>
  <c r="G115" i="6"/>
  <c r="K115" i="6"/>
  <c r="O115" i="6"/>
  <c r="D105" i="6"/>
  <c r="I105" i="6"/>
  <c r="M105" i="12" s="1"/>
  <c r="N105" i="6"/>
  <c r="C102" i="6"/>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D153" i="6"/>
  <c r="O152" i="6"/>
  <c r="G152" i="6"/>
  <c r="M147" i="6"/>
  <c r="H147" i="6"/>
  <c r="L143" i="6"/>
  <c r="H143" i="6"/>
  <c r="P143" i="12" s="1"/>
  <c r="D143" i="6"/>
  <c r="N142" i="6"/>
  <c r="C142" i="6"/>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D115" i="6"/>
  <c r="B107" i="6"/>
  <c r="F107" i="6"/>
  <c r="J107" i="6"/>
  <c r="N107" i="6"/>
  <c r="L105" i="6"/>
  <c r="E105" i="6"/>
  <c r="E104" i="6"/>
  <c r="M104" i="6"/>
  <c r="M102" i="6"/>
  <c r="I100" i="6"/>
  <c r="B95" i="6"/>
  <c r="F95" i="6"/>
  <c r="J95" i="6"/>
  <c r="N95" i="6"/>
  <c r="O91" i="6"/>
  <c r="I91" i="6"/>
  <c r="M91" i="12" s="1"/>
  <c r="D91" i="6"/>
  <c r="D89" i="6"/>
  <c r="I89" i="6"/>
  <c r="Q89" i="12" s="1"/>
  <c r="N89" i="6"/>
  <c r="G88" i="6"/>
  <c r="M79" i="6"/>
  <c r="E79" i="6"/>
  <c r="C78" i="6"/>
  <c r="M78" i="6"/>
  <c r="E78" i="6"/>
  <c r="D75" i="6"/>
  <c r="H75" i="6"/>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59" i="6"/>
  <c r="K59" i="6"/>
  <c r="G59" i="6"/>
  <c r="L55" i="6"/>
  <c r="H55" i="6"/>
  <c r="D55" i="6"/>
  <c r="D51" i="6"/>
  <c r="H51" i="6"/>
  <c r="P51" i="12" s="1"/>
  <c r="L51" i="6"/>
  <c r="O51" i="12" s="1"/>
  <c r="C50" i="6"/>
  <c r="L50" i="5" s="1"/>
  <c r="N50" i="6"/>
  <c r="L48" i="6"/>
  <c r="M47" i="6"/>
  <c r="H47" i="6"/>
  <c r="K46" i="6"/>
  <c r="M43" i="6"/>
  <c r="G43" i="6"/>
  <c r="M39" i="6"/>
  <c r="H39" i="6"/>
  <c r="E38" i="6"/>
  <c r="K38" i="6"/>
  <c r="M35" i="6"/>
  <c r="D31" i="6"/>
  <c r="H31" i="6"/>
  <c r="L31" i="6"/>
  <c r="O31" i="12" s="1"/>
  <c r="B31" i="6"/>
  <c r="F31" i="6"/>
  <c r="J31" i="6"/>
  <c r="N31" i="6"/>
  <c r="G30" i="6"/>
  <c r="O30" i="6"/>
  <c r="C30" i="6"/>
  <c r="K30" i="6"/>
  <c r="M27" i="6"/>
  <c r="I22" i="6"/>
  <c r="Q22" i="12" s="1"/>
  <c r="I18" i="6"/>
  <c r="D18" i="6"/>
  <c r="O18" i="6"/>
  <c r="C12" i="6"/>
  <c r="L12" i="5" s="1"/>
  <c r="K12" i="6"/>
  <c r="K9" i="6"/>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E47" i="6"/>
  <c r="B46" i="6"/>
  <c r="G46" i="6"/>
  <c r="M46" i="6"/>
  <c r="O43" i="6"/>
  <c r="J43" i="6"/>
  <c r="E43" i="6"/>
  <c r="K42" i="6"/>
  <c r="N42" i="12" s="1"/>
  <c r="K39" i="6"/>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M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1" i="2"/>
  <c r="G245"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P139" i="5"/>
  <c r="K138" i="5"/>
  <c r="K134" i="5"/>
  <c r="K130" i="5"/>
  <c r="K126" i="5"/>
  <c r="K122" i="5"/>
  <c r="K118" i="5"/>
  <c r="K114" i="5"/>
  <c r="K110" i="5"/>
  <c r="O108" i="5"/>
  <c r="C108" i="5"/>
  <c r="P107" i="5"/>
  <c r="K106" i="5"/>
  <c r="O104" i="5"/>
  <c r="C104" i="5"/>
  <c r="K102" i="5"/>
  <c r="O100" i="5"/>
  <c r="C100" i="5"/>
  <c r="K98" i="5"/>
  <c r="O96" i="5"/>
  <c r="C96" i="5"/>
  <c r="K94" i="5"/>
  <c r="O92" i="5"/>
  <c r="C92" i="5"/>
  <c r="K90" i="5"/>
  <c r="O88" i="5"/>
  <c r="C88" i="5"/>
  <c r="K86" i="5"/>
  <c r="O84" i="5"/>
  <c r="C84" i="5"/>
  <c r="K82" i="5"/>
  <c r="O80" i="5"/>
  <c r="C80" i="5"/>
  <c r="K78" i="5"/>
  <c r="O76" i="5"/>
  <c r="C76" i="5"/>
  <c r="K74" i="5"/>
  <c r="O72" i="5"/>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P7" i="5" s="1"/>
  <c r="C7" i="5"/>
  <c r="M189" i="11"/>
  <c r="G189" i="11"/>
  <c r="B189" i="11"/>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P149" i="5"/>
  <c r="O146" i="5"/>
  <c r="O142" i="5"/>
  <c r="O138" i="5"/>
  <c r="O134" i="5"/>
  <c r="O130" i="5"/>
  <c r="O126" i="5"/>
  <c r="P126" i="5" s="1"/>
  <c r="P125" i="5"/>
  <c r="O122" i="5"/>
  <c r="O118" i="5"/>
  <c r="O114" i="5"/>
  <c r="O110" i="5"/>
  <c r="K108" i="5"/>
  <c r="O106" i="5"/>
  <c r="K104" i="5"/>
  <c r="O102" i="5"/>
  <c r="K100" i="5"/>
  <c r="O98" i="5"/>
  <c r="P98" i="5" s="1"/>
  <c r="K96" i="5"/>
  <c r="O94" i="5"/>
  <c r="P93" i="5"/>
  <c r="K92" i="5"/>
  <c r="O90" i="5"/>
  <c r="P90" i="5" s="1"/>
  <c r="K88" i="5"/>
  <c r="O86" i="5"/>
  <c r="P86" i="5" s="1"/>
  <c r="P85" i="5"/>
  <c r="K84" i="5"/>
  <c r="O82" i="5"/>
  <c r="K80" i="5"/>
  <c r="O78" i="5"/>
  <c r="K76" i="5"/>
  <c r="O74" i="5"/>
  <c r="K72" i="5"/>
  <c r="O70" i="5"/>
  <c r="K68" i="5"/>
  <c r="O66" i="5"/>
  <c r="K64" i="5"/>
  <c r="O49" i="5"/>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O189" i="11"/>
  <c r="J189" i="11"/>
  <c r="E189" i="11"/>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N189" i="11"/>
  <c r="I189" i="11"/>
  <c r="C189" i="11"/>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8" i="12"/>
  <c r="E188" i="12"/>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C189" i="12"/>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C183" i="13"/>
  <c r="E183" i="13"/>
  <c r="C182" i="13"/>
  <c r="D182" i="13"/>
  <c r="B180" i="13"/>
  <c r="F180" i="13"/>
  <c r="G176" i="13"/>
  <c r="B176" i="13"/>
  <c r="B174" i="13"/>
  <c r="F174" i="13"/>
  <c r="D173" i="13"/>
  <c r="E173" i="13"/>
  <c r="C167" i="13"/>
  <c r="G167" i="13"/>
  <c r="D165" i="13"/>
  <c r="C165" i="13"/>
  <c r="G158" i="13"/>
  <c r="E155" i="13"/>
  <c r="C155" i="13"/>
  <c r="C151" i="13"/>
  <c r="G151" i="13"/>
  <c r="D147" i="13"/>
  <c r="G147" i="13"/>
  <c r="C147" i="13"/>
  <c r="B144" i="13"/>
  <c r="E144" i="13"/>
  <c r="D136" i="13"/>
  <c r="B136" i="13"/>
  <c r="E136" i="13"/>
  <c r="F136" i="13"/>
  <c r="B128" i="13"/>
  <c r="D128" i="13"/>
  <c r="E128" i="13"/>
  <c r="D120" i="13"/>
  <c r="B120" i="13"/>
  <c r="E120" i="13"/>
  <c r="F120" i="13"/>
  <c r="B17" i="12"/>
  <c r="F17" i="12"/>
  <c r="D163" i="13"/>
  <c r="C163" i="13"/>
  <c r="B160" i="13"/>
  <c r="E160" i="13"/>
  <c r="D153" i="13"/>
  <c r="C153" i="13"/>
  <c r="E117" i="13"/>
  <c r="C117" i="13"/>
  <c r="G117" i="13"/>
  <c r="E109" i="13"/>
  <c r="C109" i="13"/>
  <c r="G109" i="13"/>
  <c r="E101" i="13"/>
  <c r="C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B188" i="13"/>
  <c r="F188" i="13"/>
  <c r="G184" i="13"/>
  <c r="B184" i="13"/>
  <c r="E182" i="13"/>
  <c r="C181" i="13"/>
  <c r="D180" i="13"/>
  <c r="E176" i="13"/>
  <c r="D174" i="13"/>
  <c r="F173" i="13"/>
  <c r="F169" i="13"/>
  <c r="E165" i="13"/>
  <c r="B164" i="13"/>
  <c r="D164" i="13"/>
  <c r="G155" i="13"/>
  <c r="B148" i="13"/>
  <c r="D148" i="13"/>
  <c r="F144" i="13"/>
  <c r="D142" i="13"/>
  <c r="B142" i="13"/>
  <c r="F142" i="13"/>
  <c r="G57" i="12"/>
  <c r="G33" i="12"/>
  <c r="D27" i="12"/>
  <c r="D17" i="12"/>
  <c r="C176" i="13"/>
  <c r="C175" i="13"/>
  <c r="G175" i="13"/>
  <c r="D168" i="13"/>
  <c r="F168" i="13"/>
  <c r="G163" i="13"/>
  <c r="F160" i="13"/>
  <c r="D158" i="13"/>
  <c r="B158" i="13"/>
  <c r="F158" i="13"/>
  <c r="D152" i="13"/>
  <c r="B152" i="13"/>
  <c r="F152" i="13"/>
  <c r="E139" i="13"/>
  <c r="C139" i="13"/>
  <c r="D137" i="13"/>
  <c r="C137" i="13"/>
  <c r="F137" i="13"/>
  <c r="D121" i="13"/>
  <c r="C121" i="13"/>
  <c r="F121" i="13"/>
  <c r="E113" i="13"/>
  <c r="C113" i="13"/>
  <c r="G113" i="13"/>
  <c r="E105" i="13"/>
  <c r="C105" i="13"/>
  <c r="G105" i="13"/>
  <c r="E97" i="13"/>
  <c r="C97" i="13"/>
  <c r="G97" i="13"/>
  <c r="C88" i="13"/>
  <c r="E88" i="13"/>
  <c r="C77" i="13"/>
  <c r="G77" i="13"/>
  <c r="D60" i="13"/>
  <c r="C60" i="13"/>
  <c r="F60" i="13"/>
  <c r="C57" i="13"/>
  <c r="G57" i="13"/>
  <c r="D57" i="13"/>
  <c r="C53" i="13"/>
  <c r="G53" i="13"/>
  <c r="D53" i="13"/>
  <c r="B39" i="13"/>
  <c r="F39" i="13"/>
  <c r="C33" i="13"/>
  <c r="G33" i="13"/>
  <c r="D33" i="13"/>
  <c r="C31" i="13"/>
  <c r="D31" i="13"/>
  <c r="E31" i="13"/>
  <c r="C26" i="13"/>
  <c r="E26" i="13"/>
  <c r="C17" i="13"/>
  <c r="G17" i="13"/>
  <c r="D17" i="13"/>
  <c r="C15" i="13"/>
  <c r="D15" i="13"/>
  <c r="E15" i="13"/>
  <c r="C10" i="13"/>
  <c r="E10" i="13"/>
  <c r="C181" i="14"/>
  <c r="B181" i="14"/>
  <c r="D181" i="14"/>
  <c r="E181" i="14"/>
  <c r="B179" i="14"/>
  <c r="F179" i="14"/>
  <c r="C179" i="14"/>
  <c r="D179" i="14"/>
  <c r="C170" i="14"/>
  <c r="E170" i="14"/>
  <c r="B45" i="14"/>
  <c r="F45" i="14"/>
  <c r="C45" i="14"/>
  <c r="D45" i="14"/>
  <c r="E45" i="14"/>
  <c r="C22" i="14"/>
  <c r="E22" i="14"/>
  <c r="G159" i="13"/>
  <c r="E157" i="13"/>
  <c r="C149" i="13"/>
  <c r="G143" i="13"/>
  <c r="E141" i="13"/>
  <c r="G135" i="13"/>
  <c r="C133" i="13"/>
  <c r="D132" i="13"/>
  <c r="C131" i="13"/>
  <c r="G127" i="13"/>
  <c r="F126" i="13"/>
  <c r="B126" i="13"/>
  <c r="E125" i="13"/>
  <c r="C123" i="13"/>
  <c r="G119" i="13"/>
  <c r="F88" i="13"/>
  <c r="C86" i="13"/>
  <c r="E85" i="13"/>
  <c r="G85" i="13"/>
  <c r="E77" i="13"/>
  <c r="D75" i="13"/>
  <c r="C73" i="13"/>
  <c r="G73" i="13"/>
  <c r="D72" i="13"/>
  <c r="F72" i="13"/>
  <c r="C70" i="13"/>
  <c r="D64" i="13"/>
  <c r="B64" i="13"/>
  <c r="G64" i="13"/>
  <c r="C64" i="13"/>
  <c r="F57" i="13"/>
  <c r="F53" i="13"/>
  <c r="C41" i="13"/>
  <c r="G41" i="13"/>
  <c r="D41" i="13"/>
  <c r="C37" i="13"/>
  <c r="G37" i="13"/>
  <c r="D37" i="13"/>
  <c r="F33" i="13"/>
  <c r="E32" i="13"/>
  <c r="C32" i="13"/>
  <c r="G32" i="13"/>
  <c r="E22" i="13"/>
  <c r="B21" i="13"/>
  <c r="F21" i="13"/>
  <c r="C21" i="13"/>
  <c r="G21" i="13"/>
  <c r="F17" i="13"/>
  <c r="E16" i="13"/>
  <c r="C16" i="13"/>
  <c r="G16" i="13"/>
  <c r="C162" i="14"/>
  <c r="D162" i="14"/>
  <c r="E162" i="14"/>
  <c r="C155" i="14"/>
  <c r="D155" i="14"/>
  <c r="F155" i="14"/>
  <c r="C147" i="14"/>
  <c r="F147" i="14"/>
  <c r="B145" i="14"/>
  <c r="F145" i="14"/>
  <c r="C145" i="14"/>
  <c r="D145" i="14"/>
  <c r="E145" i="14"/>
  <c r="G93" i="13"/>
  <c r="G89" i="13"/>
  <c r="D88" i="13"/>
  <c r="F79" i="13"/>
  <c r="D77" i="13"/>
  <c r="D71" i="13"/>
  <c r="F71" i="13"/>
  <c r="E57" i="13"/>
  <c r="E53" i="13"/>
  <c r="B45" i="13"/>
  <c r="F45" i="13"/>
  <c r="C45" i="13"/>
  <c r="G45" i="13"/>
  <c r="E33" i="13"/>
  <c r="F31" i="13"/>
  <c r="E28" i="13"/>
  <c r="G28" i="13"/>
  <c r="C19" i="13"/>
  <c r="B19" i="13"/>
  <c r="D19" i="13"/>
  <c r="E17" i="13"/>
  <c r="F15" i="13"/>
  <c r="E12" i="13"/>
  <c r="G12" i="13"/>
  <c r="C150" i="14"/>
  <c r="D150" i="14"/>
  <c r="C106" i="14"/>
  <c r="E106" i="14"/>
  <c r="G131" i="13"/>
  <c r="C93" i="13"/>
  <c r="C89" i="13"/>
  <c r="B88" i="13"/>
  <c r="C81" i="13"/>
  <c r="G81" i="13"/>
  <c r="D78" i="13"/>
  <c r="G78" i="13"/>
  <c r="B77" i="13"/>
  <c r="F75" i="13"/>
  <c r="D74" i="13"/>
  <c r="G70" i="13"/>
  <c r="B69" i="13"/>
  <c r="F69" i="13"/>
  <c r="C61" i="13"/>
  <c r="G61" i="13"/>
  <c r="D61" i="13"/>
  <c r="D59" i="13"/>
  <c r="E59" i="13"/>
  <c r="B57" i="13"/>
  <c r="B55" i="13"/>
  <c r="F55" i="13"/>
  <c r="B53" i="13"/>
  <c r="C49" i="13"/>
  <c r="G49" i="13"/>
  <c r="D49" i="13"/>
  <c r="D46" i="13"/>
  <c r="E46" i="13"/>
  <c r="G46" i="13"/>
  <c r="B43" i="13"/>
  <c r="D43" i="13"/>
  <c r="D39" i="13"/>
  <c r="B33" i="13"/>
  <c r="B31" i="13"/>
  <c r="B17" i="13"/>
  <c r="B15"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B51" i="13"/>
  <c r="G48" i="13"/>
  <c r="B48" i="13"/>
  <c r="C44" i="13"/>
  <c r="F36" i="13"/>
  <c r="B35" i="13"/>
  <c r="E30" i="13"/>
  <c r="F25" i="13"/>
  <c r="B23" i="13"/>
  <c r="C20" i="13"/>
  <c r="E14" i="13"/>
  <c r="F9" i="13"/>
  <c r="B7"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G8"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5" i="2"/>
  <c r="H241" i="2"/>
  <c r="B192" i="2"/>
  <c r="R192" i="2"/>
  <c r="D192" i="2"/>
  <c r="H192" i="2"/>
  <c r="L192" i="2"/>
  <c r="P192" i="2"/>
  <c r="E244"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P152" i="2"/>
  <c r="C152" i="2"/>
  <c r="H152" i="2"/>
  <c r="M152" i="2"/>
  <c r="N152" i="2" s="1"/>
  <c r="O152" i="2" s="1"/>
  <c r="S152" i="2"/>
  <c r="D150" i="2"/>
  <c r="I3" i="21" s="1"/>
  <c r="H150" i="2"/>
  <c r="L150" i="2"/>
  <c r="P150" i="2"/>
  <c r="B150" i="2"/>
  <c r="M150" i="2"/>
  <c r="R150" i="2"/>
  <c r="E150" i="2"/>
  <c r="Q148" i="2"/>
  <c r="Q146" i="2"/>
  <c r="B144" i="2"/>
  <c r="R144" i="2"/>
  <c r="E144" i="2"/>
  <c r="G144" i="2" s="1"/>
  <c r="P144" i="2"/>
  <c r="C144" i="2"/>
  <c r="F144" i="2" s="1"/>
  <c r="H144" i="2"/>
  <c r="J144" i="2" s="1"/>
  <c r="K144" i="2" s="1"/>
  <c r="M144" i="2"/>
  <c r="S144" i="2"/>
  <c r="Q142" i="2"/>
  <c r="F140" i="2"/>
  <c r="C138" i="2"/>
  <c r="F138" i="2" s="1"/>
  <c r="S138" i="2"/>
  <c r="B138" i="2"/>
  <c r="H138" i="2"/>
  <c r="M138" i="2"/>
  <c r="R138" i="2"/>
  <c r="E138" i="2"/>
  <c r="G138" i="2" s="1"/>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N106" i="2" s="1"/>
  <c r="O106" i="2" s="1"/>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N82" i="2" s="1"/>
  <c r="O82" i="2" s="1"/>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F42" i="2" s="1"/>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B6" i="28"/>
  <c r="D11" i="2"/>
  <c r="H11" i="2"/>
  <c r="L11" i="2"/>
  <c r="P11" i="2"/>
  <c r="C11" i="2"/>
  <c r="I11" i="2"/>
  <c r="S11" i="2"/>
  <c r="E11" i="2"/>
  <c r="B11" i="2"/>
  <c r="M11" i="2"/>
  <c r="R11" i="2"/>
  <c r="C189" i="3"/>
  <c r="G189" i="3"/>
  <c r="O189" i="3"/>
  <c r="D189" i="3"/>
  <c r="I189" i="3"/>
  <c r="N189" i="3"/>
  <c r="J189" i="3"/>
  <c r="P189" i="3"/>
  <c r="B189" i="3"/>
  <c r="M189" i="3"/>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J139" i="2" s="1"/>
  <c r="K139" i="2" s="1"/>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J109" i="2" s="1"/>
  <c r="K109" i="2" s="1"/>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J59" i="2" s="1"/>
  <c r="K59" i="2" s="1"/>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E4" i="21" s="1"/>
  <c r="C37" i="2"/>
  <c r="H4" i="21" s="1"/>
  <c r="H37" i="2"/>
  <c r="B4" i="21" s="1"/>
  <c r="M37" i="2"/>
  <c r="N37" i="2" s="1"/>
  <c r="O37" i="2" s="1"/>
  <c r="S37" i="2"/>
  <c r="E37" i="2"/>
  <c r="P37" i="2"/>
  <c r="D4" i="21" s="1"/>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2" i="2"/>
  <c r="L164" i="2"/>
  <c r="D162" i="2"/>
  <c r="H162" i="2"/>
  <c r="L162" i="2"/>
  <c r="P162" i="2"/>
  <c r="E162" i="2"/>
  <c r="B162" i="2"/>
  <c r="M162" i="2"/>
  <c r="R162" i="2"/>
  <c r="L156" i="2"/>
  <c r="D154" i="2"/>
  <c r="H154" i="2"/>
  <c r="L154" i="2"/>
  <c r="P154" i="2"/>
  <c r="E154" i="2"/>
  <c r="B154" i="2"/>
  <c r="M154" i="2"/>
  <c r="R154" i="2"/>
  <c r="B148" i="2"/>
  <c r="R148" i="2"/>
  <c r="C148" i="2"/>
  <c r="F148" i="2" s="1"/>
  <c r="H148" i="2"/>
  <c r="M148" i="2"/>
  <c r="N148" i="2" s="1"/>
  <c r="O148" i="2" s="1"/>
  <c r="S148" i="2"/>
  <c r="E148" i="2"/>
  <c r="G148" i="2" s="1"/>
  <c r="P148" i="2"/>
  <c r="D146" i="2"/>
  <c r="H146" i="2"/>
  <c r="L146" i="2"/>
  <c r="P146" i="2"/>
  <c r="D3" i="21" s="1"/>
  <c r="E146" i="2"/>
  <c r="B146" i="2"/>
  <c r="M146" i="2"/>
  <c r="R146" i="2"/>
  <c r="E3" i="21" s="1"/>
  <c r="C142" i="2"/>
  <c r="S142" i="2"/>
  <c r="E142" i="2"/>
  <c r="P142" i="2"/>
  <c r="B142" i="2"/>
  <c r="H142" i="2"/>
  <c r="M142" i="2"/>
  <c r="N142" i="2" s="1"/>
  <c r="O142" i="2" s="1"/>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F78" i="2" s="1"/>
  <c r="S78" i="2"/>
  <c r="E78" i="2"/>
  <c r="G78" i="2" s="1"/>
  <c r="P78" i="2"/>
  <c r="B78" i="2"/>
  <c r="H78" i="2"/>
  <c r="M78" i="2"/>
  <c r="R78" i="2"/>
  <c r="C70" i="2"/>
  <c r="F70" i="2" s="1"/>
  <c r="S70" i="2"/>
  <c r="E70" i="2"/>
  <c r="G70" i="2" s="1"/>
  <c r="P70" i="2"/>
  <c r="B70" i="2"/>
  <c r="H70" i="2"/>
  <c r="M70" i="2"/>
  <c r="R70" i="2"/>
  <c r="C62" i="2"/>
  <c r="F62" i="2" s="1"/>
  <c r="S62" i="2"/>
  <c r="E62" i="2"/>
  <c r="G62" i="2" s="1"/>
  <c r="P62" i="2"/>
  <c r="B62" i="2"/>
  <c r="H62" i="2"/>
  <c r="M62" i="2"/>
  <c r="R62" i="2"/>
  <c r="C54" i="2"/>
  <c r="F54" i="2" s="1"/>
  <c r="S54" i="2"/>
  <c r="E54" i="2"/>
  <c r="G54" i="2" s="1"/>
  <c r="P54" i="2"/>
  <c r="B54" i="2"/>
  <c r="H54" i="2"/>
  <c r="M54" i="2"/>
  <c r="R54" i="2"/>
  <c r="C46" i="2"/>
  <c r="S46" i="2"/>
  <c r="E46" i="2"/>
  <c r="P46" i="2"/>
  <c r="B46" i="2"/>
  <c r="H46" i="2"/>
  <c r="M46" i="2"/>
  <c r="N46" i="2" s="1"/>
  <c r="O46" i="2" s="1"/>
  <c r="R46" i="2"/>
  <c r="C38" i="2"/>
  <c r="S38" i="2"/>
  <c r="E38" i="2"/>
  <c r="P38" i="2"/>
  <c r="B38" i="2"/>
  <c r="H38" i="2"/>
  <c r="M38" i="2"/>
  <c r="R38" i="2"/>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N157" i="2" s="1"/>
  <c r="O157" i="2" s="1"/>
  <c r="R157" i="2"/>
  <c r="I156" i="2"/>
  <c r="S154" i="2"/>
  <c r="I154" i="2"/>
  <c r="Q153" i="2"/>
  <c r="C149" i="2"/>
  <c r="S149" i="2"/>
  <c r="E149" i="2"/>
  <c r="P149" i="2"/>
  <c r="B149" i="2"/>
  <c r="H149" i="2"/>
  <c r="J149" i="2" s="1"/>
  <c r="K149" i="2" s="1"/>
  <c r="M149" i="2"/>
  <c r="R149" i="2"/>
  <c r="I148" i="2"/>
  <c r="S146" i="2"/>
  <c r="I146" i="2"/>
  <c r="Q145" i="2"/>
  <c r="D143" i="2"/>
  <c r="H143" i="2"/>
  <c r="J143" i="2" s="1"/>
  <c r="M143" i="2"/>
  <c r="N143" i="2" s="1"/>
  <c r="O143" i="2" s="1"/>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J119" i="2" s="1"/>
  <c r="K119" i="2" s="1"/>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N89" i="2" s="1"/>
  <c r="O89" i="2" s="1"/>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G57" i="2" s="1"/>
  <c r="P57" i="2"/>
  <c r="C57" i="2"/>
  <c r="F57" i="2" s="1"/>
  <c r="H57" i="2"/>
  <c r="J57" i="2" s="1"/>
  <c r="K57" i="2" s="1"/>
  <c r="M57" i="2"/>
  <c r="N57" i="2" s="1"/>
  <c r="O57" i="2" s="1"/>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J23" i="2" s="1"/>
  <c r="K23" i="2" s="1"/>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K180" i="3" s="1"/>
  <c r="L177" i="3"/>
  <c r="N172" i="3"/>
  <c r="F172" i="3"/>
  <c r="P169" i="3"/>
  <c r="D168" i="3"/>
  <c r="L168" i="3"/>
  <c r="P168" i="3"/>
  <c r="C168" i="3"/>
  <c r="G168" i="3"/>
  <c r="O168" i="3"/>
  <c r="C165" i="3"/>
  <c r="E165" i="3" s="1"/>
  <c r="G165" i="3"/>
  <c r="O165" i="3"/>
  <c r="B165" i="3"/>
  <c r="F165" i="3"/>
  <c r="J165" i="3"/>
  <c r="K165" i="3" s="1"/>
  <c r="N165" i="3"/>
  <c r="J164" i="3"/>
  <c r="L161" i="3"/>
  <c r="N156" i="3"/>
  <c r="F156" i="3"/>
  <c r="P153" i="3"/>
  <c r="D152" i="3"/>
  <c r="L152" i="3"/>
  <c r="P152" i="3"/>
  <c r="C152" i="3"/>
  <c r="G152" i="3"/>
  <c r="O152" i="3"/>
  <c r="C149" i="3"/>
  <c r="E149" i="3" s="1"/>
  <c r="G149" i="3"/>
  <c r="E149" i="5" s="1"/>
  <c r="O149" i="3"/>
  <c r="B149" i="3"/>
  <c r="F149" i="3"/>
  <c r="J149" i="3"/>
  <c r="N149" i="3"/>
  <c r="J148" i="3"/>
  <c r="L145" i="3"/>
  <c r="N140" i="3"/>
  <c r="F140" i="3"/>
  <c r="P137" i="3"/>
  <c r="D136" i="3"/>
  <c r="L136" i="3"/>
  <c r="P136" i="3"/>
  <c r="C136" i="3"/>
  <c r="G136" i="3"/>
  <c r="O136" i="3"/>
  <c r="C133" i="3"/>
  <c r="G133" i="3"/>
  <c r="O133" i="3"/>
  <c r="B133" i="3"/>
  <c r="F133" i="3"/>
  <c r="J133" i="3"/>
  <c r="K133" i="3" s="1"/>
  <c r="N133" i="3"/>
  <c r="J132" i="3"/>
  <c r="K132" i="3" s="1"/>
  <c r="D124" i="3"/>
  <c r="L124" i="3"/>
  <c r="P124" i="3"/>
  <c r="B124" i="3"/>
  <c r="F124" i="3"/>
  <c r="J124" i="3"/>
  <c r="N124" i="3"/>
  <c r="C124" i="3"/>
  <c r="G124" i="3"/>
  <c r="O124" i="3"/>
  <c r="Q113" i="3"/>
  <c r="Q107" i="3"/>
  <c r="Q97" i="3"/>
  <c r="D180" i="3"/>
  <c r="L180" i="3"/>
  <c r="P180" i="3"/>
  <c r="C180" i="3"/>
  <c r="G180" i="3"/>
  <c r="O180" i="3"/>
  <c r="C177" i="3"/>
  <c r="E177" i="3" s="1"/>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N145" i="3"/>
  <c r="D132" i="3"/>
  <c r="L132" i="3"/>
  <c r="P132" i="3"/>
  <c r="C132" i="3"/>
  <c r="G132" i="3"/>
  <c r="E132" i="5" s="1"/>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5" i="2"/>
  <c r="R23" i="2"/>
  <c r="M23" i="2"/>
  <c r="B23" i="2"/>
  <c r="S21" i="2"/>
  <c r="M21" i="2"/>
  <c r="N21" i="2" s="1"/>
  <c r="O21" i="2" s="1"/>
  <c r="H21" i="2"/>
  <c r="C21" i="2"/>
  <c r="R18" i="2"/>
  <c r="M18" i="2"/>
  <c r="H18" i="2"/>
  <c r="J18" i="2" s="1"/>
  <c r="K18" i="2" s="1"/>
  <c r="R15" i="2"/>
  <c r="M15" i="2"/>
  <c r="S13" i="2"/>
  <c r="M13" i="2"/>
  <c r="N13" i="2" s="1"/>
  <c r="O13" i="2" s="1"/>
  <c r="H13" i="2"/>
  <c r="J13" i="2" s="1"/>
  <c r="K13" i="2" s="1"/>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E157" i="5" s="1"/>
  <c r="O157" i="3"/>
  <c r="B157" i="3"/>
  <c r="F157" i="3"/>
  <c r="J157" i="3"/>
  <c r="K157" i="3" s="1"/>
  <c r="N157" i="3"/>
  <c r="J156" i="3"/>
  <c r="L153" i="3"/>
  <c r="M152" i="3"/>
  <c r="N148" i="3"/>
  <c r="F148" i="3"/>
  <c r="P145" i="3"/>
  <c r="D144" i="3"/>
  <c r="L144" i="3"/>
  <c r="P144" i="3"/>
  <c r="C144" i="3"/>
  <c r="G144" i="3"/>
  <c r="O144" i="3"/>
  <c r="C141" i="3"/>
  <c r="G141" i="3"/>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E153" i="3" s="1"/>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E110" i="3" s="1"/>
  <c r="G110" i="3"/>
  <c r="O110" i="3"/>
  <c r="D105" i="3"/>
  <c r="L105" i="3"/>
  <c r="P105" i="3"/>
  <c r="B99" i="3"/>
  <c r="F99" i="3"/>
  <c r="J99" i="3"/>
  <c r="K99" i="3" s="1"/>
  <c r="N99" i="3"/>
  <c r="C94" i="3"/>
  <c r="E94" i="3" s="1"/>
  <c r="G94" i="3"/>
  <c r="H94" i="3" s="1"/>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J51" i="3"/>
  <c r="K51" i="3" s="1"/>
  <c r="N51" i="3"/>
  <c r="N49" i="3"/>
  <c r="I49" i="3"/>
  <c r="C49" i="3"/>
  <c r="C46" i="3"/>
  <c r="E46" i="3" s="1"/>
  <c r="G46" i="3"/>
  <c r="O46" i="3"/>
  <c r="O43" i="3"/>
  <c r="I43" i="3"/>
  <c r="D43" i="3"/>
  <c r="E43" i="3" s="1"/>
  <c r="D41" i="3"/>
  <c r="L41" i="3"/>
  <c r="P41" i="3"/>
  <c r="N38" i="3"/>
  <c r="I38" i="3"/>
  <c r="D38" i="3"/>
  <c r="B35" i="3"/>
  <c r="F35" i="3"/>
  <c r="J35" i="3"/>
  <c r="N35" i="3"/>
  <c r="N33" i="3"/>
  <c r="I33" i="3"/>
  <c r="C33" i="3"/>
  <c r="C30" i="3"/>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F12" i="5" s="1"/>
  <c r="G12" i="5" s="1"/>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C8" i="28" s="1"/>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E81" i="5" s="1"/>
  <c r="P78" i="3"/>
  <c r="J78" i="3"/>
  <c r="D77" i="3"/>
  <c r="L77" i="3"/>
  <c r="P77" i="3"/>
  <c r="M75" i="3"/>
  <c r="O73" i="3"/>
  <c r="J73" i="3"/>
  <c r="K73" i="3" s="1"/>
  <c r="B71" i="3"/>
  <c r="F71" i="3"/>
  <c r="H71" i="3" s="1"/>
  <c r="J71" i="3"/>
  <c r="N71" i="3"/>
  <c r="M70" i="3"/>
  <c r="P67" i="3"/>
  <c r="C66" i="3"/>
  <c r="G66" i="3"/>
  <c r="H66" i="3" s="1"/>
  <c r="O66" i="3"/>
  <c r="M65" i="3"/>
  <c r="G65" i="3"/>
  <c r="P62" i="3"/>
  <c r="J62" i="3"/>
  <c r="K62" i="3" s="1"/>
  <c r="H61" i="3"/>
  <c r="D61" i="3"/>
  <c r="L61" i="3"/>
  <c r="P61" i="3"/>
  <c r="M59" i="3"/>
  <c r="O57" i="3"/>
  <c r="J57" i="3"/>
  <c r="K57" i="3" s="1"/>
  <c r="B55" i="3"/>
  <c r="F55" i="3"/>
  <c r="J55" i="3"/>
  <c r="N55" i="3"/>
  <c r="M54" i="3"/>
  <c r="P51" i="3"/>
  <c r="C50" i="3"/>
  <c r="G50" i="3"/>
  <c r="E50" i="5" s="1"/>
  <c r="O50" i="3"/>
  <c r="M49" i="3"/>
  <c r="G49" i="3"/>
  <c r="E49" i="5" s="1"/>
  <c r="F49" i="5" s="1"/>
  <c r="G49" i="5" s="1"/>
  <c r="P46" i="3"/>
  <c r="J46" i="3"/>
  <c r="K46" i="3" s="1"/>
  <c r="D45" i="3"/>
  <c r="L45" i="3"/>
  <c r="P45" i="3"/>
  <c r="M43" i="3"/>
  <c r="K42" i="3"/>
  <c r="O41" i="3"/>
  <c r="J41" i="3"/>
  <c r="B39" i="3"/>
  <c r="F39" i="3"/>
  <c r="J39" i="3"/>
  <c r="N39" i="3"/>
  <c r="M38" i="3"/>
  <c r="P35" i="3"/>
  <c r="C34" i="3"/>
  <c r="G34" i="3"/>
  <c r="O34" i="3"/>
  <c r="M33" i="3"/>
  <c r="G33" i="3"/>
  <c r="E33" i="5" s="1"/>
  <c r="F33" i="5" s="1"/>
  <c r="G33" i="5" s="1"/>
  <c r="P30" i="3"/>
  <c r="J30" i="3"/>
  <c r="K30" i="3" s="1"/>
  <c r="D29" i="3"/>
  <c r="L29" i="3"/>
  <c r="P29" i="3"/>
  <c r="M27" i="3"/>
  <c r="O25" i="3"/>
  <c r="J25" i="3"/>
  <c r="K25" i="3" s="1"/>
  <c r="B23" i="3"/>
  <c r="F23" i="3"/>
  <c r="H23" i="3" s="1"/>
  <c r="J23" i="3"/>
  <c r="N23" i="3"/>
  <c r="M22" i="3"/>
  <c r="P19" i="3"/>
  <c r="C18" i="3"/>
  <c r="G18" i="3"/>
  <c r="O18" i="3"/>
  <c r="M17" i="3"/>
  <c r="G17" i="3"/>
  <c r="E17" i="5" s="1"/>
  <c r="F17" i="5" s="1"/>
  <c r="G17" i="5" s="1"/>
  <c r="P14" i="3"/>
  <c r="J14" i="3"/>
  <c r="K14" i="3" s="1"/>
  <c r="D13" i="3"/>
  <c r="L13" i="3"/>
  <c r="P13" i="3"/>
  <c r="M11" i="3"/>
  <c r="O9" i="3"/>
  <c r="J9" i="3"/>
  <c r="B7" i="3"/>
  <c r="F7" i="3"/>
  <c r="J7" i="3"/>
  <c r="N7" i="3"/>
  <c r="E166" i="5"/>
  <c r="E162" i="5"/>
  <c r="E151" i="5"/>
  <c r="E116" i="5"/>
  <c r="E109" i="5"/>
  <c r="E103" i="5"/>
  <c r="E101" i="5"/>
  <c r="E93" i="5"/>
  <c r="E92" i="5"/>
  <c r="E84" i="5"/>
  <c r="E71" i="5"/>
  <c r="E68" i="5"/>
  <c r="E67" i="5"/>
  <c r="E64"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H43" i="3" s="1"/>
  <c r="J43" i="3"/>
  <c r="N43" i="3"/>
  <c r="C38" i="3"/>
  <c r="G38" i="3"/>
  <c r="H38" i="3" s="1"/>
  <c r="O38" i="3"/>
  <c r="D33" i="3"/>
  <c r="L33" i="3"/>
  <c r="P33" i="3"/>
  <c r="B27" i="3"/>
  <c r="F27" i="3"/>
  <c r="H27" i="3" s="1"/>
  <c r="J27" i="3"/>
  <c r="N27" i="3"/>
  <c r="C22" i="3"/>
  <c r="G22" i="3"/>
  <c r="H22" i="3" s="1"/>
  <c r="O22" i="3"/>
  <c r="D17" i="3"/>
  <c r="L17" i="3"/>
  <c r="P17" i="3"/>
  <c r="B11" i="3"/>
  <c r="F11" i="3"/>
  <c r="J11" i="3"/>
  <c r="N11" i="3"/>
  <c r="E61" i="5"/>
  <c r="E60" i="5"/>
  <c r="E47" i="5"/>
  <c r="F47" i="5" s="1"/>
  <c r="G47" i="5" s="1"/>
  <c r="E43" i="5"/>
  <c r="F43" i="5" s="1"/>
  <c r="G43" i="5" s="1"/>
  <c r="E13" i="5"/>
  <c r="F13" i="5" s="1"/>
  <c r="G13" i="5" s="1"/>
  <c r="E7" i="5"/>
  <c r="F7" i="5" s="1"/>
  <c r="G7"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K182" i="3" s="1"/>
  <c r="F182" i="3"/>
  <c r="H182" i="3" s="1"/>
  <c r="N178" i="3"/>
  <c r="J178" i="3"/>
  <c r="F178" i="3"/>
  <c r="N174" i="3"/>
  <c r="J174" i="3"/>
  <c r="F174" i="3"/>
  <c r="N170" i="3"/>
  <c r="J170" i="3"/>
  <c r="F170" i="3"/>
  <c r="H170" i="3" s="1"/>
  <c r="N166" i="3"/>
  <c r="J166" i="3"/>
  <c r="K166" i="3" s="1"/>
  <c r="F166" i="3"/>
  <c r="H166" i="3" s="1"/>
  <c r="N162" i="3"/>
  <c r="J162" i="3"/>
  <c r="F162" i="3"/>
  <c r="H162" i="3" s="1"/>
  <c r="N158" i="3"/>
  <c r="J158" i="3"/>
  <c r="F158" i="3"/>
  <c r="N154" i="3"/>
  <c r="J154" i="3"/>
  <c r="F154" i="3"/>
  <c r="N150" i="3"/>
  <c r="J150" i="3"/>
  <c r="F150" i="3"/>
  <c r="N146" i="3"/>
  <c r="J146" i="3"/>
  <c r="F146" i="3"/>
  <c r="N142" i="3"/>
  <c r="J142" i="3"/>
  <c r="K142" i="3" s="1"/>
  <c r="F142" i="3"/>
  <c r="N138" i="3"/>
  <c r="J138" i="3"/>
  <c r="F138" i="3"/>
  <c r="N134" i="3"/>
  <c r="J134" i="3"/>
  <c r="F134" i="3"/>
  <c r="N130" i="3"/>
  <c r="J130" i="3"/>
  <c r="K130" i="3" s="1"/>
  <c r="F130" i="3"/>
  <c r="O129" i="3"/>
  <c r="G129" i="3"/>
  <c r="H129" i="3" s="1"/>
  <c r="N126" i="3"/>
  <c r="J126" i="3"/>
  <c r="K126" i="3" s="1"/>
  <c r="F126" i="3"/>
  <c r="O125" i="3"/>
  <c r="G125" i="3"/>
  <c r="N122" i="3"/>
  <c r="J122" i="3"/>
  <c r="F122" i="3"/>
  <c r="O121" i="3"/>
  <c r="G121" i="3"/>
  <c r="D117" i="3"/>
  <c r="L117" i="3"/>
  <c r="P117" i="3"/>
  <c r="M115" i="3"/>
  <c r="C115" i="3"/>
  <c r="N114" i="3"/>
  <c r="I114" i="3"/>
  <c r="K114" i="3" s="1"/>
  <c r="D114" i="3"/>
  <c r="B111" i="3"/>
  <c r="F111" i="3"/>
  <c r="J111" i="3"/>
  <c r="K111" i="3" s="1"/>
  <c r="N111" i="3"/>
  <c r="M110" i="3"/>
  <c r="B110" i="3"/>
  <c r="N109" i="3"/>
  <c r="I109" i="3"/>
  <c r="K109" i="3" s="1"/>
  <c r="C109" i="3"/>
  <c r="C106" i="3"/>
  <c r="E106" i="3" s="1"/>
  <c r="G106" i="3"/>
  <c r="O106" i="3"/>
  <c r="M105" i="3"/>
  <c r="G105" i="3"/>
  <c r="E105" i="5" s="1"/>
  <c r="B105" i="3"/>
  <c r="O103" i="3"/>
  <c r="I103" i="3"/>
  <c r="D103" i="3"/>
  <c r="D101" i="3"/>
  <c r="E101" i="3" s="1"/>
  <c r="L101" i="3"/>
  <c r="P101" i="3"/>
  <c r="M99" i="3"/>
  <c r="C99" i="3"/>
  <c r="E99" i="3" s="1"/>
  <c r="N98" i="3"/>
  <c r="I98" i="3"/>
  <c r="D98" i="3"/>
  <c r="B95" i="3"/>
  <c r="F95" i="3"/>
  <c r="J95" i="3"/>
  <c r="N95" i="3"/>
  <c r="M94" i="3"/>
  <c r="B94" i="3"/>
  <c r="N93" i="3"/>
  <c r="I93" i="3"/>
  <c r="K93" i="3" s="1"/>
  <c r="C93" i="3"/>
  <c r="P91" i="3"/>
  <c r="C90" i="3"/>
  <c r="G90" i="3"/>
  <c r="O90" i="3"/>
  <c r="M89" i="3"/>
  <c r="G89" i="3"/>
  <c r="E89" i="5" s="1"/>
  <c r="B89" i="3"/>
  <c r="O87" i="3"/>
  <c r="I87" i="3"/>
  <c r="D87" i="3"/>
  <c r="E87" i="3" s="1"/>
  <c r="P86" i="3"/>
  <c r="J86" i="3"/>
  <c r="D85" i="3"/>
  <c r="E85" i="3" s="1"/>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E67" i="3" s="1"/>
  <c r="N66" i="3"/>
  <c r="I66" i="3"/>
  <c r="D66" i="3"/>
  <c r="O65" i="3"/>
  <c r="J65" i="3"/>
  <c r="B63" i="3"/>
  <c r="F63" i="3"/>
  <c r="J63" i="3"/>
  <c r="K63" i="3" s="1"/>
  <c r="N63" i="3"/>
  <c r="M62" i="3"/>
  <c r="B62" i="3"/>
  <c r="N61" i="3"/>
  <c r="I61" i="3"/>
  <c r="C61" i="3"/>
  <c r="P59" i="3"/>
  <c r="C58" i="3"/>
  <c r="G58" i="3"/>
  <c r="H58" i="3" s="1"/>
  <c r="O58" i="3"/>
  <c r="M57" i="3"/>
  <c r="G57" i="3"/>
  <c r="B57" i="3"/>
  <c r="O55" i="3"/>
  <c r="I55" i="3"/>
  <c r="D55" i="3"/>
  <c r="P54" i="3"/>
  <c r="J54" i="3"/>
  <c r="D53" i="3"/>
  <c r="L53" i="3"/>
  <c r="P53" i="3"/>
  <c r="M51" i="3"/>
  <c r="C51" i="3"/>
  <c r="N50" i="3"/>
  <c r="I50" i="3"/>
  <c r="D50" i="3"/>
  <c r="O49" i="3"/>
  <c r="J49" i="3"/>
  <c r="B47" i="3"/>
  <c r="F47" i="3"/>
  <c r="H47" i="3" s="1"/>
  <c r="J47" i="3"/>
  <c r="N47" i="3"/>
  <c r="M46" i="3"/>
  <c r="B46" i="3"/>
  <c r="N45" i="3"/>
  <c r="I45" i="3"/>
  <c r="C45" i="3"/>
  <c r="P43" i="3"/>
  <c r="C42" i="3"/>
  <c r="E42" i="3" s="1"/>
  <c r="G42" i="3"/>
  <c r="H42" i="3" s="1"/>
  <c r="O42" i="3"/>
  <c r="M41" i="3"/>
  <c r="G41" i="3"/>
  <c r="H41" i="3" s="1"/>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H25" i="3" s="1"/>
  <c r="B25" i="3"/>
  <c r="O23" i="3"/>
  <c r="I23" i="3"/>
  <c r="D23" i="3"/>
  <c r="E23" i="3" s="1"/>
  <c r="P22" i="3"/>
  <c r="J22" i="3"/>
  <c r="D21" i="3"/>
  <c r="E21" i="3" s="1"/>
  <c r="L21" i="3"/>
  <c r="P21" i="3"/>
  <c r="M19" i="3"/>
  <c r="C19" i="3"/>
  <c r="E19" i="3" s="1"/>
  <c r="N18" i="3"/>
  <c r="I18" i="3"/>
  <c r="K18" i="3" s="1"/>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D79" i="5"/>
  <c r="H79" i="5"/>
  <c r="J79" i="5" s="1"/>
  <c r="D78" i="5"/>
  <c r="H78" i="5"/>
  <c r="D77" i="5"/>
  <c r="H77" i="5"/>
  <c r="J77" i="5" s="1"/>
  <c r="D76" i="5"/>
  <c r="H76" i="5"/>
  <c r="J76" i="5" s="1"/>
  <c r="D75" i="5"/>
  <c r="H75" i="5"/>
  <c r="J75" i="5" s="1"/>
  <c r="L75" i="5"/>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I158" i="6"/>
  <c r="Q158" i="12" s="1"/>
  <c r="B154" i="6"/>
  <c r="F154" i="6"/>
  <c r="J154" i="6"/>
  <c r="N154" i="6"/>
  <c r="C154" i="6"/>
  <c r="G154" i="6"/>
  <c r="K154" i="6"/>
  <c r="S154" i="12" s="1"/>
  <c r="O154" i="6"/>
  <c r="D154" i="6"/>
  <c r="H154" i="6"/>
  <c r="L154" i="6"/>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A124" i="7"/>
  <c r="D124" i="6"/>
  <c r="I124" i="6"/>
  <c r="O124" i="6"/>
  <c r="E124" i="6"/>
  <c r="K124" i="6"/>
  <c r="H49" i="5"/>
  <c r="H48" i="5"/>
  <c r="H47" i="5"/>
  <c r="H46" i="5"/>
  <c r="H45" i="5"/>
  <c r="H44" i="5"/>
  <c r="H43" i="5"/>
  <c r="H42" i="5"/>
  <c r="H41" i="5"/>
  <c r="J41" i="5" s="1"/>
  <c r="H40" i="5"/>
  <c r="H39" i="5"/>
  <c r="J39" i="5" s="1"/>
  <c r="H38" i="5"/>
  <c r="J38" i="5" s="1"/>
  <c r="H37" i="5"/>
  <c r="H36" i="5"/>
  <c r="J36" i="5" s="1"/>
  <c r="H35" i="5"/>
  <c r="L34" i="5"/>
  <c r="M34" i="5" s="1"/>
  <c r="H34" i="5"/>
  <c r="H33" i="5"/>
  <c r="H32" i="5"/>
  <c r="J32" i="5" s="1"/>
  <c r="H31" i="5"/>
  <c r="H30" i="5"/>
  <c r="L29" i="5"/>
  <c r="H29" i="5"/>
  <c r="H28" i="5"/>
  <c r="J28" i="5" s="1"/>
  <c r="H27" i="5"/>
  <c r="J27" i="5" s="1"/>
  <c r="H26" i="5"/>
  <c r="H25" i="5"/>
  <c r="H24" i="5"/>
  <c r="H23" i="5"/>
  <c r="H22" i="5"/>
  <c r="H21" i="5"/>
  <c r="J21" i="5" s="1"/>
  <c r="H20" i="5"/>
  <c r="H19" i="5"/>
  <c r="H18" i="5"/>
  <c r="H17" i="5"/>
  <c r="L16" i="5"/>
  <c r="H16" i="5"/>
  <c r="H15" i="5"/>
  <c r="H14" i="5"/>
  <c r="H13" i="5"/>
  <c r="H12" i="5"/>
  <c r="J12" i="5" s="1"/>
  <c r="H11" i="5"/>
  <c r="H10" i="5"/>
  <c r="H9" i="5"/>
  <c r="L8" i="5"/>
  <c r="H8" i="5"/>
  <c r="H7" i="5"/>
  <c r="J7" i="5" s="1"/>
  <c r="O189" i="7"/>
  <c r="K189" i="7"/>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6"/>
  <c r="B166" i="6"/>
  <c r="F166" i="6"/>
  <c r="J166" i="6"/>
  <c r="N166" i="6"/>
  <c r="C166" i="6"/>
  <c r="G166" i="6"/>
  <c r="K166" i="6"/>
  <c r="O166" i="6"/>
  <c r="D166" i="6"/>
  <c r="H166" i="6"/>
  <c r="L166" i="12" s="1"/>
  <c r="L166" i="6"/>
  <c r="B158" i="6"/>
  <c r="F158" i="6"/>
  <c r="J158" i="6"/>
  <c r="N158" i="6"/>
  <c r="C158" i="6"/>
  <c r="G158" i="6"/>
  <c r="K158" i="6"/>
  <c r="O158" i="6"/>
  <c r="D158" i="6"/>
  <c r="H158" i="6"/>
  <c r="L158" i="6"/>
  <c r="B150" i="6"/>
  <c r="F150" i="6"/>
  <c r="J150" i="6"/>
  <c r="N150" i="6"/>
  <c r="C150" i="6"/>
  <c r="G150" i="6"/>
  <c r="K150" i="6"/>
  <c r="O150" i="6"/>
  <c r="D150" i="6"/>
  <c r="H150" i="6"/>
  <c r="L150" i="6"/>
  <c r="B140" i="6"/>
  <c r="F140" i="6"/>
  <c r="J140" i="6"/>
  <c r="N140" i="6"/>
  <c r="C140" i="6"/>
  <c r="H140" i="6"/>
  <c r="L140" i="12" s="1"/>
  <c r="M140" i="6"/>
  <c r="A140" i="7"/>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C40" i="6"/>
  <c r="L43" i="5" s="1"/>
  <c r="H40" i="6"/>
  <c r="L40" i="12" s="1"/>
  <c r="M40" i="6"/>
  <c r="B32" i="6"/>
  <c r="F32" i="6"/>
  <c r="J32" i="6"/>
  <c r="N32" i="6"/>
  <c r="C32" i="6"/>
  <c r="H32" i="6"/>
  <c r="P32" i="12" s="1"/>
  <c r="M32" i="6"/>
  <c r="E32" i="6"/>
  <c r="K32" i="6"/>
  <c r="O13" i="12"/>
  <c r="M23" i="12"/>
  <c r="O25" i="12"/>
  <c r="M13" i="12"/>
  <c r="M25" i="12"/>
  <c r="M61" i="12"/>
  <c r="O40" i="12"/>
  <c r="M46" i="12"/>
  <c r="M74" i="12"/>
  <c r="M78" i="12"/>
  <c r="M12" i="12"/>
  <c r="O61" i="12"/>
  <c r="O48" i="12"/>
  <c r="O65" i="12"/>
  <c r="M82" i="12"/>
  <c r="M86" i="12"/>
  <c r="M90" i="12"/>
  <c r="M94" i="12"/>
  <c r="M98" i="12"/>
  <c r="M55" i="12"/>
  <c r="O64" i="12"/>
  <c r="M85" i="12"/>
  <c r="M88" i="12"/>
  <c r="M111" i="12"/>
  <c r="M156" i="12"/>
  <c r="M160" i="12"/>
  <c r="O173" i="12"/>
  <c r="M179" i="12"/>
  <c r="N134" i="12"/>
  <c r="N135" i="12"/>
  <c r="M161" i="12"/>
  <c r="M185" i="12"/>
  <c r="M184" i="12"/>
  <c r="M188" i="12"/>
  <c r="L165" i="12"/>
  <c r="C7" i="6"/>
  <c r="G7" i="6"/>
  <c r="K7" i="6"/>
  <c r="O7" i="6"/>
  <c r="E7" i="6"/>
  <c r="J7" i="6"/>
  <c r="B7" i="6"/>
  <c r="H7" i="6"/>
  <c r="L7" i="12" s="1"/>
  <c r="M7" i="6"/>
  <c r="D7" i="6"/>
  <c r="N7" i="6"/>
  <c r="I7" i="6"/>
  <c r="M7" i="12" s="1"/>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8" i="6"/>
  <c r="J188" i="6"/>
  <c r="F188" i="6"/>
  <c r="B188" i="6"/>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B48" i="6"/>
  <c r="F48" i="6"/>
  <c r="J48" i="6"/>
  <c r="N48" i="6"/>
  <c r="C48" i="6"/>
  <c r="H48" i="6"/>
  <c r="P48" i="12" s="1"/>
  <c r="M48" i="6"/>
  <c r="E48" i="6"/>
  <c r="K48" i="6"/>
  <c r="N45" i="6"/>
  <c r="I40" i="6"/>
  <c r="Q40" i="12" s="1"/>
  <c r="N37" i="6"/>
  <c r="N34" i="6"/>
  <c r="I32" i="6"/>
  <c r="B10" i="6"/>
  <c r="F10" i="6"/>
  <c r="J10" i="6"/>
  <c r="N10" i="6"/>
  <c r="C10" i="6"/>
  <c r="L10" i="5" s="1"/>
  <c r="M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72" i="12"/>
  <c r="Q160" i="12"/>
  <c r="Q148" i="12"/>
  <c r="D142" i="6"/>
  <c r="H142" i="6"/>
  <c r="L142" i="6"/>
  <c r="O142" i="12" s="1"/>
  <c r="C137" i="6"/>
  <c r="G137" i="6"/>
  <c r="K137" i="6"/>
  <c r="R137" i="12" s="1"/>
  <c r="O137" i="6"/>
  <c r="Q132" i="12"/>
  <c r="B132" i="6"/>
  <c r="F132" i="6"/>
  <c r="J132" i="6"/>
  <c r="N132" i="6"/>
  <c r="D126" i="6"/>
  <c r="H126" i="6"/>
  <c r="P126" i="12" s="1"/>
  <c r="L126" i="6"/>
  <c r="O126" i="12" s="1"/>
  <c r="Q121" i="12"/>
  <c r="C121" i="6"/>
  <c r="L122" i="5" s="1"/>
  <c r="G121" i="6"/>
  <c r="K121" i="6"/>
  <c r="O121" i="6"/>
  <c r="B116" i="6"/>
  <c r="F116" i="6"/>
  <c r="J116" i="6"/>
  <c r="N116" i="6"/>
  <c r="D110" i="6"/>
  <c r="H110" i="6"/>
  <c r="P110" i="12" s="1"/>
  <c r="L110" i="6"/>
  <c r="Q102" i="12"/>
  <c r="D102" i="6"/>
  <c r="H102" i="6"/>
  <c r="L102" i="6"/>
  <c r="B102" i="6"/>
  <c r="F102" i="6"/>
  <c r="J102" i="6"/>
  <c r="N102" i="6"/>
  <c r="M98" i="6"/>
  <c r="E98" i="6"/>
  <c r="Q94" i="12"/>
  <c r="D94" i="6"/>
  <c r="H94" i="6"/>
  <c r="L94" i="6"/>
  <c r="O94" i="12" s="1"/>
  <c r="B94" i="6"/>
  <c r="F94" i="6"/>
  <c r="J94" i="6"/>
  <c r="N94" i="6"/>
  <c r="M90" i="6"/>
  <c r="E90" i="6"/>
  <c r="Q86" i="12"/>
  <c r="D86" i="6"/>
  <c r="H86" i="6"/>
  <c r="L86" i="6"/>
  <c r="O87" i="12" s="1"/>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M64" i="5" s="1"/>
  <c r="H64" i="6"/>
  <c r="P64" i="12" s="1"/>
  <c r="M64" i="6"/>
  <c r="E64" i="6"/>
  <c r="K64" i="6"/>
  <c r="R64" i="12" s="1"/>
  <c r="F58" i="6"/>
  <c r="C45" i="6"/>
  <c r="L45" i="5" s="1"/>
  <c r="G45" i="6"/>
  <c r="K45" i="6"/>
  <c r="N45" i="12" s="1"/>
  <c r="O45" i="6"/>
  <c r="E45" i="6"/>
  <c r="J45" i="6"/>
  <c r="B45" i="6"/>
  <c r="H45" i="6"/>
  <c r="M45" i="6"/>
  <c r="G40" i="6"/>
  <c r="C37" i="6"/>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L7" i="6"/>
  <c r="S7" i="12" s="1"/>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A40" i="7"/>
  <c r="A32" i="7"/>
  <c r="O22" i="7"/>
  <c r="K22" i="7"/>
  <c r="G22" i="7"/>
  <c r="O18" i="7"/>
  <c r="K18" i="7"/>
  <c r="G18" i="7"/>
  <c r="O14" i="7"/>
  <c r="K14" i="7"/>
  <c r="G14" i="7"/>
  <c r="L11" i="7"/>
  <c r="H11" i="7"/>
  <c r="O10" i="7"/>
  <c r="K10" i="7"/>
  <c r="G10" i="7"/>
  <c r="L7" i="7"/>
  <c r="H7" i="7"/>
  <c r="D7" i="7"/>
  <c r="L188" i="6"/>
  <c r="O188" i="12" s="1"/>
  <c r="H188" i="6"/>
  <c r="L188" i="12" s="1"/>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L175" i="12" s="1"/>
  <c r="O175" i="6"/>
  <c r="K175" i="6"/>
  <c r="N175" i="12" s="1"/>
  <c r="G175" i="6"/>
  <c r="L172" i="6"/>
  <c r="O181" i="12" s="1"/>
  <c r="H172" i="6"/>
  <c r="L172" i="12" s="1"/>
  <c r="D172" i="6"/>
  <c r="O171" i="6"/>
  <c r="K171" i="6"/>
  <c r="G171" i="6"/>
  <c r="C171" i="6"/>
  <c r="S169" i="12"/>
  <c r="P169" i="12"/>
  <c r="L168" i="6"/>
  <c r="O177" i="12" s="1"/>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S157" i="12"/>
  <c r="L156" i="6"/>
  <c r="O156" i="12" s="1"/>
  <c r="H156" i="6"/>
  <c r="P156" i="12" s="1"/>
  <c r="D156" i="6"/>
  <c r="O155" i="6"/>
  <c r="K155" i="6"/>
  <c r="N155" i="12" s="1"/>
  <c r="G155" i="6"/>
  <c r="C155" i="6"/>
  <c r="Q153" i="12"/>
  <c r="L152" i="6"/>
  <c r="O152" i="12" s="1"/>
  <c r="H152" i="6"/>
  <c r="L152" i="12" s="1"/>
  <c r="D152" i="6"/>
  <c r="O151" i="6"/>
  <c r="K151" i="6"/>
  <c r="G151" i="6"/>
  <c r="C151" i="6"/>
  <c r="L151" i="5" s="1"/>
  <c r="P149" i="12"/>
  <c r="L148" i="6"/>
  <c r="O148" i="12" s="1"/>
  <c r="H148" i="6"/>
  <c r="P148" i="12" s="1"/>
  <c r="D148" i="6"/>
  <c r="O147" i="6"/>
  <c r="K147" i="6"/>
  <c r="G147" i="6"/>
  <c r="C147" i="6"/>
  <c r="L147" i="5" s="1"/>
  <c r="M147" i="5" s="1"/>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P117" i="12"/>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Q80" i="12"/>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109" i="12"/>
  <c r="P97" i="12"/>
  <c r="P89" i="12"/>
  <c r="Q85" i="12"/>
  <c r="Q77" i="12"/>
  <c r="Q73"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Q12" i="12"/>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S135" i="12"/>
  <c r="S127" i="12"/>
  <c r="R127" i="12"/>
  <c r="P119" i="12"/>
  <c r="Q115" i="12"/>
  <c r="S111"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Q91" i="12"/>
  <c r="O89" i="6"/>
  <c r="K89" i="6"/>
  <c r="N89" i="12" s="1"/>
  <c r="G89" i="6"/>
  <c r="C89" i="6"/>
  <c r="L89" i="5" s="1"/>
  <c r="O85" i="6"/>
  <c r="K85" i="6"/>
  <c r="N85" i="12" s="1"/>
  <c r="G85" i="6"/>
  <c r="C85" i="6"/>
  <c r="L85" i="5" s="1"/>
  <c r="P83" i="12"/>
  <c r="O81" i="6"/>
  <c r="K81" i="6"/>
  <c r="R81" i="12" s="1"/>
  <c r="G81" i="6"/>
  <c r="C81" i="6"/>
  <c r="P79" i="12"/>
  <c r="O77" i="6"/>
  <c r="K77" i="6"/>
  <c r="S77" i="12" s="1"/>
  <c r="G77" i="6"/>
  <c r="C77" i="6"/>
  <c r="L77" i="5" s="1"/>
  <c r="O73" i="6"/>
  <c r="K73" i="6"/>
  <c r="R73" i="12" s="1"/>
  <c r="G73" i="6"/>
  <c r="C73" i="6"/>
  <c r="O69" i="6"/>
  <c r="K69" i="6"/>
  <c r="N69" i="12" s="1"/>
  <c r="G69" i="6"/>
  <c r="C69" i="6"/>
  <c r="L69" i="5" s="1"/>
  <c r="M69" i="5" s="1"/>
  <c r="N65" i="6"/>
  <c r="I65" i="6"/>
  <c r="D65" i="6"/>
  <c r="Q62" i="12"/>
  <c r="D62" i="6"/>
  <c r="H62" i="6"/>
  <c r="L62" i="6"/>
  <c r="O62" i="12" s="1"/>
  <c r="O60" i="6"/>
  <c r="I60" i="6"/>
  <c r="Q60" i="12" s="1"/>
  <c r="D60" i="6"/>
  <c r="P57" i="12"/>
  <c r="C57" i="6"/>
  <c r="G57" i="6"/>
  <c r="K57" i="6"/>
  <c r="N57" i="12" s="1"/>
  <c r="O57" i="6"/>
  <c r="N54" i="6"/>
  <c r="I54" i="6"/>
  <c r="Q54" i="12" s="1"/>
  <c r="C54" i="6"/>
  <c r="L54" i="5" s="1"/>
  <c r="B52" i="6"/>
  <c r="F52" i="6"/>
  <c r="J52" i="6"/>
  <c r="N52" i="6"/>
  <c r="N49" i="6"/>
  <c r="I49" i="6"/>
  <c r="Q48" i="12" s="1"/>
  <c r="D49" i="6"/>
  <c r="Q46" i="12"/>
  <c r="D46" i="6"/>
  <c r="H46" i="6"/>
  <c r="P46" i="12" s="1"/>
  <c r="L46" i="6"/>
  <c r="O46" i="12" s="1"/>
  <c r="O44" i="6"/>
  <c r="I44" i="6"/>
  <c r="D44" i="6"/>
  <c r="C41" i="6"/>
  <c r="G41" i="6"/>
  <c r="K41" i="6"/>
  <c r="O41" i="6"/>
  <c r="N38" i="6"/>
  <c r="I38" i="6"/>
  <c r="M38" i="12" s="1"/>
  <c r="C38" i="6"/>
  <c r="L38" i="5" s="1"/>
  <c r="M38" i="5" s="1"/>
  <c r="B36" i="6"/>
  <c r="F36" i="6"/>
  <c r="J36" i="6"/>
  <c r="N36" i="6"/>
  <c r="N33" i="6"/>
  <c r="I33" i="6"/>
  <c r="Q33" i="12" s="1"/>
  <c r="D33" i="6"/>
  <c r="Q30" i="12"/>
  <c r="B30" i="6"/>
  <c r="F30" i="6"/>
  <c r="J30" i="6"/>
  <c r="N30" i="6"/>
  <c r="D30" i="6"/>
  <c r="H30" i="6"/>
  <c r="L30" i="12" s="1"/>
  <c r="L30" i="6"/>
  <c r="O30" i="12" s="1"/>
  <c r="B26" i="6"/>
  <c r="F26" i="6"/>
  <c r="J26" i="6"/>
  <c r="N26" i="6"/>
  <c r="C26" i="6"/>
  <c r="L26" i="5" s="1"/>
  <c r="M26" i="5" s="1"/>
  <c r="H26" i="6"/>
  <c r="M26" i="6"/>
  <c r="E26" i="6"/>
  <c r="K26" i="6"/>
  <c r="S26" i="12" s="1"/>
  <c r="F23" i="6"/>
  <c r="F20" i="6"/>
  <c r="Q18" i="12"/>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Q55" i="12"/>
  <c r="R55" i="12"/>
  <c r="P47" i="12"/>
  <c r="P31" i="12"/>
  <c r="O29" i="6"/>
  <c r="K29" i="6"/>
  <c r="G29" i="6"/>
  <c r="R27" i="12"/>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9" i="12" s="1"/>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S13" i="12"/>
  <c r="Q13" i="12"/>
  <c r="R13" i="12"/>
  <c r="P9" i="12"/>
  <c r="R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9" i="11"/>
  <c r="H189" i="11"/>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D190" i="12"/>
  <c r="H190" i="12"/>
  <c r="B190" i="12"/>
  <c r="F190" i="12"/>
  <c r="J190" i="12"/>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8" i="12"/>
  <c r="F188" i="12"/>
  <c r="D188" i="12"/>
  <c r="B184" i="12"/>
  <c r="F184" i="12"/>
  <c r="N184" i="12"/>
  <c r="D184" i="12"/>
  <c r="B180" i="12"/>
  <c r="F180" i="12"/>
  <c r="D180" i="12"/>
  <c r="B176" i="12"/>
  <c r="F176" i="12"/>
  <c r="N176" i="12"/>
  <c r="D176" i="12"/>
  <c r="M172" i="12"/>
  <c r="E172" i="12"/>
  <c r="E168" i="12"/>
  <c r="E164" i="12"/>
  <c r="C162" i="12"/>
  <c r="G162" i="12"/>
  <c r="D162" i="12"/>
  <c r="L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E190" i="12"/>
  <c r="G188" i="12"/>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O171" i="12"/>
  <c r="G171" i="12"/>
  <c r="O167" i="12"/>
  <c r="G167" i="12"/>
  <c r="G163" i="12"/>
  <c r="L160" i="12"/>
  <c r="D160" i="12"/>
  <c r="G159" i="12"/>
  <c r="D156" i="12"/>
  <c r="O155" i="12"/>
  <c r="G155" i="12"/>
  <c r="D152" i="12"/>
  <c r="G151" i="12"/>
  <c r="F150" i="12"/>
  <c r="B150" i="12"/>
  <c r="D148" i="12"/>
  <c r="G147" i="12"/>
  <c r="F146" i="12"/>
  <c r="B146" i="12"/>
  <c r="P144" i="12"/>
  <c r="L144" i="12"/>
  <c r="D144" i="12"/>
  <c r="R142"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S112" i="12"/>
  <c r="B110" i="12"/>
  <c r="F110" i="12"/>
  <c r="R110" i="12"/>
  <c r="D110" i="12"/>
  <c r="S108" i="12"/>
  <c r="B106" i="12"/>
  <c r="F106" i="12"/>
  <c r="D106" i="12"/>
  <c r="B102" i="12"/>
  <c r="F102" i="12"/>
  <c r="N102" i="12"/>
  <c r="D102" i="12"/>
  <c r="D142" i="12"/>
  <c r="B140" i="12"/>
  <c r="F140" i="12"/>
  <c r="C133" i="12"/>
  <c r="G133" i="12"/>
  <c r="D126" i="12"/>
  <c r="B124" i="12"/>
  <c r="F124" i="12"/>
  <c r="D120" i="12"/>
  <c r="P120" i="12"/>
  <c r="B120" i="12"/>
  <c r="F120" i="12"/>
  <c r="D116" i="12"/>
  <c r="B116" i="12"/>
  <c r="F116" i="12"/>
  <c r="D112" i="12"/>
  <c r="P112" i="12"/>
  <c r="B112" i="12"/>
  <c r="F112" i="12"/>
  <c r="N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B96" i="12"/>
  <c r="F96" i="12"/>
  <c r="N96" i="12"/>
  <c r="R96" i="12"/>
  <c r="G150" i="12"/>
  <c r="G146" i="12"/>
  <c r="S142" i="12"/>
  <c r="N142" i="12"/>
  <c r="C142" i="12"/>
  <c r="C141" i="12"/>
  <c r="G141" i="12"/>
  <c r="D140" i="12"/>
  <c r="D134" i="12"/>
  <c r="P134" i="12"/>
  <c r="D133" i="12"/>
  <c r="B132" i="12"/>
  <c r="F132" i="12"/>
  <c r="S126" i="12"/>
  <c r="C126" i="12"/>
  <c r="C125" i="12"/>
  <c r="G125" i="12"/>
  <c r="D124" i="12"/>
  <c r="E120" i="12"/>
  <c r="E116" i="12"/>
  <c r="M112" i="12"/>
  <c r="E112" i="12"/>
  <c r="M108"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P76" i="12"/>
  <c r="E76" i="12"/>
  <c r="D73" i="12"/>
  <c r="B71" i="12"/>
  <c r="F71" i="12"/>
  <c r="D71" i="12"/>
  <c r="G69" i="12"/>
  <c r="R68" i="12"/>
  <c r="D60" i="12"/>
  <c r="L60" i="12"/>
  <c r="P60" i="12"/>
  <c r="B60" i="12"/>
  <c r="G60" i="12"/>
  <c r="E60" i="12"/>
  <c r="Q52" i="12"/>
  <c r="N51" i="12"/>
  <c r="D77" i="12"/>
  <c r="L77" i="12"/>
  <c r="P77" i="12"/>
  <c r="B75" i="12"/>
  <c r="F75" i="12"/>
  <c r="B66" i="12"/>
  <c r="F66" i="12"/>
  <c r="E66" i="12"/>
  <c r="C66" i="12"/>
  <c r="C51" i="12"/>
  <c r="G51" i="12"/>
  <c r="S51" i="12"/>
  <c r="B51" i="12"/>
  <c r="R51" i="12"/>
  <c r="E51" i="12"/>
  <c r="B50" i="12"/>
  <c r="F50" i="12"/>
  <c r="N50" i="12"/>
  <c r="R50" i="12"/>
  <c r="D50" i="12"/>
  <c r="E50" i="12"/>
  <c r="C50" i="12"/>
  <c r="S50" i="12"/>
  <c r="F98" i="12"/>
  <c r="F94" i="12"/>
  <c r="D92" i="12"/>
  <c r="F90" i="12"/>
  <c r="D88" i="12"/>
  <c r="R86" i="12"/>
  <c r="N86" i="12"/>
  <c r="F86" i="12"/>
  <c r="D84" i="12"/>
  <c r="D81" i="12"/>
  <c r="B79" i="12"/>
  <c r="F79" i="12"/>
  <c r="E77" i="12"/>
  <c r="P75" i="12"/>
  <c r="E75" i="12"/>
  <c r="N68" i="12"/>
  <c r="C67" i="12"/>
  <c r="G67" i="12"/>
  <c r="S67" i="12"/>
  <c r="B67" i="12"/>
  <c r="E67" i="12"/>
  <c r="N59" i="12"/>
  <c r="B58" i="12"/>
  <c r="F58" i="12"/>
  <c r="N58" i="12"/>
  <c r="R58" i="12"/>
  <c r="C58" i="12"/>
  <c r="H58" i="12"/>
  <c r="S58" i="12"/>
  <c r="E58" i="12"/>
  <c r="K58" i="12"/>
  <c r="D52" i="12"/>
  <c r="L52" i="12"/>
  <c r="P52" i="12"/>
  <c r="E52" i="12"/>
  <c r="B52" i="12"/>
  <c r="G52" i="12"/>
  <c r="M52" i="12"/>
  <c r="S92" i="12"/>
  <c r="G92" i="12"/>
  <c r="G88" i="12"/>
  <c r="G84" i="12"/>
  <c r="C77" i="12"/>
  <c r="C76" i="12"/>
  <c r="G76" i="12"/>
  <c r="D75" i="12"/>
  <c r="D69" i="12"/>
  <c r="L69" i="12"/>
  <c r="P69" i="12"/>
  <c r="B69" i="12"/>
  <c r="F69" i="12"/>
  <c r="D68" i="12"/>
  <c r="E68" i="12"/>
  <c r="S68" i="12"/>
  <c r="B68" i="12"/>
  <c r="G68" i="12"/>
  <c r="M68" i="12"/>
  <c r="Q68" i="12"/>
  <c r="G66" i="12"/>
  <c r="C59" i="12"/>
  <c r="G59" i="12"/>
  <c r="O59" i="12"/>
  <c r="S59" i="12"/>
  <c r="E59" i="12"/>
  <c r="B59" i="12"/>
  <c r="R59" i="12"/>
  <c r="Q51" i="12"/>
  <c r="F51" i="12"/>
  <c r="D64" i="12"/>
  <c r="B62" i="12"/>
  <c r="F62" i="12"/>
  <c r="R62" i="12"/>
  <c r="C55" i="12"/>
  <c r="G55" i="12"/>
  <c r="O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L22" i="12"/>
  <c r="P22" i="12"/>
  <c r="B22" i="12"/>
  <c r="F22" i="12"/>
  <c r="N22" i="12"/>
  <c r="R22" i="12"/>
  <c r="G20" i="12"/>
  <c r="D18" i="12"/>
  <c r="B18" i="12"/>
  <c r="F18" i="12"/>
  <c r="G16" i="12"/>
  <c r="D14" i="12"/>
  <c r="B14" i="12"/>
  <c r="F14" i="12"/>
  <c r="G12" i="12"/>
  <c r="D10" i="12"/>
  <c r="B10" i="12"/>
  <c r="F10" i="12"/>
  <c r="G8" i="12"/>
  <c r="C43" i="12"/>
  <c r="G43" i="12"/>
  <c r="S43" i="12"/>
  <c r="D36" i="12"/>
  <c r="L36" i="12"/>
  <c r="P36" i="12"/>
  <c r="E8" i="12"/>
  <c r="B187" i="13"/>
  <c r="F187" i="13"/>
  <c r="D187" i="13"/>
  <c r="B183" i="13"/>
  <c r="F183" i="13"/>
  <c r="D183" i="13"/>
  <c r="B179" i="13"/>
  <c r="F179" i="13"/>
  <c r="D179" i="13"/>
  <c r="G72" i="12"/>
  <c r="C64" i="12"/>
  <c r="C63" i="12"/>
  <c r="G63" i="12"/>
  <c r="O63" i="12"/>
  <c r="D62" i="12"/>
  <c r="D56" i="12"/>
  <c r="N55" i="12"/>
  <c r="D55" i="12"/>
  <c r="B54" i="12"/>
  <c r="F54" i="12"/>
  <c r="N54" i="12"/>
  <c r="R54" i="12"/>
  <c r="C48" i="12"/>
  <c r="C47" i="12"/>
  <c r="G47" i="12"/>
  <c r="O47" i="12"/>
  <c r="D46" i="12"/>
  <c r="R44" i="12"/>
  <c r="G44" i="12"/>
  <c r="E43" i="12"/>
  <c r="D40" i="12"/>
  <c r="D39" i="12"/>
  <c r="B38" i="12"/>
  <c r="F38" i="12"/>
  <c r="O36" i="12"/>
  <c r="E36" i="12"/>
  <c r="E34" i="12"/>
  <c r="M30" i="12"/>
  <c r="E30" i="12"/>
  <c r="M26" i="12"/>
  <c r="E26" i="12"/>
  <c r="E22" i="12"/>
  <c r="M18" i="12"/>
  <c r="E18" i="12"/>
  <c r="E14" i="12"/>
  <c r="S12" i="12"/>
  <c r="E10" i="12"/>
  <c r="G187" i="13"/>
  <c r="D185" i="13"/>
  <c r="B185" i="13"/>
  <c r="F185" i="13"/>
  <c r="G183" i="13"/>
  <c r="D181" i="13"/>
  <c r="B181" i="13"/>
  <c r="F181" i="13"/>
  <c r="G179" i="13"/>
  <c r="C172" i="13"/>
  <c r="G172" i="13"/>
  <c r="B172" i="13"/>
  <c r="D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R16" i="12"/>
  <c r="D16" i="12"/>
  <c r="B12" i="12"/>
  <c r="F12" i="12"/>
  <c r="N12" i="12"/>
  <c r="R12" i="12"/>
  <c r="D12" i="12"/>
  <c r="B8" i="12"/>
  <c r="F8" i="12"/>
  <c r="D8" i="12"/>
  <c r="O35" i="12"/>
  <c r="G35" i="12"/>
  <c r="G31" i="12"/>
  <c r="S27" i="12"/>
  <c r="G27" i="12"/>
  <c r="G23" i="12"/>
  <c r="G19" i="12"/>
  <c r="O15" i="12"/>
  <c r="G15" i="12"/>
  <c r="G11" i="12"/>
  <c r="G7" i="12"/>
  <c r="G186" i="13"/>
  <c r="G182" i="13"/>
  <c r="G178" i="13"/>
  <c r="F177" i="13"/>
  <c r="B177" i="13"/>
  <c r="C173" i="13"/>
  <c r="B171" i="13"/>
  <c r="F171" i="13"/>
  <c r="G169" i="13"/>
  <c r="B169" i="13"/>
  <c r="E167" i="13"/>
  <c r="E161" i="13"/>
  <c r="C160" i="13"/>
  <c r="G160" i="13"/>
  <c r="C157" i="13"/>
  <c r="E156" i="13"/>
  <c r="B155" i="13"/>
  <c r="F155" i="13"/>
  <c r="G153" i="13"/>
  <c r="B153" i="13"/>
  <c r="E151" i="13"/>
  <c r="E145" i="13"/>
  <c r="C144" i="13"/>
  <c r="G144" i="13"/>
  <c r="C141" i="13"/>
  <c r="E140" i="13"/>
  <c r="B139" i="13"/>
  <c r="F139" i="13"/>
  <c r="G137" i="13"/>
  <c r="B137" i="13"/>
  <c r="E135" i="13"/>
  <c r="E129" i="13"/>
  <c r="C128" i="13"/>
  <c r="G128" i="13"/>
  <c r="C125" i="13"/>
  <c r="E124" i="13"/>
  <c r="B123" i="13"/>
  <c r="F123" i="13"/>
  <c r="G121" i="13"/>
  <c r="B121" i="13"/>
  <c r="E119" i="13"/>
  <c r="G115" i="13"/>
  <c r="G111" i="13"/>
  <c r="G107" i="13"/>
  <c r="G103" i="13"/>
  <c r="G99" i="13"/>
  <c r="G95" i="13"/>
  <c r="G91" i="13"/>
  <c r="G87" i="13"/>
  <c r="B82" i="13"/>
  <c r="F82" i="13"/>
  <c r="C82" i="13"/>
  <c r="E82" i="13"/>
  <c r="C79" i="13"/>
  <c r="G79" i="13"/>
  <c r="E79" i="13"/>
  <c r="B79" i="13"/>
  <c r="D68" i="13"/>
  <c r="E68" i="13"/>
  <c r="B68" i="13"/>
  <c r="G68" i="13"/>
  <c r="B175" i="13"/>
  <c r="F175" i="13"/>
  <c r="D167" i="13"/>
  <c r="C164" i="13"/>
  <c r="G164" i="13"/>
  <c r="C161" i="13"/>
  <c r="B159" i="13"/>
  <c r="F159" i="13"/>
  <c r="D156" i="13"/>
  <c r="D151" i="13"/>
  <c r="C148" i="13"/>
  <c r="G148" i="13"/>
  <c r="C145" i="13"/>
  <c r="B143" i="13"/>
  <c r="F143" i="13"/>
  <c r="D140" i="13"/>
  <c r="D135" i="13"/>
  <c r="C132" i="13"/>
  <c r="G132" i="13"/>
  <c r="C129" i="13"/>
  <c r="B127" i="13"/>
  <c r="F127" i="13"/>
  <c r="D124" i="13"/>
  <c r="D119" i="13"/>
  <c r="E115" i="13"/>
  <c r="E111" i="13"/>
  <c r="E107" i="13"/>
  <c r="E103" i="13"/>
  <c r="E99" i="13"/>
  <c r="E95" i="13"/>
  <c r="E91" i="13"/>
  <c r="E87" i="13"/>
  <c r="D84" i="13"/>
  <c r="E84" i="13"/>
  <c r="B84" i="13"/>
  <c r="G84" i="13"/>
  <c r="C71" i="13"/>
  <c r="G71" i="13"/>
  <c r="B71" i="13"/>
  <c r="E71" i="13"/>
  <c r="G66" i="13"/>
  <c r="E175" i="13"/>
  <c r="E169" i="13"/>
  <c r="C168" i="13"/>
  <c r="G168" i="13"/>
  <c r="E164" i="13"/>
  <c r="B163" i="13"/>
  <c r="F163" i="13"/>
  <c r="G161" i="13"/>
  <c r="B161" i="13"/>
  <c r="E159" i="13"/>
  <c r="E153" i="13"/>
  <c r="C152" i="13"/>
  <c r="G152" i="13"/>
  <c r="E148" i="13"/>
  <c r="B147" i="13"/>
  <c r="F147" i="13"/>
  <c r="G145" i="13"/>
  <c r="B145" i="13"/>
  <c r="E143" i="13"/>
  <c r="E137" i="13"/>
  <c r="C136" i="13"/>
  <c r="G136" i="13"/>
  <c r="E132" i="13"/>
  <c r="B131" i="13"/>
  <c r="F131" i="13"/>
  <c r="G129" i="13"/>
  <c r="B129" i="13"/>
  <c r="E127" i="13"/>
  <c r="E121" i="13"/>
  <c r="C120" i="13"/>
  <c r="G120" i="13"/>
  <c r="B117" i="13"/>
  <c r="F117" i="13"/>
  <c r="D117" i="13"/>
  <c r="B113" i="13"/>
  <c r="F113" i="13"/>
  <c r="D113" i="13"/>
  <c r="B109" i="13"/>
  <c r="F109" i="13"/>
  <c r="D109" i="13"/>
  <c r="B105" i="13"/>
  <c r="F105" i="13"/>
  <c r="D105" i="13"/>
  <c r="B101" i="13"/>
  <c r="F101" i="13"/>
  <c r="D101" i="13"/>
  <c r="B97" i="13"/>
  <c r="F97" i="13"/>
  <c r="D97" i="13"/>
  <c r="B93" i="13"/>
  <c r="F93" i="13"/>
  <c r="D93" i="13"/>
  <c r="B89" i="13"/>
  <c r="F89" i="13"/>
  <c r="D89" i="13"/>
  <c r="B85" i="13"/>
  <c r="F85" i="13"/>
  <c r="D85" i="13"/>
  <c r="D76" i="13"/>
  <c r="B76" i="13"/>
  <c r="G76" i="13"/>
  <c r="E76" i="13"/>
  <c r="B74" i="13"/>
  <c r="F74" i="13"/>
  <c r="E74" i="13"/>
  <c r="C74" i="13"/>
  <c r="C63" i="13"/>
  <c r="G63" i="13"/>
  <c r="D63" i="13"/>
  <c r="E63" i="13"/>
  <c r="B63" i="13"/>
  <c r="B167" i="13"/>
  <c r="F167" i="13"/>
  <c r="C156" i="13"/>
  <c r="G156" i="13"/>
  <c r="B151" i="13"/>
  <c r="F151" i="13"/>
  <c r="C140" i="13"/>
  <c r="G140" i="13"/>
  <c r="B135" i="13"/>
  <c r="F135" i="13"/>
  <c r="C124" i="13"/>
  <c r="G124" i="13"/>
  <c r="B119" i="13"/>
  <c r="F119" i="13"/>
  <c r="D115" i="13"/>
  <c r="B115" i="13"/>
  <c r="F115" i="13"/>
  <c r="D111" i="13"/>
  <c r="B111" i="13"/>
  <c r="F111" i="13"/>
  <c r="D107" i="13"/>
  <c r="B107" i="13"/>
  <c r="F107" i="13"/>
  <c r="D103" i="13"/>
  <c r="B103" i="13"/>
  <c r="F103" i="13"/>
  <c r="D99" i="13"/>
  <c r="B99" i="13"/>
  <c r="F99" i="13"/>
  <c r="D95" i="13"/>
  <c r="B95" i="13"/>
  <c r="F95" i="13"/>
  <c r="D91" i="13"/>
  <c r="B91" i="13"/>
  <c r="F91" i="13"/>
  <c r="D87" i="13"/>
  <c r="B87" i="13"/>
  <c r="F87" i="13"/>
  <c r="B66" i="13"/>
  <c r="F66" i="13"/>
  <c r="C66" i="13"/>
  <c r="E66" i="13"/>
  <c r="B58" i="13"/>
  <c r="F58" i="13"/>
  <c r="D58" i="13"/>
  <c r="E58" i="13"/>
  <c r="C58" i="13"/>
  <c r="G116" i="13"/>
  <c r="G112" i="13"/>
  <c r="G108" i="13"/>
  <c r="G104" i="13"/>
  <c r="G100" i="13"/>
  <c r="G96" i="13"/>
  <c r="G92" i="13"/>
  <c r="G88" i="13"/>
  <c r="C75" i="13"/>
  <c r="G75" i="13"/>
  <c r="C72" i="13"/>
  <c r="B70" i="13"/>
  <c r="F70" i="13"/>
  <c r="E60" i="13"/>
  <c r="C59" i="13"/>
  <c r="G59" i="13"/>
  <c r="C56" i="13"/>
  <c r="E55" i="13"/>
  <c r="B54" i="13"/>
  <c r="F54" i="13"/>
  <c r="G52" i="13"/>
  <c r="B52" i="13"/>
  <c r="E50" i="13"/>
  <c r="E44" i="13"/>
  <c r="C43" i="13"/>
  <c r="G43" i="13"/>
  <c r="C40" i="13"/>
  <c r="E39" i="13"/>
  <c r="B38" i="13"/>
  <c r="F38" i="13"/>
  <c r="G36" i="13"/>
  <c r="B36" i="13"/>
  <c r="E34" i="13"/>
  <c r="G30" i="13"/>
  <c r="G26" i="13"/>
  <c r="G22" i="13"/>
  <c r="G18" i="13"/>
  <c r="G14" i="13"/>
  <c r="G10" i="13"/>
  <c r="G6" i="13"/>
  <c r="B184" i="14"/>
  <c r="G184" i="14" s="1"/>
  <c r="F184" i="14"/>
  <c r="D184" i="14"/>
  <c r="C47" i="13"/>
  <c r="G47" i="13"/>
  <c r="B42" i="13"/>
  <c r="F42" i="13"/>
  <c r="B188" i="14"/>
  <c r="F188" i="14"/>
  <c r="D188" i="14"/>
  <c r="D178" i="14"/>
  <c r="B178" i="14"/>
  <c r="F178" i="14"/>
  <c r="D168" i="14"/>
  <c r="C168" i="14"/>
  <c r="E168" i="14"/>
  <c r="B168" i="14"/>
  <c r="C83" i="13"/>
  <c r="G83" i="13"/>
  <c r="B78" i="13"/>
  <c r="F78" i="13"/>
  <c r="C67" i="13"/>
  <c r="G67" i="13"/>
  <c r="B62" i="13"/>
  <c r="F62" i="13"/>
  <c r="G60" i="13"/>
  <c r="B60" i="13"/>
  <c r="E52" i="13"/>
  <c r="C51" i="13"/>
  <c r="G51" i="13"/>
  <c r="E47" i="13"/>
  <c r="B46" i="13"/>
  <c r="F46" i="13"/>
  <c r="G44" i="13"/>
  <c r="B44" i="13"/>
  <c r="E42" i="13"/>
  <c r="E36" i="13"/>
  <c r="C35" i="13"/>
  <c r="G35" i="13"/>
  <c r="D32" i="13"/>
  <c r="B32" i="13"/>
  <c r="F32" i="13"/>
  <c r="D28" i="13"/>
  <c r="B28" i="13"/>
  <c r="F28" i="13"/>
  <c r="D24" i="13"/>
  <c r="B24" i="13"/>
  <c r="F24" i="13"/>
  <c r="D20" i="13"/>
  <c r="B20" i="13"/>
  <c r="F20" i="13"/>
  <c r="D16" i="13"/>
  <c r="B16" i="13"/>
  <c r="F16" i="13"/>
  <c r="D12" i="13"/>
  <c r="B12" i="13"/>
  <c r="F12" i="13"/>
  <c r="D8" i="13"/>
  <c r="B8" i="13"/>
  <c r="F8" i="13"/>
  <c r="D182" i="14"/>
  <c r="B182" i="14"/>
  <c r="G182" i="14" s="1"/>
  <c r="F182" i="14"/>
  <c r="C174" i="14"/>
  <c r="D174" i="14"/>
  <c r="B174" i="14"/>
  <c r="G174" i="14" s="1"/>
  <c r="F174" i="14"/>
  <c r="C55" i="13"/>
  <c r="G55" i="13"/>
  <c r="C52" i="13"/>
  <c r="B50" i="13"/>
  <c r="F50" i="13"/>
  <c r="D47" i="13"/>
  <c r="D42" i="13"/>
  <c r="C39" i="13"/>
  <c r="G39" i="13"/>
  <c r="C36" i="13"/>
  <c r="B34" i="13"/>
  <c r="F34" i="13"/>
  <c r="B30" i="13"/>
  <c r="F30" i="13"/>
  <c r="D30" i="13"/>
  <c r="B26" i="13"/>
  <c r="F26" i="13"/>
  <c r="D26" i="13"/>
  <c r="B22" i="13"/>
  <c r="F22" i="13"/>
  <c r="D22" i="13"/>
  <c r="B18" i="13"/>
  <c r="F18" i="13"/>
  <c r="D18" i="13"/>
  <c r="B14" i="13"/>
  <c r="F14" i="13"/>
  <c r="D14" i="13"/>
  <c r="B10" i="13"/>
  <c r="F10" i="13"/>
  <c r="D10" i="13"/>
  <c r="B6" i="13"/>
  <c r="F6" i="13"/>
  <c r="D6" i="13"/>
  <c r="E188" i="14"/>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G3" i="21" s="1"/>
  <c r="F146" i="14"/>
  <c r="B144" i="14"/>
  <c r="D143" i="14"/>
  <c r="E142" i="14"/>
  <c r="B139" i="14"/>
  <c r="D138" i="14"/>
  <c r="E136" i="14"/>
  <c r="E130" i="14"/>
  <c r="B128" i="14"/>
  <c r="F128" i="14"/>
  <c r="D128" i="14"/>
  <c r="D122" i="14"/>
  <c r="B122" i="14"/>
  <c r="G122" i="14" s="1"/>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F150" i="14"/>
  <c r="D147" i="14"/>
  <c r="G143"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G94" i="14" s="1"/>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G22" i="14" s="1"/>
  <c r="F22" i="14"/>
  <c r="B54" i="14"/>
  <c r="F54" i="14"/>
  <c r="D42" i="14"/>
  <c r="B42" i="14"/>
  <c r="F42" i="14"/>
  <c r="E40" i="14"/>
  <c r="G37" i="14"/>
  <c r="B32" i="14"/>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B24" i="14"/>
  <c r="F24" i="14"/>
  <c r="D24" i="14"/>
  <c r="D20" i="14"/>
  <c r="F18" i="14"/>
  <c r="B18" i="14"/>
  <c r="G18" i="14" s="1"/>
  <c r="D16" i="14"/>
  <c r="F14" i="14"/>
  <c r="B14" i="14"/>
  <c r="G14" i="14" s="1"/>
  <c r="D12" i="14"/>
  <c r="F10" i="14"/>
  <c r="B10" i="14"/>
  <c r="D8" i="14"/>
  <c r="F20" i="14"/>
  <c r="D18" i="14"/>
  <c r="F16" i="14"/>
  <c r="D14" i="14"/>
  <c r="F12" i="14"/>
  <c r="D10" i="14"/>
  <c r="F8" i="14"/>
  <c r="J150" i="2" l="1"/>
  <c r="K150" i="2" s="1"/>
  <c r="B3" i="21"/>
  <c r="G48" i="2"/>
  <c r="O158" i="12"/>
  <c r="O154" i="12"/>
  <c r="O162" i="12"/>
  <c r="O33" i="12"/>
  <c r="P55" i="12"/>
  <c r="L142" i="5"/>
  <c r="O143" i="12"/>
  <c r="O53" i="12"/>
  <c r="E95" i="5"/>
  <c r="E138" i="5"/>
  <c r="L47" i="5"/>
  <c r="L164" i="5"/>
  <c r="E99" i="5"/>
  <c r="E142" i="5"/>
  <c r="M36" i="12"/>
  <c r="M51" i="12"/>
  <c r="M147" i="12"/>
  <c r="L95" i="5"/>
  <c r="E85" i="5"/>
  <c r="R52" i="12"/>
  <c r="M169" i="12"/>
  <c r="L32" i="5"/>
  <c r="S40" i="12"/>
  <c r="O150" i="12"/>
  <c r="L154" i="12"/>
  <c r="E159" i="5"/>
  <c r="E141" i="5"/>
  <c r="S39" i="12"/>
  <c r="L156" i="5"/>
  <c r="E107" i="5"/>
  <c r="L99" i="12"/>
  <c r="N149" i="12"/>
  <c r="L143" i="5"/>
  <c r="E53" i="5"/>
  <c r="E154" i="5"/>
  <c r="N88" i="2"/>
  <c r="O88" i="2" s="1"/>
  <c r="R35" i="12"/>
  <c r="M50" i="12"/>
  <c r="S31" i="12"/>
  <c r="M138" i="12"/>
  <c r="M175" i="12"/>
  <c r="F119" i="7"/>
  <c r="J120" i="2"/>
  <c r="K120" i="2" s="1"/>
  <c r="Q31" i="12"/>
  <c r="I100" i="7"/>
  <c r="J40" i="2"/>
  <c r="K40" i="2" s="1"/>
  <c r="E108" i="5"/>
  <c r="M96" i="12"/>
  <c r="Q37" i="12"/>
  <c r="N28" i="12"/>
  <c r="L141" i="5"/>
  <c r="M141" i="5" s="1"/>
  <c r="L117" i="12"/>
  <c r="O131" i="12"/>
  <c r="M121" i="12"/>
  <c r="L31" i="12"/>
  <c r="O174" i="12"/>
  <c r="E133" i="5"/>
  <c r="N47" i="12"/>
  <c r="L39" i="12"/>
  <c r="S46" i="12"/>
  <c r="M100" i="12"/>
  <c r="L153" i="12"/>
  <c r="O123" i="12"/>
  <c r="O97" i="12"/>
  <c r="N188" i="12"/>
  <c r="E158" i="5"/>
  <c r="M39" i="12"/>
  <c r="L55" i="5"/>
  <c r="O85" i="12"/>
  <c r="O115" i="12"/>
  <c r="N180" i="12"/>
  <c r="O144" i="12"/>
  <c r="L119" i="12"/>
  <c r="L31" i="5"/>
  <c r="M176" i="12"/>
  <c r="E48" i="5"/>
  <c r="F48" i="5" s="1"/>
  <c r="G48" i="5" s="1"/>
  <c r="E134" i="5"/>
  <c r="Q41" i="12"/>
  <c r="K21" i="7"/>
  <c r="O112" i="12"/>
  <c r="M180" i="7"/>
  <c r="E32" i="5"/>
  <c r="F32" i="5" s="1"/>
  <c r="G32" i="5" s="1"/>
  <c r="E52" i="5"/>
  <c r="M44" i="12"/>
  <c r="L37" i="5"/>
  <c r="O127" i="12"/>
  <c r="M115" i="12"/>
  <c r="O49" i="12"/>
  <c r="L47" i="12"/>
  <c r="O166" i="12"/>
  <c r="L174" i="12"/>
  <c r="L106" i="5"/>
  <c r="L134" i="5"/>
  <c r="M134" i="5" s="1"/>
  <c r="L39" i="5"/>
  <c r="L102" i="5"/>
  <c r="L110" i="5"/>
  <c r="L152" i="5"/>
  <c r="E150" i="5"/>
  <c r="L46" i="5"/>
  <c r="L126" i="5"/>
  <c r="Q35" i="12"/>
  <c r="Q43" i="12"/>
  <c r="M93" i="12"/>
  <c r="L105" i="12"/>
  <c r="L160" i="5"/>
  <c r="E35" i="5"/>
  <c r="F35" i="5" s="1"/>
  <c r="G35" i="5" s="1"/>
  <c r="E147" i="5"/>
  <c r="O141" i="12"/>
  <c r="O147" i="12"/>
  <c r="M180" i="12"/>
  <c r="O95" i="12"/>
  <c r="O52" i="12"/>
  <c r="J14" i="5"/>
  <c r="K41" i="3"/>
  <c r="E30" i="3"/>
  <c r="J26" i="5"/>
  <c r="P40" i="12"/>
  <c r="E60" i="3"/>
  <c r="K146" i="3"/>
  <c r="R90" i="12"/>
  <c r="O7" i="12"/>
  <c r="M80" i="5"/>
  <c r="P72" i="5"/>
  <c r="L96" i="12"/>
  <c r="N62" i="2"/>
  <c r="O62" i="2" s="1"/>
  <c r="P49" i="5"/>
  <c r="P130" i="5"/>
  <c r="R102" i="12"/>
  <c r="H65" i="3"/>
  <c r="H51" i="3"/>
  <c r="H167" i="3"/>
  <c r="K135" i="7"/>
  <c r="C119" i="7"/>
  <c r="P10" i="5"/>
  <c r="D54" i="7"/>
  <c r="M83" i="5"/>
  <c r="E36" i="3"/>
  <c r="M126" i="5"/>
  <c r="H171" i="3"/>
  <c r="P163" i="5"/>
  <c r="E155" i="7"/>
  <c r="R88" i="12"/>
  <c r="Q138" i="12"/>
  <c r="L89" i="12"/>
  <c r="L155" i="7"/>
  <c r="M54" i="7"/>
  <c r="O68" i="7"/>
  <c r="P105" i="12"/>
  <c r="O54" i="7"/>
  <c r="H155" i="7"/>
  <c r="F73" i="7"/>
  <c r="J55" i="2"/>
  <c r="K55" i="2" s="1"/>
  <c r="J67" i="2"/>
  <c r="K67" i="2" s="1"/>
  <c r="J60" i="2"/>
  <c r="K60" i="2" s="1"/>
  <c r="H54" i="7"/>
  <c r="K54" i="7"/>
  <c r="D155" i="7"/>
  <c r="H110" i="3"/>
  <c r="P119" i="5"/>
  <c r="B54" i="7"/>
  <c r="F158" i="7"/>
  <c r="C54" i="7"/>
  <c r="K158" i="7"/>
  <c r="P134" i="5"/>
  <c r="K64" i="3"/>
  <c r="D183" i="7"/>
  <c r="S35" i="12"/>
  <c r="L13" i="12"/>
  <c r="D158" i="7"/>
  <c r="G158" i="7"/>
  <c r="E117" i="3"/>
  <c r="H92" i="3"/>
  <c r="Q66" i="12"/>
  <c r="I158" i="7"/>
  <c r="J80" i="12"/>
  <c r="C158" i="7"/>
  <c r="J32" i="2"/>
  <c r="K32" i="2" s="1"/>
  <c r="M33" i="5"/>
  <c r="M49" i="5"/>
  <c r="N158" i="7"/>
  <c r="H39" i="3"/>
  <c r="O80" i="7"/>
  <c r="F183" i="7"/>
  <c r="P87" i="5"/>
  <c r="L80" i="7"/>
  <c r="H20" i="3"/>
  <c r="O146" i="7"/>
  <c r="E146" i="7"/>
  <c r="H59" i="3"/>
  <c r="E57" i="3"/>
  <c r="N54" i="7"/>
  <c r="F68" i="7"/>
  <c r="J54" i="7"/>
  <c r="K72" i="12"/>
  <c r="N184" i="2"/>
  <c r="O184" i="2" s="1"/>
  <c r="N50" i="2"/>
  <c r="O50" i="2" s="1"/>
  <c r="H24" i="3"/>
  <c r="F155" i="7"/>
  <c r="P22" i="5"/>
  <c r="Q169" i="12"/>
  <c r="I53" i="7"/>
  <c r="B33" i="7"/>
  <c r="H98" i="7"/>
  <c r="N69" i="7"/>
  <c r="K95" i="12"/>
  <c r="F25" i="7"/>
  <c r="L35" i="7"/>
  <c r="M90" i="7"/>
  <c r="H160" i="7"/>
  <c r="M88" i="5"/>
  <c r="E29" i="5"/>
  <c r="F29" i="5" s="1"/>
  <c r="G29" i="5" s="1"/>
  <c r="N33" i="2"/>
  <c r="O33" i="2" s="1"/>
  <c r="N94" i="2"/>
  <c r="O94" i="2" s="1"/>
  <c r="I98" i="7"/>
  <c r="E80" i="7"/>
  <c r="G117" i="7"/>
  <c r="M164" i="7"/>
  <c r="O13" i="7"/>
  <c r="N68" i="7"/>
  <c r="L183" i="7"/>
  <c r="I13" i="7"/>
  <c r="I13" i="12" s="1"/>
  <c r="K91" i="7"/>
  <c r="G96" i="14"/>
  <c r="N62" i="12"/>
  <c r="Q27" i="12"/>
  <c r="K98" i="7"/>
  <c r="I35" i="7"/>
  <c r="J53" i="7"/>
  <c r="D35" i="7"/>
  <c r="E90" i="3"/>
  <c r="K122" i="3"/>
  <c r="K156" i="3"/>
  <c r="L25" i="7"/>
  <c r="K25" i="12" s="1"/>
  <c r="K20" i="3"/>
  <c r="K88" i="7"/>
  <c r="F134" i="7"/>
  <c r="M158" i="7"/>
  <c r="O155" i="7"/>
  <c r="B183" i="7"/>
  <c r="I96" i="7"/>
  <c r="O88" i="7"/>
  <c r="H134" i="7"/>
  <c r="G35" i="7"/>
  <c r="E28" i="3"/>
  <c r="D33" i="7"/>
  <c r="L104" i="12"/>
  <c r="R24" i="12"/>
  <c r="N156" i="12"/>
  <c r="L135" i="12"/>
  <c r="I90" i="7"/>
  <c r="C98" i="7"/>
  <c r="H13" i="7"/>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N104" i="2"/>
  <c r="O104" i="2" s="1"/>
  <c r="N13" i="7"/>
  <c r="O134" i="7"/>
  <c r="H77" i="3"/>
  <c r="F46" i="2"/>
  <c r="J180" i="2"/>
  <c r="K180" i="2" s="1"/>
  <c r="M13" i="7"/>
  <c r="M51" i="7"/>
  <c r="D24" i="7"/>
  <c r="E73" i="7"/>
  <c r="N88" i="7"/>
  <c r="C183" i="7"/>
  <c r="E155" i="3"/>
  <c r="E35" i="7"/>
  <c r="K155" i="7"/>
  <c r="D61" i="7"/>
  <c r="R26" i="12"/>
  <c r="J13" i="7"/>
  <c r="H51" i="7"/>
  <c r="K50" i="3"/>
  <c r="K78" i="3"/>
  <c r="N145" i="2"/>
  <c r="O145" i="2" s="1"/>
  <c r="J51" i="7"/>
  <c r="K24" i="7"/>
  <c r="F91" i="7"/>
  <c r="N96" i="7"/>
  <c r="G88" i="7"/>
  <c r="I88" i="7"/>
  <c r="F88" i="7"/>
  <c r="G183" i="7"/>
  <c r="J52" i="7"/>
  <c r="M25" i="7"/>
  <c r="J158" i="7"/>
  <c r="C73" i="7"/>
  <c r="B158" i="7"/>
  <c r="G162" i="14"/>
  <c r="G26" i="14"/>
  <c r="M146" i="12"/>
  <c r="M106" i="5"/>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S83" i="12"/>
  <c r="B13" i="7"/>
  <c r="I25" i="7"/>
  <c r="I51" i="7"/>
  <c r="E90" i="7"/>
  <c r="C134" i="7"/>
  <c r="K90" i="7"/>
  <c r="M53" i="7"/>
  <c r="E98" i="7"/>
  <c r="K158" i="3"/>
  <c r="L6" i="3"/>
  <c r="C53" i="7"/>
  <c r="E96" i="7"/>
  <c r="F96" i="7"/>
  <c r="L88" i="7"/>
  <c r="D134" i="7"/>
  <c r="I155" i="7"/>
  <c r="O183" i="7"/>
  <c r="K147" i="3"/>
  <c r="M35" i="7"/>
  <c r="H25" i="7"/>
  <c r="I91" i="7"/>
  <c r="B90" i="7"/>
  <c r="N190" i="2"/>
  <c r="O190" i="2" s="1"/>
  <c r="R47" i="12"/>
  <c r="O103" i="12"/>
  <c r="L101" i="12"/>
  <c r="I117" i="7"/>
  <c r="O25" i="7"/>
  <c r="E53" i="7"/>
  <c r="J90" i="7"/>
  <c r="G90" i="7"/>
  <c r="N25" i="7"/>
  <c r="J98" i="7"/>
  <c r="J157" i="5"/>
  <c r="K95" i="3"/>
  <c r="I6" i="3"/>
  <c r="N113" i="2"/>
  <c r="O113" i="2" s="1"/>
  <c r="K96" i="7"/>
  <c r="J96" i="12" s="1"/>
  <c r="B96" i="7"/>
  <c r="H88" i="7"/>
  <c r="M88" i="7"/>
  <c r="I134" i="7"/>
  <c r="N155" i="7"/>
  <c r="G25" i="7"/>
  <c r="M183" i="7"/>
  <c r="F52" i="2"/>
  <c r="P146" i="12"/>
  <c r="P172" i="12"/>
  <c r="R154" i="12"/>
  <c r="P124" i="12"/>
  <c r="N154" i="12"/>
  <c r="P30" i="12"/>
  <c r="S69" i="12"/>
  <c r="P159" i="5"/>
  <c r="O172" i="12"/>
  <c r="B233" i="2"/>
  <c r="L10" i="7"/>
  <c r="M56" i="5"/>
  <c r="L32" i="12"/>
  <c r="S137" i="12"/>
  <c r="L110" i="12"/>
  <c r="O104" i="12"/>
  <c r="P102" i="12"/>
  <c r="S116" i="12"/>
  <c r="L98" i="12"/>
  <c r="N137" i="12"/>
  <c r="S155" i="12"/>
  <c r="H48" i="3"/>
  <c r="L109" i="12"/>
  <c r="O107" i="12"/>
  <c r="S150" i="12"/>
  <c r="Q124" i="12"/>
  <c r="S162" i="12"/>
  <c r="R145" i="12"/>
  <c r="L108" i="5"/>
  <c r="O105" i="12"/>
  <c r="R100" i="12"/>
  <c r="L107" i="12"/>
  <c r="O153" i="12"/>
  <c r="P157" i="12"/>
  <c r="P123" i="12"/>
  <c r="L100" i="5"/>
  <c r="R131" i="12"/>
  <c r="O121" i="12"/>
  <c r="R148" i="12"/>
  <c r="M173" i="12"/>
  <c r="O151" i="12"/>
  <c r="N160" i="12"/>
  <c r="E117" i="5"/>
  <c r="O135" i="12"/>
  <c r="M122" i="12"/>
  <c r="Q112" i="12"/>
  <c r="O109" i="12"/>
  <c r="L121" i="12"/>
  <c r="S124" i="12"/>
  <c r="L124" i="5"/>
  <c r="M124" i="5" s="1"/>
  <c r="L146" i="5"/>
  <c r="R170" i="12"/>
  <c r="E128" i="5"/>
  <c r="O117" i="12"/>
  <c r="L116" i="5"/>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Q113" i="12"/>
  <c r="L113" i="5"/>
  <c r="M113" i="5" s="1"/>
  <c r="P145" i="12"/>
  <c r="L145" i="5"/>
  <c r="M145" i="5" s="1"/>
  <c r="N120" i="12"/>
  <c r="P139" i="12"/>
  <c r="R165" i="12"/>
  <c r="Q117" i="12"/>
  <c r="S114" i="12"/>
  <c r="L151" i="12"/>
  <c r="E119" i="5"/>
  <c r="S123" i="12"/>
  <c r="P155" i="12"/>
  <c r="L128" i="5"/>
  <c r="L137" i="12"/>
  <c r="S140" i="12"/>
  <c r="L140" i="5"/>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32" i="2"/>
  <c r="K10" i="3"/>
  <c r="N182" i="12"/>
  <c r="M177" i="12"/>
  <c r="N174" i="12"/>
  <c r="N178" i="12"/>
  <c r="N185" i="12"/>
  <c r="N177" i="12"/>
  <c r="E29" i="3"/>
  <c r="N96" i="2"/>
  <c r="O96" i="2" s="1"/>
  <c r="G163" i="2"/>
  <c r="L146" i="7"/>
  <c r="F193" i="2"/>
  <c r="P165" i="5"/>
  <c r="P13" i="5"/>
  <c r="P37" i="5"/>
  <c r="P73" i="5"/>
  <c r="P71" i="12"/>
  <c r="S89" i="12"/>
  <c r="M97" i="5"/>
  <c r="S115" i="12"/>
  <c r="O132" i="12"/>
  <c r="L51" i="12"/>
  <c r="M20" i="12"/>
  <c r="L15" i="7"/>
  <c r="D117" i="7"/>
  <c r="C51" i="7"/>
  <c r="D91" i="7"/>
  <c r="J127" i="7"/>
  <c r="E15" i="7"/>
  <c r="L127" i="7"/>
  <c r="D51" i="7"/>
  <c r="C62" i="7"/>
  <c r="B188" i="7"/>
  <c r="H170" i="7"/>
  <c r="J49" i="2"/>
  <c r="K49" i="2" s="1"/>
  <c r="F89" i="2"/>
  <c r="N105" i="2"/>
  <c r="O105" i="2" s="1"/>
  <c r="P108" i="5"/>
  <c r="I15" i="7"/>
  <c r="O8" i="7"/>
  <c r="F51" i="7"/>
  <c r="D16" i="7"/>
  <c r="O24" i="7"/>
  <c r="N91" i="7"/>
  <c r="E60" i="7"/>
  <c r="C84" i="7"/>
  <c r="I118" i="7"/>
  <c r="I170" i="7"/>
  <c r="P36" i="5"/>
  <c r="M16" i="7"/>
  <c r="E52" i="7"/>
  <c r="M38" i="7"/>
  <c r="F38" i="7"/>
  <c r="H65" i="7"/>
  <c r="H65" i="12" s="1"/>
  <c r="C65" i="7"/>
  <c r="I33" i="7"/>
  <c r="C8" i="7"/>
  <c r="N181" i="7"/>
  <c r="J69" i="7"/>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R123" i="12"/>
  <c r="S128" i="12"/>
  <c r="P159" i="12"/>
  <c r="K117" i="7"/>
  <c r="F69" i="7"/>
  <c r="J86" i="5"/>
  <c r="K13" i="3"/>
  <c r="H74" i="3"/>
  <c r="K170" i="7"/>
  <c r="G61" i="2"/>
  <c r="C24" i="7"/>
  <c r="J43" i="7"/>
  <c r="B91" i="7"/>
  <c r="G187" i="2"/>
  <c r="G123" i="14"/>
  <c r="E38" i="7"/>
  <c r="D52" i="7"/>
  <c r="I60" i="7"/>
  <c r="F62" i="7"/>
  <c r="J118" i="7"/>
  <c r="L52" i="7"/>
  <c r="H86" i="7"/>
  <c r="J169" i="7"/>
  <c r="G33" i="7"/>
  <c r="C4" i="21" s="1"/>
  <c r="F127" i="7"/>
  <c r="E117" i="7"/>
  <c r="S34" i="12"/>
  <c r="S152" i="12"/>
  <c r="O118" i="7"/>
  <c r="B69" i="7"/>
  <c r="H181" i="12"/>
  <c r="K78" i="7"/>
  <c r="J78" i="12" s="1"/>
  <c r="H31" i="3"/>
  <c r="E74" i="3"/>
  <c r="G170" i="7"/>
  <c r="E25" i="3"/>
  <c r="F121" i="2"/>
  <c r="G167" i="14"/>
  <c r="P66" i="5"/>
  <c r="G52" i="7"/>
  <c r="K11" i="7"/>
  <c r="N60" i="7"/>
  <c r="K60" i="7"/>
  <c r="J60" i="12" s="1"/>
  <c r="N123" i="7"/>
  <c r="K129" i="3"/>
  <c r="N38" i="7"/>
  <c r="C52" i="7"/>
  <c r="C60" i="7"/>
  <c r="E62" i="7"/>
  <c r="E86" i="7"/>
  <c r="F167" i="7"/>
  <c r="I188" i="7"/>
  <c r="N136" i="2"/>
  <c r="O136" i="2" s="1"/>
  <c r="F86" i="7"/>
  <c r="M170" i="7"/>
  <c r="M52" i="7"/>
  <c r="K127" i="7"/>
  <c r="E33" i="7"/>
  <c r="L33" i="7"/>
  <c r="Q97" i="12"/>
  <c r="R69" i="12"/>
  <c r="R128" i="12"/>
  <c r="R152" i="12"/>
  <c r="R25" i="12"/>
  <c r="K15" i="7"/>
  <c r="O38" i="7"/>
  <c r="K118" i="7"/>
  <c r="H117" i="7"/>
  <c r="G188" i="7"/>
  <c r="C170" i="7"/>
  <c r="E27" i="3"/>
  <c r="K164" i="3"/>
  <c r="N85" i="2"/>
  <c r="O85" i="2" s="1"/>
  <c r="F106" i="2"/>
  <c r="P84" i="5"/>
  <c r="K52" i="7"/>
  <c r="J52" i="12" s="1"/>
  <c r="C11" i="7"/>
  <c r="G60" i="7"/>
  <c r="N24" i="7"/>
  <c r="J60" i="7"/>
  <c r="D129" i="7"/>
  <c r="K56" i="3"/>
  <c r="E170" i="3"/>
  <c r="M67" i="5"/>
  <c r="I38" i="7"/>
  <c r="L65" i="7"/>
  <c r="K65" i="12" s="1"/>
  <c r="O164" i="7"/>
  <c r="H38" i="7"/>
  <c r="J86" i="7"/>
  <c r="I169" i="7"/>
  <c r="C188" i="7"/>
  <c r="J68" i="2"/>
  <c r="K68" i="2" s="1"/>
  <c r="J177" i="2"/>
  <c r="K177" i="2" s="1"/>
  <c r="K65" i="7"/>
  <c r="M86" i="7"/>
  <c r="E170" i="7"/>
  <c r="F181" i="7"/>
  <c r="N39" i="12"/>
  <c r="M124" i="12"/>
  <c r="Q122" i="12"/>
  <c r="R34" i="12"/>
  <c r="N98" i="12"/>
  <c r="R75" i="12"/>
  <c r="M75" i="12"/>
  <c r="R116" i="12"/>
  <c r="M166" i="12"/>
  <c r="R72" i="12"/>
  <c r="M151" i="5"/>
  <c r="M89" i="12"/>
  <c r="C127" i="7"/>
  <c r="K38" i="7"/>
  <c r="D62" i="7"/>
  <c r="G118" i="7"/>
  <c r="H69" i="7"/>
  <c r="H69" i="12" s="1"/>
  <c r="M117" i="7"/>
  <c r="O188" i="7"/>
  <c r="J110" i="5"/>
  <c r="L188" i="7"/>
  <c r="L178" i="7"/>
  <c r="N102" i="2"/>
  <c r="O102" i="2" s="1"/>
  <c r="O52" i="7"/>
  <c r="O11" i="7"/>
  <c r="O60" i="7"/>
  <c r="J24" i="7"/>
  <c r="F60" i="7"/>
  <c r="I24" i="7"/>
  <c r="I129" i="7"/>
  <c r="P99" i="5"/>
  <c r="D38" i="7"/>
  <c r="E65" i="7"/>
  <c r="L181" i="7"/>
  <c r="K181" i="12" s="1"/>
  <c r="N175" i="2"/>
  <c r="O175" i="2" s="1"/>
  <c r="B86" i="7"/>
  <c r="M181" i="7"/>
  <c r="E178" i="3"/>
  <c r="M65" i="7"/>
  <c r="D15" i="7"/>
  <c r="R98" i="12"/>
  <c r="I127" i="7"/>
  <c r="G38" i="7"/>
  <c r="I62" i="7"/>
  <c r="E69" i="7"/>
  <c r="C118" i="7"/>
  <c r="J63" i="12"/>
  <c r="N117" i="7"/>
  <c r="M69" i="7"/>
  <c r="K77" i="3"/>
  <c r="H188" i="7"/>
  <c r="H189" i="12" s="1"/>
  <c r="N170" i="7"/>
  <c r="K188" i="7"/>
  <c r="F61" i="2"/>
  <c r="N169" i="2"/>
  <c r="O169" i="2" s="1"/>
  <c r="G157" i="14"/>
  <c r="F24" i="7"/>
  <c r="E181" i="7"/>
  <c r="M8" i="7"/>
  <c r="D65" i="7"/>
  <c r="E129" i="7"/>
  <c r="O51" i="7"/>
  <c r="D181" i="7"/>
  <c r="H33" i="7"/>
  <c r="D86" i="7"/>
  <c r="O117" i="7"/>
  <c r="D127" i="7"/>
  <c r="R126" i="12"/>
  <c r="R106" i="12"/>
  <c r="N15" i="7"/>
  <c r="D69" i="7"/>
  <c r="N127" i="7"/>
  <c r="N33" i="7"/>
  <c r="C38" i="7"/>
  <c r="N62" i="7"/>
  <c r="K69" i="7"/>
  <c r="J69" i="12" s="1"/>
  <c r="G181" i="7"/>
  <c r="J117" i="7"/>
  <c r="G15" i="7"/>
  <c r="H95" i="3"/>
  <c r="D188" i="7"/>
  <c r="J170" i="7"/>
  <c r="E161" i="3"/>
  <c r="J113" i="2"/>
  <c r="K113" i="2" s="1"/>
  <c r="N176" i="2"/>
  <c r="O176" i="2" s="1"/>
  <c r="J75" i="2"/>
  <c r="K75" i="2" s="1"/>
  <c r="J123" i="2"/>
  <c r="K123" i="2" s="1"/>
  <c r="N130" i="2"/>
  <c r="O130" i="2" s="1"/>
  <c r="E233" i="2"/>
  <c r="O65" i="7"/>
  <c r="M11" i="7"/>
  <c r="B24" i="7"/>
  <c r="L60" i="7"/>
  <c r="K60" i="12" s="1"/>
  <c r="J99" i="7"/>
  <c r="J181" i="7"/>
  <c r="P143" i="5"/>
  <c r="I86" i="7"/>
  <c r="E51" i="7"/>
  <c r="H64" i="3"/>
  <c r="K28" i="3"/>
  <c r="I181" i="7"/>
  <c r="I180" i="12" s="1"/>
  <c r="M33" i="7"/>
  <c r="K129" i="7"/>
  <c r="E91" i="7"/>
  <c r="K33" i="7"/>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H60" i="12" s="1"/>
  <c r="K51" i="7"/>
  <c r="J51" i="12" s="1"/>
  <c r="B99" i="7"/>
  <c r="M143" i="5"/>
  <c r="N86" i="7"/>
  <c r="G51" i="7"/>
  <c r="B181" i="7"/>
  <c r="L38" i="7"/>
  <c r="G31" i="14"/>
  <c r="O91" i="7"/>
  <c r="M75" i="5"/>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M96" i="7"/>
  <c r="E183" i="3"/>
  <c r="O96" i="7"/>
  <c r="J95" i="12"/>
  <c r="R125" i="12"/>
  <c r="H68" i="3"/>
  <c r="G122" i="2"/>
  <c r="H100" i="7"/>
  <c r="F98" i="7"/>
  <c r="E132" i="7"/>
  <c r="B136" i="7"/>
  <c r="K132" i="7"/>
  <c r="L144" i="7"/>
  <c r="E13" i="7"/>
  <c r="N136" i="7"/>
  <c r="N92" i="2"/>
  <c r="O92" i="2" s="1"/>
  <c r="J100" i="7"/>
  <c r="M188" i="7"/>
  <c r="P69" i="5"/>
  <c r="L96" i="7"/>
  <c r="K96" i="12" s="1"/>
  <c r="K100" i="7"/>
  <c r="D100" i="7"/>
  <c r="K171" i="3"/>
  <c r="L90" i="7"/>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G78" i="7"/>
  <c r="F89" i="7"/>
  <c r="H178" i="7"/>
  <c r="G137" i="2"/>
  <c r="F134" i="2"/>
  <c r="O16" i="7"/>
  <c r="E43" i="7"/>
  <c r="K55" i="7"/>
  <c r="E16" i="7"/>
  <c r="C121" i="7"/>
  <c r="C89" i="7"/>
  <c r="E89" i="7"/>
  <c r="F123" i="7"/>
  <c r="M77" i="5"/>
  <c r="H43" i="7"/>
  <c r="G87" i="7"/>
  <c r="D123" i="7"/>
  <c r="C78" i="7"/>
  <c r="B89" i="7"/>
  <c r="N121" i="7"/>
  <c r="D178" i="7"/>
  <c r="K16" i="7"/>
  <c r="J16" i="12" s="1"/>
  <c r="M43" i="7"/>
  <c r="F78" i="7"/>
  <c r="H121" i="7"/>
  <c r="K87" i="7"/>
  <c r="M178" i="7"/>
  <c r="M121" i="7"/>
  <c r="L89" i="7"/>
  <c r="O123" i="7"/>
  <c r="S131" i="12"/>
  <c r="Q93" i="12"/>
  <c r="N122" i="12"/>
  <c r="D43" i="7"/>
  <c r="M87" i="7"/>
  <c r="I126" i="7"/>
  <c r="N133" i="7"/>
  <c r="J121" i="7"/>
  <c r="O178" i="7"/>
  <c r="E133" i="3"/>
  <c r="K148" i="3"/>
  <c r="J122" i="2"/>
  <c r="K122" i="2" s="1"/>
  <c r="G16" i="7"/>
  <c r="G43" i="7"/>
  <c r="M78" i="7"/>
  <c r="G123" i="7"/>
  <c r="I87" i="7"/>
  <c r="I178" i="7"/>
  <c r="I178" i="12" s="1"/>
  <c r="I43" i="7"/>
  <c r="E123" i="7"/>
  <c r="P97" i="5"/>
  <c r="N66" i="2"/>
  <c r="O66" i="2" s="1"/>
  <c r="C16" i="7"/>
  <c r="B43" i="7"/>
  <c r="B78" i="7"/>
  <c r="M123" i="7"/>
  <c r="N87" i="7"/>
  <c r="E178" i="7"/>
  <c r="F43" i="7"/>
  <c r="M89" i="7"/>
  <c r="B123" i="7"/>
  <c r="H89" i="7"/>
  <c r="G66" i="14"/>
  <c r="R28" i="12"/>
  <c r="L56" i="12"/>
  <c r="L123" i="12"/>
  <c r="H55" i="7"/>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E78" i="7"/>
  <c r="G191" i="2"/>
  <c r="G133" i="7"/>
  <c r="K123" i="7"/>
  <c r="J123" i="12" s="1"/>
  <c r="L55" i="7"/>
  <c r="N20" i="12"/>
  <c r="P168" i="12"/>
  <c r="Q143" i="12"/>
  <c r="I78" i="7"/>
  <c r="I78" i="12" s="1"/>
  <c r="E133" i="7"/>
  <c r="J55" i="7"/>
  <c r="E87" i="7"/>
  <c r="J128" i="5"/>
  <c r="N178" i="7"/>
  <c r="F16" i="7"/>
  <c r="N55" i="7"/>
  <c r="N170" i="12"/>
  <c r="L168" i="12"/>
  <c r="Q107" i="12"/>
  <c r="N78" i="7"/>
  <c r="D121" i="7"/>
  <c r="K133" i="7"/>
  <c r="O55" i="7"/>
  <c r="J87" i="7"/>
  <c r="H133" i="7"/>
  <c r="J140" i="5"/>
  <c r="J178" i="7"/>
  <c r="F81" i="2"/>
  <c r="B16" i="7"/>
  <c r="C55" i="7"/>
  <c r="K121" i="7"/>
  <c r="S113" i="12"/>
  <c r="R124" i="12"/>
  <c r="L87" i="7"/>
  <c r="I121" i="7"/>
  <c r="O87" i="7"/>
  <c r="M133" i="7"/>
  <c r="F178" i="7"/>
  <c r="J174" i="2"/>
  <c r="K174" i="2" s="1"/>
  <c r="L16" i="7"/>
  <c r="K16" i="12" s="1"/>
  <c r="I55" i="7"/>
  <c r="C123" i="7"/>
  <c r="L133" i="7"/>
  <c r="K133" i="12" s="1"/>
  <c r="M186" i="7"/>
  <c r="N124" i="12"/>
  <c r="H87" i="7"/>
  <c r="G55" i="7"/>
  <c r="O121" i="7"/>
  <c r="O78" i="7"/>
  <c r="N89" i="7"/>
  <c r="G81" i="2"/>
  <c r="F137" i="2"/>
  <c r="G134" i="2"/>
  <c r="B55" i="7"/>
  <c r="O43" i="7"/>
  <c r="N43" i="7"/>
  <c r="I123" i="7"/>
  <c r="G21" i="7"/>
  <c r="S11" i="12"/>
  <c r="F123" i="5"/>
  <c r="G123" i="5" s="1"/>
  <c r="O168" i="12"/>
  <c r="N90" i="12"/>
  <c r="M134" i="12"/>
  <c r="L116" i="12"/>
  <c r="E97" i="5"/>
  <c r="N98" i="7"/>
  <c r="M49" i="7"/>
  <c r="D163" i="7"/>
  <c r="H97" i="7"/>
  <c r="H97" i="12" s="1"/>
  <c r="J180" i="12"/>
  <c r="L97" i="7"/>
  <c r="K97" i="12" s="1"/>
  <c r="N106" i="12"/>
  <c r="H121" i="3"/>
  <c r="H49" i="7"/>
  <c r="G49" i="7"/>
  <c r="O163" i="7"/>
  <c r="O175" i="7"/>
  <c r="P81" i="5"/>
  <c r="G116" i="7"/>
  <c r="P107" i="12"/>
  <c r="L111" i="12"/>
  <c r="O97" i="7"/>
  <c r="C49" i="7"/>
  <c r="K163" i="7"/>
  <c r="E182" i="7"/>
  <c r="L109" i="7"/>
  <c r="J175" i="7"/>
  <c r="F111" i="7"/>
  <c r="P80" i="5"/>
  <c r="G37" i="7"/>
  <c r="I97" i="7"/>
  <c r="D177" i="7"/>
  <c r="G163" i="7"/>
  <c r="I182" i="7"/>
  <c r="I182" i="12" s="1"/>
  <c r="E175" i="7"/>
  <c r="K97" i="7"/>
  <c r="J97" i="12" s="1"/>
  <c r="G175" i="7"/>
  <c r="I116" i="7"/>
  <c r="D175" i="7"/>
  <c r="E116" i="7"/>
  <c r="N116" i="7"/>
  <c r="P154" i="12"/>
  <c r="B177" i="7"/>
  <c r="N177" i="7"/>
  <c r="G100" i="2"/>
  <c r="H116" i="7"/>
  <c r="J140" i="2"/>
  <c r="K140" i="2" s="1"/>
  <c r="I109" i="7"/>
  <c r="J177" i="7"/>
  <c r="E118" i="7"/>
  <c r="B118" i="7"/>
  <c r="G69" i="2"/>
  <c r="H177" i="7"/>
  <c r="L116" i="7"/>
  <c r="G57" i="7"/>
  <c r="C177" i="7"/>
  <c r="M118" i="7"/>
  <c r="J73" i="2"/>
  <c r="K73" i="2" s="1"/>
  <c r="M177" i="7"/>
  <c r="E151" i="3"/>
  <c r="K49" i="7"/>
  <c r="M57" i="7"/>
  <c r="L37" i="7"/>
  <c r="K37" i="12" s="1"/>
  <c r="F175" i="7"/>
  <c r="F154" i="7"/>
  <c r="F116" i="7"/>
  <c r="M171" i="12"/>
  <c r="M39" i="5"/>
  <c r="L57" i="7"/>
  <c r="K57" i="12" s="1"/>
  <c r="E163" i="7"/>
  <c r="I37" i="7"/>
  <c r="G109" i="7"/>
  <c r="L118" i="7"/>
  <c r="K118" i="12" s="1"/>
  <c r="M175" i="7"/>
  <c r="F177" i="7"/>
  <c r="S167" i="12"/>
  <c r="J162" i="5"/>
  <c r="N49" i="2"/>
  <c r="O49" i="2" s="1"/>
  <c r="P104" i="5"/>
  <c r="E57" i="7"/>
  <c r="O49" i="7"/>
  <c r="H175" i="7"/>
  <c r="M163" i="7"/>
  <c r="D37" i="7"/>
  <c r="I163" i="7"/>
  <c r="O109" i="7"/>
  <c r="K175" i="7"/>
  <c r="B175" i="7"/>
  <c r="C97" i="7"/>
  <c r="L20" i="12"/>
  <c r="J31" i="5"/>
  <c r="F69" i="2"/>
  <c r="K57" i="7"/>
  <c r="J57" i="12" s="1"/>
  <c r="I49" i="7"/>
  <c r="L175" i="7"/>
  <c r="F163" i="7"/>
  <c r="L163" i="7"/>
  <c r="K163" i="12" s="1"/>
  <c r="C37" i="7"/>
  <c r="L177" i="7"/>
  <c r="E97" i="7"/>
  <c r="D13" i="28"/>
  <c r="D12" i="28"/>
  <c r="G153" i="2"/>
  <c r="E158" i="3"/>
  <c r="F179" i="2"/>
  <c r="K53" i="3"/>
  <c r="E142" i="3"/>
  <c r="F153" i="2"/>
  <c r="S85" i="12"/>
  <c r="J153" i="2"/>
  <c r="K153" i="2" s="1"/>
  <c r="P155" i="5"/>
  <c r="B10" i="28"/>
  <c r="J171" i="2"/>
  <c r="K171" i="2" s="1"/>
  <c r="D10" i="28"/>
  <c r="E234" i="2"/>
  <c r="D11" i="28"/>
  <c r="I171" i="12"/>
  <c r="P151" i="5"/>
  <c r="G74" i="2"/>
  <c r="N75" i="12"/>
  <c r="M158" i="12"/>
  <c r="J66" i="5"/>
  <c r="K170" i="3"/>
  <c r="K172" i="3"/>
  <c r="B82" i="7"/>
  <c r="C179" i="7"/>
  <c r="B10" i="7"/>
  <c r="N26" i="7"/>
  <c r="E10" i="7"/>
  <c r="J58" i="12"/>
  <c r="L90" i="12"/>
  <c r="S141" i="12"/>
  <c r="O161" i="7"/>
  <c r="K26" i="7"/>
  <c r="J26" i="12" s="1"/>
  <c r="I179" i="12"/>
  <c r="H131" i="7"/>
  <c r="J74" i="2"/>
  <c r="K74" i="2" s="1"/>
  <c r="P68" i="5"/>
  <c r="N70" i="7"/>
  <c r="N179" i="7"/>
  <c r="E131" i="7"/>
  <c r="F161" i="7"/>
  <c r="F131" i="7"/>
  <c r="H10" i="7"/>
  <c r="H161" i="7"/>
  <c r="H161" i="12" s="1"/>
  <c r="J10" i="7"/>
  <c r="Q149" i="12"/>
  <c r="G26" i="7"/>
  <c r="M118" i="5"/>
  <c r="D131" i="7"/>
  <c r="I70" i="7"/>
  <c r="I70" i="12" s="1"/>
  <c r="E161" i="7"/>
  <c r="J179" i="7"/>
  <c r="H44" i="3"/>
  <c r="K131" i="7"/>
  <c r="M161" i="7"/>
  <c r="M131" i="7"/>
  <c r="M10" i="7"/>
  <c r="C161" i="7"/>
  <c r="O131" i="7"/>
  <c r="K116" i="7"/>
  <c r="C26" i="7"/>
  <c r="G18" i="2"/>
  <c r="J83" i="2"/>
  <c r="K83" i="2" s="1"/>
  <c r="D70" i="7"/>
  <c r="J161" i="7"/>
  <c r="F179" i="7"/>
  <c r="I26" i="7"/>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I131" i="7"/>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I165" i="12" s="1"/>
  <c r="D179" i="7"/>
  <c r="F32" i="2"/>
  <c r="F165" i="7"/>
  <c r="L165" i="7"/>
  <c r="K165" i="12" s="1"/>
  <c r="O116" i="7"/>
  <c r="L130" i="12"/>
  <c r="R141" i="12"/>
  <c r="M150" i="12"/>
  <c r="K70" i="7"/>
  <c r="J70" i="12" s="1"/>
  <c r="K83" i="12"/>
  <c r="K79" i="3"/>
  <c r="E188" i="3"/>
  <c r="I82" i="7"/>
  <c r="I82" i="12" s="1"/>
  <c r="O179" i="7"/>
  <c r="D10" i="7"/>
  <c r="H70" i="7"/>
  <c r="H70" i="12" s="1"/>
  <c r="M34" i="12"/>
  <c r="G70" i="7"/>
  <c r="H83" i="12"/>
  <c r="H164" i="12"/>
  <c r="F18" i="2"/>
  <c r="F98" i="2"/>
  <c r="N82" i="7"/>
  <c r="M150" i="7"/>
  <c r="I10" i="7"/>
  <c r="B116" i="7"/>
  <c r="L70" i="7"/>
  <c r="K70" i="12" s="1"/>
  <c r="G19" i="14"/>
  <c r="H22" i="12"/>
  <c r="H135" i="3"/>
  <c r="H52" i="3"/>
  <c r="J116" i="7"/>
  <c r="M160" i="5"/>
  <c r="K40" i="3"/>
  <c r="H131" i="3"/>
  <c r="H96" i="3"/>
  <c r="K119" i="3"/>
  <c r="P79" i="5"/>
  <c r="P123" i="5"/>
  <c r="K32" i="3"/>
  <c r="H112" i="3"/>
  <c r="L64" i="12"/>
  <c r="D47" i="7"/>
  <c r="N73" i="2"/>
  <c r="O73" i="2" s="1"/>
  <c r="G152" i="2"/>
  <c r="O156" i="7"/>
  <c r="D187" i="7"/>
  <c r="J187" i="7"/>
  <c r="I47" i="7"/>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M95" i="5"/>
  <c r="E185" i="3"/>
  <c r="J48" i="7"/>
  <c r="E76" i="7"/>
  <c r="G172" i="7"/>
  <c r="L130" i="7"/>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N141" i="2"/>
  <c r="O141" i="2" s="1"/>
  <c r="D231" i="2"/>
  <c r="K47" i="7"/>
  <c r="C172" i="7"/>
  <c r="P129" i="5"/>
  <c r="B176" i="7"/>
  <c r="K144" i="3"/>
  <c r="S143" i="12"/>
  <c r="M45" i="5"/>
  <c r="G130" i="7"/>
  <c r="G47" i="7"/>
  <c r="H85" i="7"/>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N143" i="12"/>
  <c r="M113" i="12"/>
  <c r="C47" i="7"/>
  <c r="J130" i="7"/>
  <c r="H87" i="3"/>
  <c r="J178" i="2"/>
  <c r="K178" i="2" s="1"/>
  <c r="J66" i="2"/>
  <c r="K66" i="2" s="1"/>
  <c r="F130" i="2"/>
  <c r="B59" i="7"/>
  <c r="N155" i="2"/>
  <c r="O155" i="2" s="1"/>
  <c r="E96" i="3"/>
  <c r="P45" i="5"/>
  <c r="P46" i="5"/>
  <c r="J173" i="2"/>
  <c r="K173" i="2" s="1"/>
  <c r="K121" i="3"/>
  <c r="P28" i="5"/>
  <c r="G55" i="14"/>
  <c r="M164" i="5"/>
  <c r="M9" i="5"/>
  <c r="F108" i="2"/>
  <c r="G107" i="14"/>
  <c r="P91" i="5"/>
  <c r="P77" i="5"/>
  <c r="M142" i="5"/>
  <c r="M100" i="5"/>
  <c r="J24" i="12"/>
  <c r="E150" i="3"/>
  <c r="P43" i="5"/>
  <c r="N191" i="2"/>
  <c r="O191" i="2" s="1"/>
  <c r="P94" i="12"/>
  <c r="L94" i="12"/>
  <c r="P170" i="12"/>
  <c r="L170" i="12"/>
  <c r="N162" i="12"/>
  <c r="N146" i="12"/>
  <c r="R146" i="12"/>
  <c r="S146" i="12"/>
  <c r="H28" i="3"/>
  <c r="P87" i="12"/>
  <c r="L87" i="12"/>
  <c r="S160" i="12"/>
  <c r="R160" i="12"/>
  <c r="Q125" i="12"/>
  <c r="M125" i="12"/>
  <c r="L125" i="7"/>
  <c r="M125" i="7"/>
  <c r="K125" i="7"/>
  <c r="H125" i="7"/>
  <c r="H126" i="12" s="1"/>
  <c r="B125" i="7"/>
  <c r="E125" i="7"/>
  <c r="F125" i="7"/>
  <c r="J125" i="7"/>
  <c r="O125" i="7"/>
  <c r="N125" i="7"/>
  <c r="D125" i="7"/>
  <c r="G125" i="7"/>
  <c r="B122" i="7"/>
  <c r="L122" i="7"/>
  <c r="K122" i="12" s="1"/>
  <c r="O122" i="7"/>
  <c r="M122" i="7"/>
  <c r="H122" i="7"/>
  <c r="H122" i="12" s="1"/>
  <c r="J122" i="7"/>
  <c r="N122" i="7"/>
  <c r="E122" i="7"/>
  <c r="I122" i="7"/>
  <c r="F122" i="7"/>
  <c r="G122" i="7"/>
  <c r="B48" i="7"/>
  <c r="H72" i="3"/>
  <c r="D102" i="7"/>
  <c r="I102" i="7"/>
  <c r="I102" i="12" s="1"/>
  <c r="N102" i="7"/>
  <c r="L102" i="7"/>
  <c r="K102" i="12" s="1"/>
  <c r="F102" i="7"/>
  <c r="M102" i="7"/>
  <c r="C102" i="7"/>
  <c r="G102" i="7"/>
  <c r="K102" i="7"/>
  <c r="O102" i="7"/>
  <c r="G137" i="7"/>
  <c r="O137" i="7"/>
  <c r="E137" i="7"/>
  <c r="I157" i="12"/>
  <c r="I137" i="7"/>
  <c r="I137" i="12" s="1"/>
  <c r="K154" i="12"/>
  <c r="D137" i="7"/>
  <c r="H162" i="12"/>
  <c r="M137" i="7"/>
  <c r="K112" i="12"/>
  <c r="H154" i="12"/>
  <c r="C137" i="7"/>
  <c r="H112" i="12"/>
  <c r="H132" i="12"/>
  <c r="H137" i="7"/>
  <c r="H137" i="12" s="1"/>
  <c r="H144" i="12"/>
  <c r="K162"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I56" i="7"/>
  <c r="O56" i="7"/>
  <c r="G56" i="7"/>
  <c r="L114" i="12"/>
  <c r="P114" i="12"/>
  <c r="K34" i="7"/>
  <c r="P129" i="12"/>
  <c r="L129" i="12"/>
  <c r="M76" i="12"/>
  <c r="Q76" i="12"/>
  <c r="P131" i="12"/>
  <c r="L131" i="12"/>
  <c r="M71" i="12"/>
  <c r="Q71" i="12"/>
  <c r="L49" i="12"/>
  <c r="P49" i="12"/>
  <c r="S76" i="12"/>
  <c r="R76" i="12"/>
  <c r="N76" i="12"/>
  <c r="R144" i="12"/>
  <c r="N144" i="12"/>
  <c r="S144" i="12"/>
  <c r="G17" i="7"/>
  <c r="I17" i="7"/>
  <c r="B17" i="7"/>
  <c r="M17" i="7"/>
  <c r="F17" i="7"/>
  <c r="E17" i="7"/>
  <c r="J17" i="7"/>
  <c r="N17" i="7"/>
  <c r="D17" i="7"/>
  <c r="H17" i="7"/>
  <c r="L17" i="7"/>
  <c r="K17" i="12" s="1"/>
  <c r="K17" i="7"/>
  <c r="J17" i="12" s="1"/>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89" i="12"/>
  <c r="K93" i="12"/>
  <c r="L11" i="12"/>
  <c r="Q151" i="12"/>
  <c r="H50" i="7"/>
  <c r="H50" i="12" s="1"/>
  <c r="I62" i="12"/>
  <c r="N99" i="7"/>
  <c r="E106" i="7"/>
  <c r="J45" i="5"/>
  <c r="H95" i="12"/>
  <c r="H89"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G137" i="14"/>
  <c r="F84" i="7"/>
  <c r="D169" i="7"/>
  <c r="C129" i="7"/>
  <c r="H84" i="7"/>
  <c r="H84" i="12" s="1"/>
  <c r="H160" i="12"/>
  <c r="K31" i="3"/>
  <c r="K150" i="3"/>
  <c r="H81" i="12"/>
  <c r="H92" i="12"/>
  <c r="H90" i="12"/>
  <c r="H94" i="12"/>
  <c r="M116" i="12"/>
  <c r="Q57" i="12"/>
  <c r="S149" i="12"/>
  <c r="K50" i="7"/>
  <c r="J50" i="12" s="1"/>
  <c r="N61" i="7"/>
  <c r="K146" i="7"/>
  <c r="J148" i="12" s="1"/>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C3" i="21" s="1"/>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H96" i="12"/>
  <c r="C50" i="7"/>
  <c r="F61" i="7"/>
  <c r="C146" i="7"/>
  <c r="F129" i="7"/>
  <c r="H146" i="7"/>
  <c r="H148" i="12" s="1"/>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I97" i="12"/>
  <c r="K61" i="7"/>
  <c r="J61" i="12" s="1"/>
  <c r="J102" i="5"/>
  <c r="F25" i="2"/>
  <c r="F105" i="2"/>
  <c r="J138" i="2"/>
  <c r="K138" i="2" s="1"/>
  <c r="D50" i="7"/>
  <c r="I80" i="7"/>
  <c r="I80" i="12" s="1"/>
  <c r="H129" i="7"/>
  <c r="K99" i="7"/>
  <c r="J99" i="12" s="1"/>
  <c r="G44" i="2"/>
  <c r="H68" i="7"/>
  <c r="H68" i="12" s="1"/>
  <c r="I167" i="7"/>
  <c r="C169" i="7"/>
  <c r="N108" i="2"/>
  <c r="O108" i="2" s="1"/>
  <c r="F8" i="7"/>
  <c r="B146" i="7"/>
  <c r="I176" i="7"/>
  <c r="I175" i="12" s="1"/>
  <c r="N84" i="7"/>
  <c r="K173" i="3"/>
  <c r="G100" i="14"/>
  <c r="G132" i="14"/>
  <c r="K63" i="12"/>
  <c r="J62" i="12"/>
  <c r="J67" i="12"/>
  <c r="J94" i="12"/>
  <c r="H77" i="12"/>
  <c r="M89" i="5"/>
  <c r="L181" i="12"/>
  <c r="K87" i="12"/>
  <c r="I106" i="7"/>
  <c r="I106" i="12" s="1"/>
  <c r="H151" i="12"/>
  <c r="H59" i="12"/>
  <c r="G169" i="7"/>
  <c r="K106" i="7"/>
  <c r="J106" i="12" s="1"/>
  <c r="I91" i="12"/>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H87" i="12"/>
  <c r="N106" i="7"/>
  <c r="D73" i="7"/>
  <c r="H93" i="12"/>
  <c r="K169" i="7"/>
  <c r="J42" i="5"/>
  <c r="G106" i="7"/>
  <c r="I87" i="12"/>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K80" i="12"/>
  <c r="M104"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H88" i="12"/>
  <c r="M61" i="7"/>
  <c r="I67" i="12"/>
  <c r="O73" i="7"/>
  <c r="D126" i="7"/>
  <c r="J43" i="5"/>
  <c r="I92" i="12"/>
  <c r="J73" i="7"/>
  <c r="D176" i="7"/>
  <c r="J126" i="5"/>
  <c r="E11" i="5"/>
  <c r="F11" i="5" s="1"/>
  <c r="G11" i="5" s="1"/>
  <c r="K94" i="3"/>
  <c r="G21" i="14"/>
  <c r="P146" i="5"/>
  <c r="B80" i="7"/>
  <c r="F163" i="2"/>
  <c r="G57" i="14"/>
  <c r="H8" i="7"/>
  <c r="H8" i="12" s="1"/>
  <c r="B68" i="7"/>
  <c r="M126" i="7"/>
  <c r="K68" i="7"/>
  <c r="J68" i="12" s="1"/>
  <c r="B167" i="7"/>
  <c r="D8" i="7"/>
  <c r="K167" i="7"/>
  <c r="J167" i="12" s="1"/>
  <c r="G103" i="14"/>
  <c r="H147" i="3"/>
  <c r="N24" i="2"/>
  <c r="O24" i="2" s="1"/>
  <c r="F72" i="5"/>
  <c r="G72" i="5" s="1"/>
  <c r="J191" i="2"/>
  <c r="K191" i="2" s="1"/>
  <c r="F84" i="2"/>
  <c r="F60" i="2"/>
  <c r="G29" i="14"/>
  <c r="G148" i="14"/>
  <c r="K88" i="3"/>
  <c r="C232" i="2"/>
  <c r="F142" i="5"/>
  <c r="G142" i="5" s="1"/>
  <c r="F154" i="5"/>
  <c r="G154" i="5" s="1"/>
  <c r="E65" i="5"/>
  <c r="F65" i="5" s="1"/>
  <c r="G65" i="5" s="1"/>
  <c r="N26" i="12"/>
  <c r="H81" i="3"/>
  <c r="H164" i="3"/>
  <c r="K44" i="3"/>
  <c r="G27" i="14"/>
  <c r="L187" i="12"/>
  <c r="L171" i="12"/>
  <c r="L159" i="12"/>
  <c r="L162" i="5"/>
  <c r="M162" i="5" s="1"/>
  <c r="N186" i="12"/>
  <c r="M156" i="5"/>
  <c r="N161" i="12"/>
  <c r="O169" i="12"/>
  <c r="E104" i="3"/>
  <c r="O161" i="12"/>
  <c r="K36" i="3"/>
  <c r="G173" i="2"/>
  <c r="P163" i="12"/>
  <c r="P167" i="12"/>
  <c r="P171" i="12"/>
  <c r="S166" i="12"/>
  <c r="E163" i="5"/>
  <c r="F163" i="5" s="1"/>
  <c r="G163" i="5" s="1"/>
  <c r="O159" i="12"/>
  <c r="N112" i="2"/>
  <c r="O112" i="2" s="1"/>
  <c r="L173" i="12"/>
  <c r="Q165" i="12"/>
  <c r="B232" i="2"/>
  <c r="L179" i="12"/>
  <c r="S170" i="12"/>
  <c r="L161" i="5"/>
  <c r="M161" i="5" s="1"/>
  <c r="J112" i="12"/>
  <c r="P95" i="5"/>
  <c r="F166" i="5"/>
  <c r="G166" i="5" s="1"/>
  <c r="E102" i="5"/>
  <c r="F102" i="5" s="1"/>
  <c r="G102" i="5" s="1"/>
  <c r="M152" i="5"/>
  <c r="M72" i="5"/>
  <c r="J120" i="5"/>
  <c r="E118" i="5"/>
  <c r="F118" i="5" s="1"/>
  <c r="G118" i="5" s="1"/>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M31" i="5"/>
  <c r="N85" i="7"/>
  <c r="K74" i="12"/>
  <c r="M85" i="7"/>
  <c r="F165" i="5"/>
  <c r="G165" i="5" s="1"/>
  <c r="E181" i="3"/>
  <c r="J76" i="7"/>
  <c r="J120" i="7"/>
  <c r="H120" i="7"/>
  <c r="H120" i="12" s="1"/>
  <c r="G60" i="2"/>
  <c r="M108" i="7"/>
  <c r="C76" i="7"/>
  <c r="N139" i="7"/>
  <c r="J14" i="12"/>
  <c r="H75" i="7"/>
  <c r="J85" i="7"/>
  <c r="F85" i="5"/>
  <c r="G85" i="5" s="1"/>
  <c r="M166" i="5"/>
  <c r="H117" i="3"/>
  <c r="N93" i="2"/>
  <c r="O93" i="2" s="1"/>
  <c r="O76" i="7"/>
  <c r="F120" i="7"/>
  <c r="M120" i="7"/>
  <c r="K76" i="7"/>
  <c r="J76" i="12" s="1"/>
  <c r="J12" i="12"/>
  <c r="J46" i="12"/>
  <c r="K27" i="12"/>
  <c r="R10" i="12"/>
  <c r="L84" i="12"/>
  <c r="L155" i="12"/>
  <c r="D75" i="7"/>
  <c r="F85" i="7"/>
  <c r="J112" i="5"/>
  <c r="E55" i="3"/>
  <c r="E126" i="3"/>
  <c r="D232" i="2"/>
  <c r="B120" i="7"/>
  <c r="N75" i="7"/>
  <c r="C128" i="7"/>
  <c r="K15" i="12"/>
  <c r="K20" i="12"/>
  <c r="N10" i="12"/>
  <c r="P84" i="12"/>
  <c r="P106" i="12"/>
  <c r="M152" i="12"/>
  <c r="M87" i="12"/>
  <c r="M117" i="12"/>
  <c r="N60" i="12"/>
  <c r="D85" i="7"/>
  <c r="B85" i="7"/>
  <c r="J124" i="5"/>
  <c r="J129" i="5"/>
  <c r="F90" i="2"/>
  <c r="D120" i="7"/>
  <c r="K108" i="3"/>
  <c r="J20" i="2"/>
  <c r="K20" i="2" s="1"/>
  <c r="L156" i="7"/>
  <c r="K156" i="12" s="1"/>
  <c r="M156" i="7"/>
  <c r="J20" i="12"/>
  <c r="P14" i="12"/>
  <c r="P99" i="12"/>
  <c r="I85" i="7"/>
  <c r="I85" i="12" s="1"/>
  <c r="H86" i="3"/>
  <c r="B2" i="28"/>
  <c r="J35" i="2"/>
  <c r="K35" i="2" s="1"/>
  <c r="N108" i="7"/>
  <c r="I120" i="7"/>
  <c r="L85" i="7"/>
  <c r="K85" i="12" s="1"/>
  <c r="H16" i="12"/>
  <c r="J8" i="12"/>
  <c r="P140" i="12"/>
  <c r="M85" i="5"/>
  <c r="R107" i="12"/>
  <c r="S161" i="12"/>
  <c r="N63" i="12"/>
  <c r="O85" i="7"/>
  <c r="K86" i="12"/>
  <c r="H85" i="3"/>
  <c r="H70" i="3"/>
  <c r="N53" i="2"/>
  <c r="O53" i="2" s="1"/>
  <c r="P82" i="5"/>
  <c r="I108" i="7"/>
  <c r="I108" i="12" s="1"/>
  <c r="O120" i="7"/>
  <c r="E179" i="3"/>
  <c r="I156" i="7"/>
  <c r="I156" i="12" s="1"/>
  <c r="L120" i="7"/>
  <c r="K120" i="12" s="1"/>
  <c r="H14" i="12"/>
  <c r="J22" i="12"/>
  <c r="H86"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J54" i="12"/>
  <c r="O76" i="12"/>
  <c r="J120" i="12"/>
  <c r="J118" i="12"/>
  <c r="M43" i="5"/>
  <c r="E85" i="7"/>
  <c r="F142" i="2"/>
  <c r="O75" i="7"/>
  <c r="H76" i="7"/>
  <c r="H76" i="12" s="1"/>
  <c r="H108" i="7"/>
  <c r="F156" i="7"/>
  <c r="K108" i="7"/>
  <c r="J108" i="12" s="1"/>
  <c r="C156" i="7"/>
  <c r="B76" i="7"/>
  <c r="G108" i="7"/>
  <c r="G75" i="7"/>
  <c r="O108" i="7"/>
  <c r="K51" i="12"/>
  <c r="R60" i="12"/>
  <c r="S52" i="12"/>
  <c r="K85" i="7"/>
  <c r="J85" i="12" s="1"/>
  <c r="J49" i="5"/>
  <c r="F99" i="5"/>
  <c r="G99" i="5" s="1"/>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M86" i="5" s="1"/>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33" i="2"/>
  <c r="O164" i="12"/>
  <c r="N171" i="12"/>
  <c r="L176" i="12"/>
  <c r="L185" i="12"/>
  <c r="B231"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3"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M17" i="5" s="1"/>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I60" i="12"/>
  <c r="L28" i="5"/>
  <c r="M28" i="5" s="1"/>
  <c r="L30" i="5"/>
  <c r="M30" i="5" s="1"/>
  <c r="C231" i="2"/>
  <c r="L45" i="12"/>
  <c r="O86" i="12"/>
  <c r="O91" i="12"/>
  <c r="O102" i="12"/>
  <c r="O110" i="12"/>
  <c r="L137" i="5"/>
  <c r="M137" i="5" s="1"/>
  <c r="L144" i="5"/>
  <c r="M144" i="5" s="1"/>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1" i="2"/>
  <c r="O34" i="12"/>
  <c r="O37" i="12"/>
  <c r="P86" i="12"/>
  <c r="L91" i="12"/>
  <c r="L102" i="12"/>
  <c r="N121" i="12"/>
  <c r="N127" i="12"/>
  <c r="Q32" i="12"/>
  <c r="M35" i="12"/>
  <c r="N70" i="12"/>
  <c r="N78" i="12"/>
  <c r="L100" i="12"/>
  <c r="L127" i="12"/>
  <c r="I58" i="12"/>
  <c r="O145" i="12"/>
  <c r="J90" i="12"/>
  <c r="J87" i="12"/>
  <c r="L131" i="5"/>
  <c r="M131" i="5" s="1"/>
  <c r="E45" i="5"/>
  <c r="F45" i="5" s="1"/>
  <c r="G45" i="5" s="1"/>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90" i="12"/>
  <c r="I83" i="12"/>
  <c r="J74" i="12"/>
  <c r="I96" i="12"/>
  <c r="I72" i="12"/>
  <c r="H74" i="12"/>
  <c r="H133"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I88"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4"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O99" i="12"/>
  <c r="M183" i="12"/>
  <c r="I169"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M46"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F141" i="5"/>
  <c r="G141" i="5" s="1"/>
  <c r="E129" i="3"/>
  <c r="G131" i="14"/>
  <c r="E37" i="5"/>
  <c r="F37" i="5" s="1"/>
  <c r="G37" i="5" s="1"/>
  <c r="H37" i="3"/>
  <c r="B142" i="7"/>
  <c r="N142" i="7"/>
  <c r="I142" i="7"/>
  <c r="D142" i="7"/>
  <c r="L142" i="7"/>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2" i="12"/>
  <c r="J101" i="12"/>
  <c r="K107" i="12"/>
  <c r="P113" i="12"/>
  <c r="L113" i="12"/>
  <c r="O142" i="7"/>
  <c r="M128" i="5"/>
  <c r="N98" i="2"/>
  <c r="O98" i="2" s="1"/>
  <c r="N100" i="12"/>
  <c r="S100" i="12"/>
  <c r="P115" i="12"/>
  <c r="L115" i="12"/>
  <c r="S136" i="12"/>
  <c r="N136" i="12"/>
  <c r="R136" i="12"/>
  <c r="D44" i="7"/>
  <c r="H104" i="3"/>
  <c r="P74" i="5"/>
  <c r="Q58" i="12"/>
  <c r="R21" i="12"/>
  <c r="Q129" i="12"/>
  <c r="M129" i="12"/>
  <c r="K142" i="7"/>
  <c r="J142" i="12" s="1"/>
  <c r="F50" i="2"/>
  <c r="N9" i="12"/>
  <c r="S9" i="12"/>
  <c r="M116" i="5"/>
  <c r="Q126" i="12"/>
  <c r="M126" i="12"/>
  <c r="N172" i="12"/>
  <c r="S172" i="12"/>
  <c r="R172" i="12"/>
  <c r="R95" i="12"/>
  <c r="N95" i="12"/>
  <c r="Q167" i="12"/>
  <c r="M167" i="12"/>
  <c r="J167" i="2"/>
  <c r="K167" i="2" s="1"/>
  <c r="K3" i="21"/>
  <c r="F167" i="2"/>
  <c r="M139" i="12"/>
  <c r="Q139" i="12"/>
  <c r="R80" i="12"/>
  <c r="N80" i="12"/>
  <c r="R138" i="12"/>
  <c r="S138" i="12"/>
  <c r="B12" i="28"/>
  <c r="I168" i="7"/>
  <c r="I177" i="12" s="1"/>
  <c r="G168" i="7"/>
  <c r="C168" i="7"/>
  <c r="J168" i="7"/>
  <c r="K168" i="7"/>
  <c r="F168" i="7"/>
  <c r="O168" i="7"/>
  <c r="E168" i="7"/>
  <c r="M168" i="7"/>
  <c r="H167" i="12"/>
  <c r="L168" i="7"/>
  <c r="K170" i="12" s="1"/>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J105" i="12"/>
  <c r="H105" i="12"/>
  <c r="P114" i="5"/>
  <c r="B104" i="7"/>
  <c r="B168" i="7"/>
  <c r="G82" i="2"/>
  <c r="H179" i="3"/>
  <c r="E134" i="3"/>
  <c r="H128" i="7"/>
  <c r="H128" i="12" s="1"/>
  <c r="K39" i="7"/>
  <c r="J42" i="12" s="1"/>
  <c r="B39" i="7"/>
  <c r="J39" i="7"/>
  <c r="I39" i="7"/>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I100" i="12"/>
  <c r="J103" i="12"/>
  <c r="J139" i="7"/>
  <c r="G92" i="2"/>
  <c r="F92" i="2"/>
  <c r="F115" i="7"/>
  <c r="L115" i="7"/>
  <c r="G115" i="7"/>
  <c r="E115" i="7"/>
  <c r="M115" i="7"/>
  <c r="O115" i="7"/>
  <c r="B115" i="7"/>
  <c r="N115" i="7"/>
  <c r="J115" i="7"/>
  <c r="I115" i="7"/>
  <c r="I115" i="12" s="1"/>
  <c r="C115" i="7"/>
  <c r="M8" i="12"/>
  <c r="S19" i="12"/>
  <c r="J98" i="12"/>
  <c r="K129" i="12"/>
  <c r="Q39" i="12"/>
  <c r="S119" i="12"/>
  <c r="N147" i="12"/>
  <c r="S147" i="12"/>
  <c r="M150" i="5"/>
  <c r="N168" i="7"/>
  <c r="E80" i="5"/>
  <c r="F80" i="5" s="1"/>
  <c r="G80" i="5" s="1"/>
  <c r="O139" i="7"/>
  <c r="S148" i="12"/>
  <c r="N148" i="12"/>
  <c r="I44" i="7"/>
  <c r="I44" i="12" s="1"/>
  <c r="R99" i="12"/>
  <c r="M61" i="5"/>
  <c r="M140" i="5"/>
  <c r="H107" i="12"/>
  <c r="N126" i="7"/>
  <c r="J20" i="5"/>
  <c r="I145" i="12"/>
  <c r="I159" i="12"/>
  <c r="H163" i="12"/>
  <c r="O126" i="7"/>
  <c r="G174" i="7"/>
  <c r="F95" i="5"/>
  <c r="G95" i="5" s="1"/>
  <c r="K61" i="3"/>
  <c r="H17" i="3"/>
  <c r="H34" i="3"/>
  <c r="K89" i="3"/>
  <c r="N15" i="2"/>
  <c r="O15" i="2" s="1"/>
  <c r="K177" i="3"/>
  <c r="N81" i="2"/>
  <c r="O81" i="2" s="1"/>
  <c r="G149" i="2"/>
  <c r="J161" i="2"/>
  <c r="K161" i="2" s="1"/>
  <c r="F34" i="2"/>
  <c r="F116" i="2"/>
  <c r="N144" i="2"/>
  <c r="O144" i="2" s="1"/>
  <c r="P78" i="5"/>
  <c r="P23" i="5"/>
  <c r="P39" i="5"/>
  <c r="D56" i="7"/>
  <c r="M56" i="7"/>
  <c r="L137" i="7"/>
  <c r="K137" i="12" s="1"/>
  <c r="E24" i="3"/>
  <c r="E56" i="7"/>
  <c r="H127" i="3"/>
  <c r="B126" i="7"/>
  <c r="L153" i="7"/>
  <c r="K161" i="12" s="1"/>
  <c r="M32" i="5"/>
  <c r="J13" i="5"/>
  <c r="K157" i="12"/>
  <c r="I160" i="12"/>
  <c r="H99" i="12"/>
  <c r="K126" i="7"/>
  <c r="J157" i="12"/>
  <c r="C174" i="7"/>
  <c r="F119" i="5"/>
  <c r="G119" i="5" s="1"/>
  <c r="F128" i="5"/>
  <c r="G128" i="5" s="1"/>
  <c r="J138" i="5"/>
  <c r="H146" i="3"/>
  <c r="H178" i="3"/>
  <c r="J143" i="12"/>
  <c r="E75" i="3"/>
  <c r="J71" i="2"/>
  <c r="K71" i="2" s="1"/>
  <c r="G66" i="2"/>
  <c r="N74" i="2"/>
  <c r="O74" i="2" s="1"/>
  <c r="J160" i="2"/>
  <c r="K160" i="2" s="1"/>
  <c r="P118" i="5"/>
  <c r="N56" i="7"/>
  <c r="K137" i="7"/>
  <c r="J136" i="12" s="1"/>
  <c r="K139" i="3"/>
  <c r="H150" i="7"/>
  <c r="F126" i="7"/>
  <c r="G149" i="14"/>
  <c r="M23" i="5"/>
  <c r="O150" i="7"/>
  <c r="H157" i="12"/>
  <c r="J44" i="5"/>
  <c r="H159" i="12"/>
  <c r="G126" i="7"/>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63" i="12"/>
  <c r="J151" i="12"/>
  <c r="C126" i="7"/>
  <c r="N174" i="7"/>
  <c r="M92" i="5"/>
  <c r="F101" i="5"/>
  <c r="G101" i="5" s="1"/>
  <c r="F134" i="5"/>
  <c r="G134" i="5" s="1"/>
  <c r="H122" i="3"/>
  <c r="H35" i="3"/>
  <c r="E145" i="3"/>
  <c r="N110" i="2"/>
  <c r="O110" i="2" s="1"/>
  <c r="J77" i="2"/>
  <c r="K77" i="2" s="1"/>
  <c r="G130" i="2"/>
  <c r="F56" i="7"/>
  <c r="N28" i="2"/>
  <c r="O28" i="2" s="1"/>
  <c r="G193" i="2"/>
  <c r="C175" i="7"/>
  <c r="N175" i="7"/>
  <c r="G150" i="7"/>
  <c r="J22" i="5"/>
  <c r="I162" i="12"/>
  <c r="I150" i="12"/>
  <c r="I151" i="12"/>
  <c r="N137" i="7"/>
  <c r="J174" i="7"/>
  <c r="J74" i="5"/>
  <c r="M102" i="5"/>
  <c r="K15" i="3"/>
  <c r="H150" i="3"/>
  <c r="H55" i="3"/>
  <c r="H99" i="3"/>
  <c r="K140" i="3"/>
  <c r="G129" i="2"/>
  <c r="F82" i="2"/>
  <c r="G141" i="14"/>
  <c r="B56" i="7"/>
  <c r="J28" i="2"/>
  <c r="K28" i="2" s="1"/>
  <c r="G67" i="14"/>
  <c r="E153" i="7"/>
  <c r="N140" i="2"/>
  <c r="O140" i="2" s="1"/>
  <c r="K103" i="12"/>
  <c r="H98"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J16" i="5"/>
  <c r="M146" i="5"/>
  <c r="H145" i="12"/>
  <c r="K145" i="12"/>
  <c r="I148" i="12"/>
  <c r="F137" i="7"/>
  <c r="B174" i="7"/>
  <c r="J70" i="5"/>
  <c r="J98" i="5"/>
  <c r="M165" i="5"/>
  <c r="E122" i="3"/>
  <c r="E78" i="3"/>
  <c r="N156" i="2"/>
  <c r="O156" i="2" s="1"/>
  <c r="N61" i="2"/>
  <c r="O61" i="2" s="1"/>
  <c r="N109" i="2"/>
  <c r="O109" i="2" s="1"/>
  <c r="H189" i="3"/>
  <c r="G34" i="2"/>
  <c r="P70" i="5"/>
  <c r="K72" i="3"/>
  <c r="N56" i="2"/>
  <c r="O56" i="2" s="1"/>
  <c r="G159" i="2"/>
  <c r="G169" i="14"/>
  <c r="E150" i="7"/>
  <c r="I105" i="12"/>
  <c r="J24" i="5"/>
  <c r="K144" i="12"/>
  <c r="I143" i="12"/>
  <c r="I144" i="12"/>
  <c r="B137" i="7"/>
  <c r="L174" i="7"/>
  <c r="K173" i="12" s="1"/>
  <c r="M108" i="5"/>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H100" i="12"/>
  <c r="J126" i="7"/>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J34" i="1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J65" i="12"/>
  <c r="L9" i="7"/>
  <c r="K9" i="12" s="1"/>
  <c r="H147" i="7"/>
  <c r="H155" i="12" s="1"/>
  <c r="F157" i="5"/>
  <c r="G157" i="5" s="1"/>
  <c r="K174" i="3"/>
  <c r="K188" i="12"/>
  <c r="J186" i="7"/>
  <c r="E44" i="5"/>
  <c r="F44" i="5" s="1"/>
  <c r="G44" i="5" s="1"/>
  <c r="K19" i="3"/>
  <c r="E173" i="3"/>
  <c r="N121" i="2"/>
  <c r="O121" i="2" s="1"/>
  <c r="L66" i="7"/>
  <c r="K71" i="12" s="1"/>
  <c r="J147" i="7"/>
  <c r="E147" i="7"/>
  <c r="E12" i="3"/>
  <c r="M147" i="7"/>
  <c r="C186" i="7"/>
  <c r="I186" i="7"/>
  <c r="I186" i="12" s="1"/>
  <c r="L88" i="12"/>
  <c r="N158" i="12"/>
  <c r="H188" i="12"/>
  <c r="M135" i="12"/>
  <c r="G66" i="7"/>
  <c r="I110" i="7"/>
  <c r="I110" i="12" s="1"/>
  <c r="J133" i="12"/>
  <c r="C147" i="7"/>
  <c r="J19" i="5"/>
  <c r="H9" i="7"/>
  <c r="H9" i="12" s="1"/>
  <c r="E66" i="7"/>
  <c r="D147" i="7"/>
  <c r="J106" i="5"/>
  <c r="F186" i="7"/>
  <c r="E105" i="3"/>
  <c r="H163" i="3"/>
  <c r="F66" i="7"/>
  <c r="K147" i="7"/>
  <c r="J155" i="12" s="1"/>
  <c r="E146" i="3"/>
  <c r="N193" i="2"/>
  <c r="O193" i="2" s="1"/>
  <c r="G186" i="7"/>
  <c r="S171" i="12"/>
  <c r="Q29" i="12"/>
  <c r="L141" i="12"/>
  <c r="C66" i="7"/>
  <c r="N110" i="7"/>
  <c r="I147" i="7"/>
  <c r="J189" i="12"/>
  <c r="D9" i="7"/>
  <c r="J66" i="7"/>
  <c r="F143" i="5"/>
  <c r="G143" i="5" s="1"/>
  <c r="B186" i="7"/>
  <c r="I66" i="7"/>
  <c r="I71" i="12" s="1"/>
  <c r="O186" i="7"/>
  <c r="K146" i="12"/>
  <c r="Q28" i="12"/>
  <c r="L139" i="12"/>
  <c r="L65" i="12"/>
  <c r="N87" i="12"/>
  <c r="N147" i="7"/>
  <c r="I109" i="12"/>
  <c r="O9" i="7"/>
  <c r="K178" i="3"/>
  <c r="L186" i="7"/>
  <c r="K186" i="12" s="1"/>
  <c r="G26" i="2"/>
  <c r="P110" i="5"/>
  <c r="H16" i="3"/>
  <c r="I65" i="12"/>
  <c r="N66" i="7"/>
  <c r="G119" i="14"/>
  <c r="P24" i="12"/>
  <c r="Q50" i="12"/>
  <c r="R66" i="12"/>
  <c r="N150" i="12"/>
  <c r="S87" i="12"/>
  <c r="L95" i="12"/>
  <c r="I184" i="12"/>
  <c r="K9" i="7"/>
  <c r="J10" i="12" s="1"/>
  <c r="H186" i="7"/>
  <c r="H186" i="12" s="1"/>
  <c r="E62" i="3"/>
  <c r="G13" i="2"/>
  <c r="D66" i="7"/>
  <c r="M9" i="7"/>
  <c r="H10" i="12"/>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I187" i="12"/>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38" i="5"/>
  <c r="G138" i="5" s="1"/>
  <c r="F162" i="5"/>
  <c r="G162" i="5" s="1"/>
  <c r="E11" i="3"/>
  <c r="F97" i="2"/>
  <c r="N153" i="2"/>
  <c r="O153" i="2" s="1"/>
  <c r="N177" i="2"/>
  <c r="O177" i="2" s="1"/>
  <c r="N145" i="12"/>
  <c r="N113" i="12"/>
  <c r="F92" i="5"/>
  <c r="G92" i="5" s="1"/>
  <c r="J80" i="2"/>
  <c r="K80" i="2" s="1"/>
  <c r="G91" i="14"/>
  <c r="N133" i="12"/>
  <c r="G144" i="14"/>
  <c r="P34" i="12"/>
  <c r="S133" i="12"/>
  <c r="S165" i="12"/>
  <c r="M163" i="12"/>
  <c r="K189" i="12"/>
  <c r="F97" i="5"/>
  <c r="G97" i="5" s="1"/>
  <c r="F158" i="5"/>
  <c r="G158" i="5" s="1"/>
  <c r="G73" i="2"/>
  <c r="G97" i="2"/>
  <c r="G121" i="2"/>
  <c r="F29" i="2"/>
  <c r="O191" i="5"/>
  <c r="O192" i="5" s="1"/>
  <c r="J183" i="2"/>
  <c r="K183" i="2" s="1"/>
  <c r="N68" i="2"/>
  <c r="O68" i="2" s="1"/>
  <c r="M54" i="5"/>
  <c r="P137" i="12"/>
  <c r="F93" i="5"/>
  <c r="G93" i="5" s="1"/>
  <c r="E61" i="3"/>
  <c r="H107" i="3"/>
  <c r="K124" i="3"/>
  <c r="G167" i="2"/>
  <c r="G60" i="14"/>
  <c r="P76" i="5"/>
  <c r="P100" i="5"/>
  <c r="K92" i="3"/>
  <c r="L142" i="12"/>
  <c r="G134" i="14"/>
  <c r="P42" i="12"/>
  <c r="M140" i="12"/>
  <c r="F107" i="5"/>
  <c r="G107" i="5" s="1"/>
  <c r="K103" i="3"/>
  <c r="E62" i="5"/>
  <c r="F62" i="5" s="1"/>
  <c r="E22" i="3"/>
  <c r="E86" i="3"/>
  <c r="E110" i="5"/>
  <c r="F110" i="5" s="1"/>
  <c r="G110" i="5" s="1"/>
  <c r="H148" i="3"/>
  <c r="E245" i="2"/>
  <c r="J14" i="2"/>
  <c r="K14" i="2" s="1"/>
  <c r="N58" i="2"/>
  <c r="O58" i="2" s="1"/>
  <c r="F100" i="2"/>
  <c r="G127" i="14"/>
  <c r="F140" i="5"/>
  <c r="G140" i="5" s="1"/>
  <c r="P18" i="12"/>
  <c r="M120" i="12"/>
  <c r="L82" i="12"/>
  <c r="F103" i="5"/>
  <c r="G103" i="5" s="1"/>
  <c r="F117" i="5"/>
  <c r="G117" i="5" s="1"/>
  <c r="F145" i="5"/>
  <c r="G145" i="5" s="1"/>
  <c r="F150" i="5"/>
  <c r="G150" i="5" s="1"/>
  <c r="J160" i="5"/>
  <c r="G171" i="14"/>
  <c r="P50" i="12"/>
  <c r="M123" i="12"/>
  <c r="L74" i="12"/>
  <c r="R40" i="12"/>
  <c r="F76" i="5"/>
  <c r="G76" i="5" s="1"/>
  <c r="M132" i="5"/>
  <c r="H21" i="3"/>
  <c r="H79" i="3"/>
  <c r="H130" i="3"/>
  <c r="E169" i="3"/>
  <c r="H245" i="2"/>
  <c r="N64" i="2"/>
  <c r="O64" i="2" s="1"/>
  <c r="J36" i="2"/>
  <c r="K36" i="2" s="1"/>
  <c r="N40" i="12"/>
  <c r="F81" i="5"/>
  <c r="G81" i="5" s="1"/>
  <c r="J156" i="5"/>
  <c r="H10" i="3"/>
  <c r="E114" i="5"/>
  <c r="F114" i="5" s="1"/>
  <c r="G114" i="5" s="1"/>
  <c r="N77" i="12"/>
  <c r="R77" i="12"/>
  <c r="R78" i="12"/>
  <c r="F77" i="5"/>
  <c r="G77" i="5" s="1"/>
  <c r="J82" i="5"/>
  <c r="F132" i="5"/>
  <c r="G132" i="5" s="1"/>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F147" i="5"/>
  <c r="G147" i="5" s="1"/>
  <c r="K71" i="3"/>
  <c r="G166" i="14"/>
  <c r="F88" i="5"/>
  <c r="G88" i="5" s="1"/>
  <c r="F108" i="5"/>
  <c r="G108" i="5" s="1"/>
  <c r="F64" i="5"/>
  <c r="G64" i="5" s="1"/>
  <c r="F116" i="5"/>
  <c r="G116" i="5" s="1"/>
  <c r="F151" i="5"/>
  <c r="G151" i="5" s="1"/>
  <c r="F159" i="5"/>
  <c r="G159" i="5" s="1"/>
  <c r="K39" i="3"/>
  <c r="E82" i="5"/>
  <c r="F82" i="5" s="1"/>
  <c r="G82" i="5" s="1"/>
  <c r="G47" i="14"/>
  <c r="G88" i="14"/>
  <c r="G120" i="14"/>
  <c r="G93" i="14"/>
  <c r="G179" i="2"/>
  <c r="N47" i="2"/>
  <c r="O47" i="2" s="1"/>
  <c r="K189" i="3"/>
  <c r="E189" i="3"/>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B164" i="7"/>
  <c r="G164" i="7"/>
  <c r="I164" i="7"/>
  <c r="I163" i="12" s="1"/>
  <c r="G151" i="14"/>
  <c r="G92" i="14"/>
  <c r="G124" i="14"/>
  <c r="G181" i="14"/>
  <c r="S70" i="12"/>
  <c r="N79" i="2"/>
  <c r="O79" i="2" s="1"/>
  <c r="P154" i="5"/>
  <c r="K100" i="3"/>
  <c r="G171" i="2"/>
  <c r="N183" i="2"/>
  <c r="O183" i="2" s="1"/>
  <c r="G84" i="2"/>
  <c r="D212" i="10"/>
  <c r="S29" i="12"/>
  <c r="S41" i="12"/>
  <c r="P53" i="12"/>
  <c r="N84" i="2"/>
  <c r="O84" i="2" s="1"/>
  <c r="G212" i="10"/>
  <c r="R57" i="12"/>
  <c r="S61" i="12"/>
  <c r="N158" i="2"/>
  <c r="O158" i="2" s="1"/>
  <c r="J108" i="2"/>
  <c r="K108" i="2" s="1"/>
  <c r="E164" i="3"/>
  <c r="H177" i="3"/>
  <c r="G185" i="14"/>
  <c r="G65" i="14"/>
  <c r="G73" i="14"/>
  <c r="K97" i="3"/>
  <c r="G133" i="14"/>
  <c r="H132" i="3"/>
  <c r="K116" i="3"/>
  <c r="G61" i="14"/>
  <c r="G69" i="14"/>
  <c r="G77" i="14"/>
  <c r="G49" i="14"/>
  <c r="H21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12" i="10"/>
  <c r="M212" i="10"/>
  <c r="E21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H94" i="8"/>
  <c r="H95" i="8" s="1"/>
  <c r="G114" i="14"/>
  <c r="G188" i="14"/>
  <c r="K119" i="12"/>
  <c r="K113" i="3"/>
  <c r="E120" i="3"/>
  <c r="H157" i="3"/>
  <c r="E128" i="3"/>
  <c r="E148" i="3"/>
  <c r="H161" i="3"/>
  <c r="G64" i="14"/>
  <c r="G117" i="14"/>
  <c r="G164" i="14"/>
  <c r="G45" i="14"/>
  <c r="G158" i="14"/>
  <c r="G145" i="14"/>
  <c r="E94" i="8"/>
  <c r="E95" i="8" s="1"/>
  <c r="E54" i="5"/>
  <c r="F54" i="5" s="1"/>
  <c r="G54" i="5" s="1"/>
  <c r="E132" i="3"/>
  <c r="E180" i="3"/>
  <c r="G72" i="14"/>
  <c r="G140" i="14"/>
  <c r="G121" i="14"/>
  <c r="G179" i="14"/>
  <c r="P148" i="5"/>
  <c r="P164" i="5"/>
  <c r="G68" i="14"/>
  <c r="G83" i="14"/>
  <c r="M37" i="5"/>
  <c r="G40" i="14"/>
  <c r="G42" i="14"/>
  <c r="G48" i="14"/>
  <c r="G150" i="14"/>
  <c r="G102" i="14"/>
  <c r="G108" i="14"/>
  <c r="G142" i="14"/>
  <c r="G147" i="14"/>
  <c r="G168" i="14"/>
  <c r="K209" i="11"/>
  <c r="K210" i="11" s="1"/>
  <c r="N209" i="11"/>
  <c r="N210" i="11" s="1"/>
  <c r="N212" i="10"/>
  <c r="Q38" i="12"/>
  <c r="P54" i="12"/>
  <c r="R65" i="12"/>
  <c r="R97" i="12"/>
  <c r="F210" i="6"/>
  <c r="Q15" i="12"/>
  <c r="R117" i="12"/>
  <c r="L210" i="6"/>
  <c r="Q114" i="12"/>
  <c r="N210" i="6"/>
  <c r="O210" i="6" s="1"/>
  <c r="B210" i="6"/>
  <c r="K210" i="6"/>
  <c r="N167" i="12"/>
  <c r="N101" i="12"/>
  <c r="L78" i="12"/>
  <c r="N53" i="12"/>
  <c r="N82" i="12"/>
  <c r="N74" i="12"/>
  <c r="M54" i="12"/>
  <c r="M40" i="12"/>
  <c r="M32" i="12"/>
  <c r="P7" i="12"/>
  <c r="L38" i="12"/>
  <c r="L15" i="12"/>
  <c r="M37" i="12"/>
  <c r="C12" i="28"/>
  <c r="S82" i="12"/>
  <c r="I114" i="12"/>
  <c r="I132" i="12"/>
  <c r="K126" i="12"/>
  <c r="J121" i="12"/>
  <c r="J113" i="12"/>
  <c r="J127" i="12"/>
  <c r="J119" i="12"/>
  <c r="H136" i="12"/>
  <c r="H119" i="12"/>
  <c r="H55" i="12"/>
  <c r="K53" i="12"/>
  <c r="H53" i="12"/>
  <c r="K49" i="12"/>
  <c r="H41" i="12"/>
  <c r="I26" i="12"/>
  <c r="I18" i="12"/>
  <c r="I10" i="12"/>
  <c r="H27" i="12"/>
  <c r="H19" i="12"/>
  <c r="H11" i="12"/>
  <c r="K56" i="12"/>
  <c r="H25" i="12"/>
  <c r="K30" i="12"/>
  <c r="K22" i="12"/>
  <c r="K14" i="12"/>
  <c r="I49" i="12"/>
  <c r="I33" i="12"/>
  <c r="I17" i="12"/>
  <c r="K33"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F51" i="5"/>
  <c r="G51" i="5" s="1"/>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5" i="2"/>
  <c r="G150" i="2"/>
  <c r="F150" i="2"/>
  <c r="N166" i="2"/>
  <c r="O166" i="2" s="1"/>
  <c r="J192" i="2"/>
  <c r="K192" i="2" s="1"/>
  <c r="F170" i="2"/>
  <c r="G170" i="2"/>
  <c r="G142" i="2"/>
  <c r="G178" i="14"/>
  <c r="J209" i="11"/>
  <c r="H209" i="11"/>
  <c r="H210" i="11" s="1"/>
  <c r="J212" i="10"/>
  <c r="R19" i="12"/>
  <c r="R41" i="12"/>
  <c r="S57" i="12"/>
  <c r="R23" i="12"/>
  <c r="S49" i="12"/>
  <c r="R93" i="12"/>
  <c r="R109" i="12"/>
  <c r="P80" i="12"/>
  <c r="R45" i="12"/>
  <c r="R121" i="12"/>
  <c r="Q136" i="12"/>
  <c r="R147" i="12"/>
  <c r="R155" i="12"/>
  <c r="R163" i="12"/>
  <c r="R171" i="12"/>
  <c r="N159" i="12"/>
  <c r="N163" i="12"/>
  <c r="M130" i="12"/>
  <c r="N73" i="12"/>
  <c r="L62" i="12"/>
  <c r="L46" i="12"/>
  <c r="N7" i="12"/>
  <c r="N37" i="12"/>
  <c r="M65" i="12"/>
  <c r="M49" i="12"/>
  <c r="M33" i="12"/>
  <c r="Q7" i="12"/>
  <c r="S74" i="12"/>
  <c r="E124" i="7"/>
  <c r="B15" i="28" s="1"/>
  <c r="I124" i="7"/>
  <c r="C16" i="28" s="1"/>
  <c r="M124" i="7"/>
  <c r="F124" i="7"/>
  <c r="K124" i="7"/>
  <c r="J124" i="12" s="1"/>
  <c r="B124" i="7"/>
  <c r="G124" i="7"/>
  <c r="L124" i="7"/>
  <c r="K124" i="12" s="1"/>
  <c r="C124" i="7"/>
  <c r="H124" i="7"/>
  <c r="B16" i="28" s="1"/>
  <c r="N124" i="7"/>
  <c r="D124" i="7"/>
  <c r="J124" i="7"/>
  <c r="O124" i="7"/>
  <c r="K136" i="12"/>
  <c r="J129" i="12"/>
  <c r="I120" i="12"/>
  <c r="I112" i="12"/>
  <c r="K131" i="12"/>
  <c r="H123" i="12"/>
  <c r="H117" i="12"/>
  <c r="K135" i="12"/>
  <c r="I135" i="12"/>
  <c r="I119" i="12"/>
  <c r="K52" i="12"/>
  <c r="H57" i="12"/>
  <c r="K48" i="12"/>
  <c r="J23" i="12"/>
  <c r="J15" i="12"/>
  <c r="J7" i="12"/>
  <c r="H38" i="12"/>
  <c r="J25" i="12"/>
  <c r="J53" i="12"/>
  <c r="J37" i="12"/>
  <c r="H21" i="12"/>
  <c r="J47" i="12"/>
  <c r="J41" i="12"/>
  <c r="H37" i="12"/>
  <c r="I20" i="12"/>
  <c r="I12" i="12"/>
  <c r="I45" i="12"/>
  <c r="I29" i="12"/>
  <c r="I23" i="12"/>
  <c r="I15" i="12"/>
  <c r="P53" i="5"/>
  <c r="N191" i="5"/>
  <c r="G231" i="3"/>
  <c r="G232" i="3" s="1"/>
  <c r="J231" i="3"/>
  <c r="J232" i="3" s="1"/>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5" i="2"/>
  <c r="I225" i="2"/>
  <c r="J11" i="2"/>
  <c r="K11" i="2" s="1"/>
  <c r="H225" i="2"/>
  <c r="B3" i="28"/>
  <c r="F192" i="2"/>
  <c r="G192" i="2"/>
  <c r="G59" i="14"/>
  <c r="G86" i="14"/>
  <c r="G118" i="14"/>
  <c r="G152" i="14"/>
  <c r="D209" i="11"/>
  <c r="E209" i="11"/>
  <c r="E210" i="11" s="1"/>
  <c r="S73" i="12"/>
  <c r="R89" i="12"/>
  <c r="R105" i="12"/>
  <c r="P72" i="12"/>
  <c r="E32" i="7"/>
  <c r="I32" i="7"/>
  <c r="I31" i="12" s="1"/>
  <c r="M32" i="7"/>
  <c r="D32" i="7"/>
  <c r="J32" i="7"/>
  <c r="O32" i="7"/>
  <c r="F32" i="7"/>
  <c r="K32" i="7"/>
  <c r="J32" i="12" s="1"/>
  <c r="B32" i="7"/>
  <c r="G32" i="7"/>
  <c r="L32" i="7"/>
  <c r="K31" i="12" s="1"/>
  <c r="C32" i="7"/>
  <c r="H32" i="7"/>
  <c r="H32" i="12" s="1"/>
  <c r="N32" i="7"/>
  <c r="P45" i="12"/>
  <c r="E210" i="6"/>
  <c r="C210" i="6"/>
  <c r="N151" i="12"/>
  <c r="L61" i="12"/>
  <c r="M45" i="12"/>
  <c r="H191" i="5"/>
  <c r="H192" i="5" s="1"/>
  <c r="J37" i="5"/>
  <c r="K138" i="12"/>
  <c r="H135" i="12"/>
  <c r="J117" i="12"/>
  <c r="I122" i="12"/>
  <c r="K134" i="12"/>
  <c r="J48" i="12"/>
  <c r="H54" i="12"/>
  <c r="H45" i="12"/>
  <c r="I56" i="12"/>
  <c r="I47" i="12"/>
  <c r="I38" i="12"/>
  <c r="I30" i="12"/>
  <c r="I22" i="12"/>
  <c r="I14" i="12"/>
  <c r="H31" i="12"/>
  <c r="H23" i="12"/>
  <c r="H15" i="12"/>
  <c r="H7" i="12"/>
  <c r="H33" i="12"/>
  <c r="H17" i="12"/>
  <c r="H46" i="12"/>
  <c r="K18" i="12"/>
  <c r="K10" i="12"/>
  <c r="I57" i="12"/>
  <c r="I41" i="12"/>
  <c r="I25" i="12"/>
  <c r="K29" i="12"/>
  <c r="K21" i="12"/>
  <c r="K13" i="12"/>
  <c r="K7" i="3"/>
  <c r="I231" i="3"/>
  <c r="E9" i="5"/>
  <c r="F9" i="5" s="1"/>
  <c r="G9" i="5" s="1"/>
  <c r="E25" i="5"/>
  <c r="F25" i="5" s="1"/>
  <c r="G25" i="5" s="1"/>
  <c r="E41" i="5"/>
  <c r="F41" i="5" s="1"/>
  <c r="G41" i="5" s="1"/>
  <c r="E57" i="5"/>
  <c r="F57" i="5" s="1"/>
  <c r="G57" i="5" s="1"/>
  <c r="H7" i="3"/>
  <c r="F231" i="3"/>
  <c r="E18" i="3"/>
  <c r="E50" i="3"/>
  <c r="E82" i="3"/>
  <c r="E98" i="3"/>
  <c r="M51" i="5"/>
  <c r="J52" i="5"/>
  <c r="F53" i="5"/>
  <c r="G53" i="5" s="1"/>
  <c r="D191" i="5"/>
  <c r="D192" i="5" s="1"/>
  <c r="M55" i="5"/>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G209" i="11"/>
  <c r="M209" i="11"/>
  <c r="F94" i="8"/>
  <c r="F95" i="8" s="1"/>
  <c r="I94" i="8"/>
  <c r="S33" i="12"/>
  <c r="R85" i="12"/>
  <c r="E40" i="7"/>
  <c r="I40" i="7"/>
  <c r="I40" i="12" s="1"/>
  <c r="M40" i="7"/>
  <c r="B40" i="7"/>
  <c r="G40" i="7"/>
  <c r="L40" i="7"/>
  <c r="C40" i="7"/>
  <c r="H40" i="7"/>
  <c r="H40" i="12" s="1"/>
  <c r="N40" i="7"/>
  <c r="D40" i="7"/>
  <c r="J40" i="7"/>
  <c r="O40" i="7"/>
  <c r="F40" i="7"/>
  <c r="K40" i="7"/>
  <c r="J40" i="12" s="1"/>
  <c r="P37" i="12"/>
  <c r="Q64" i="12"/>
  <c r="D18" i="28"/>
  <c r="I210" i="6"/>
  <c r="H210" i="6"/>
  <c r="L37" i="12"/>
  <c r="R7" i="12"/>
  <c r="E140" i="7"/>
  <c r="I140" i="7"/>
  <c r="I140" i="12" s="1"/>
  <c r="M140" i="7"/>
  <c r="F140" i="7"/>
  <c r="K140" i="7"/>
  <c r="J140" i="12" s="1"/>
  <c r="B140" i="7"/>
  <c r="G140" i="7"/>
  <c r="L140" i="7"/>
  <c r="K140" i="12" s="1"/>
  <c r="D140" i="7"/>
  <c r="J140" i="7"/>
  <c r="O140" i="7"/>
  <c r="C140" i="7"/>
  <c r="H140" i="7"/>
  <c r="H140" i="12" s="1"/>
  <c r="N140" i="7"/>
  <c r="L7" i="5"/>
  <c r="M7" i="5" s="1"/>
  <c r="J135" i="12"/>
  <c r="I118" i="12"/>
  <c r="J138" i="12"/>
  <c r="I134" i="12"/>
  <c r="K127" i="12"/>
  <c r="J122" i="12"/>
  <c r="I116" i="12"/>
  <c r="I138" i="12"/>
  <c r="I129" i="12"/>
  <c r="H121" i="12"/>
  <c r="H113" i="12"/>
  <c r="J131" i="12"/>
  <c r="H127" i="12"/>
  <c r="K114" i="12"/>
  <c r="I127" i="12"/>
  <c r="H47" i="12"/>
  <c r="I113" i="12"/>
  <c r="K46" i="12"/>
  <c r="I54" i="12"/>
  <c r="J45" i="12"/>
  <c r="J27" i="12"/>
  <c r="J19" i="12"/>
  <c r="J11" i="12"/>
  <c r="I42" i="12"/>
  <c r="J29" i="12"/>
  <c r="J21" i="12"/>
  <c r="J13" i="12"/>
  <c r="K41" i="12"/>
  <c r="H29" i="12"/>
  <c r="H13" i="12"/>
  <c r="K45" i="12"/>
  <c r="I24" i="12"/>
  <c r="I16" i="12"/>
  <c r="I8" i="12"/>
  <c r="I53" i="12"/>
  <c r="I37" i="12"/>
  <c r="I21" i="12"/>
  <c r="I35" i="12"/>
  <c r="I27" i="12"/>
  <c r="I19" i="12"/>
  <c r="I11" i="12"/>
  <c r="E58" i="5"/>
  <c r="F58" i="5" s="1"/>
  <c r="K191" i="5"/>
  <c r="K192" i="5" s="1"/>
  <c r="E121" i="5"/>
  <c r="F121" i="5" s="1"/>
  <c r="G121" i="5" s="1"/>
  <c r="E125" i="5"/>
  <c r="F125" i="5" s="1"/>
  <c r="G125" i="5" s="1"/>
  <c r="E129" i="5"/>
  <c r="F129" i="5" s="1"/>
  <c r="G129" i="5" s="1"/>
  <c r="D8" i="28"/>
  <c r="M50" i="5"/>
  <c r="J51" i="5"/>
  <c r="F52" i="5"/>
  <c r="G52" i="5" s="1"/>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C17" i="28" l="1"/>
  <c r="I125" i="12"/>
  <c r="J188" i="12"/>
  <c r="J149" i="12"/>
  <c r="H149" i="12"/>
  <c r="K152" i="12"/>
  <c r="B18" i="28"/>
  <c r="H141" i="12"/>
  <c r="J169" i="12"/>
  <c r="I141" i="12"/>
  <c r="J162" i="12"/>
  <c r="K187" i="12"/>
  <c r="K130" i="12"/>
  <c r="H175" i="12"/>
  <c r="H49" i="12"/>
  <c r="K100" i="12"/>
  <c r="K90" i="12"/>
  <c r="J170" i="12"/>
  <c r="H171" i="12"/>
  <c r="J141" i="12"/>
  <c r="B17" i="28"/>
  <c r="K142" i="12"/>
  <c r="J86" i="12"/>
  <c r="I166" i="12"/>
  <c r="H129" i="12"/>
  <c r="H85" i="12"/>
  <c r="I131" i="12"/>
  <c r="J49" i="12"/>
  <c r="I55" i="12"/>
  <c r="K55" i="12"/>
  <c r="K38" i="12"/>
  <c r="I188" i="12"/>
  <c r="H170" i="12"/>
  <c r="J111" i="12"/>
  <c r="K111" i="12"/>
  <c r="I117" i="12"/>
  <c r="I51" i="12"/>
  <c r="H51" i="12"/>
  <c r="J88" i="12"/>
  <c r="J31" i="12"/>
  <c r="K141" i="12"/>
  <c r="H187" i="12"/>
  <c r="D16" i="28"/>
  <c r="D15" i="28"/>
  <c r="C15" i="28"/>
  <c r="D17" i="28"/>
  <c r="K125" i="12"/>
  <c r="H131" i="12"/>
  <c r="J38" i="12"/>
  <c r="K171" i="12"/>
  <c r="H111" i="12"/>
  <c r="H180" i="12"/>
  <c r="K88" i="12"/>
  <c r="J91" i="12"/>
  <c r="I158" i="12"/>
  <c r="H103" i="12"/>
  <c r="I39" i="12"/>
  <c r="I149" i="12"/>
  <c r="H125" i="12"/>
  <c r="K175" i="12"/>
  <c r="I126" i="12"/>
  <c r="J55" i="12"/>
  <c r="J100" i="12"/>
  <c r="J33" i="12"/>
  <c r="I86" i="12"/>
  <c r="J182" i="12"/>
  <c r="I170" i="12"/>
  <c r="I183" i="12"/>
  <c r="I111" i="12"/>
  <c r="K121" i="12"/>
  <c r="I189"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4" i="2"/>
  <c r="D234" i="2"/>
  <c r="K54" i="12"/>
  <c r="D7" i="28"/>
  <c r="J66" i="12"/>
  <c r="L191" i="5"/>
  <c r="L192" i="5" s="1"/>
  <c r="M192" i="5" s="1"/>
  <c r="H80" i="12"/>
  <c r="H75" i="12"/>
  <c r="O192" i="12"/>
  <c r="O193" i="12" s="1"/>
  <c r="M94" i="5"/>
  <c r="I212" i="10"/>
  <c r="J159" i="12"/>
  <c r="I167" i="12"/>
  <c r="J186" i="12"/>
  <c r="H39" i="12"/>
  <c r="I66" i="12"/>
  <c r="J39" i="12"/>
  <c r="L212" i="10"/>
  <c r="K66" i="12"/>
  <c r="J94" i="8"/>
  <c r="C103" i="8" s="1"/>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12" i="10"/>
  <c r="O212" i="10"/>
  <c r="E216" i="7"/>
  <c r="E217" i="7" s="1"/>
  <c r="B227" i="7" s="1"/>
  <c r="N225" i="2"/>
  <c r="O225" i="2" s="1"/>
  <c r="A103" i="8"/>
  <c r="C216" i="7"/>
  <c r="C217" i="7" s="1"/>
  <c r="M192" i="12"/>
  <c r="M193" i="12" s="1"/>
  <c r="N216" i="7"/>
  <c r="O216" i="7" s="1"/>
  <c r="O217" i="7" s="1"/>
  <c r="I216" i="7"/>
  <c r="I217" i="7" s="1"/>
  <c r="C228" i="7" s="1"/>
  <c r="L192" i="12"/>
  <c r="L193" i="12" s="1"/>
  <c r="F216" i="7"/>
  <c r="F217" i="7" s="1"/>
  <c r="C227" i="7" s="1"/>
  <c r="B216" i="7"/>
  <c r="B217" i="7" s="1"/>
  <c r="G58" i="5"/>
  <c r="F191" i="5"/>
  <c r="C218" i="6"/>
  <c r="J210" i="6"/>
  <c r="L216" i="7"/>
  <c r="D210" i="11"/>
  <c r="F210" i="11" s="1"/>
  <c r="F209" i="11"/>
  <c r="N192" i="5"/>
  <c r="P192" i="5" s="1"/>
  <c r="P191" i="5"/>
  <c r="K216" i="7"/>
  <c r="K217" i="7" s="1"/>
  <c r="B229" i="7" s="1"/>
  <c r="G210" i="6"/>
  <c r="C217" i="6"/>
  <c r="G95" i="8"/>
  <c r="H6" i="6"/>
  <c r="K6" i="6"/>
  <c r="I32" i="12"/>
  <c r="M210" i="11"/>
  <c r="O210" i="11" s="1"/>
  <c r="O209" i="11"/>
  <c r="H231" i="3"/>
  <c r="F232" i="3"/>
  <c r="H232" i="3" s="1"/>
  <c r="B217" i="6"/>
  <c r="G231" i="2"/>
  <c r="H216" i="7"/>
  <c r="H217" i="7" s="1"/>
  <c r="B228" i="7" s="1"/>
  <c r="J225" i="2"/>
  <c r="K225" i="2" s="1"/>
  <c r="D210" i="6" s="1"/>
  <c r="C219" i="6"/>
  <c r="M210" i="6"/>
  <c r="G94" i="8"/>
  <c r="B103" i="8"/>
  <c r="I95" i="8"/>
  <c r="J95" i="8" s="1"/>
  <c r="K231" i="3"/>
  <c r="I232" i="3"/>
  <c r="K232" i="3" s="1"/>
  <c r="J191" i="5"/>
  <c r="I192" i="5"/>
  <c r="J192" i="5" s="1"/>
  <c r="B6" i="8"/>
  <c r="K6" i="7"/>
  <c r="E6" i="7"/>
  <c r="H6" i="7"/>
  <c r="B218" i="6"/>
  <c r="G232" i="2"/>
  <c r="F232" i="2" s="1"/>
  <c r="I209" i="11"/>
  <c r="G210" i="11"/>
  <c r="I210" i="11" s="1"/>
  <c r="N192" i="12"/>
  <c r="N193" i="12" s="1"/>
  <c r="L209" i="11"/>
  <c r="J210" i="11"/>
  <c r="L210" i="11" s="1"/>
  <c r="B219" i="6"/>
  <c r="G233" i="2"/>
  <c r="F233" i="2" s="1"/>
  <c r="M191" i="5" l="1"/>
  <c r="J192" i="12"/>
  <c r="J193" i="12" s="1"/>
  <c r="H192" i="12"/>
  <c r="H193" i="12" s="1"/>
  <c r="K192" i="12"/>
  <c r="K193" i="12" s="1"/>
  <c r="I192" i="12"/>
  <c r="I193" i="12" s="1"/>
  <c r="N217" i="7"/>
  <c r="B230" i="7"/>
  <c r="D216" i="7"/>
  <c r="D217" i="7" s="1"/>
  <c r="G216" i="7"/>
  <c r="G217" i="7" s="1"/>
  <c r="B6" i="10"/>
  <c r="C6" i="8"/>
  <c r="E6" i="8"/>
  <c r="H6" i="8" s="1"/>
  <c r="G234" i="2"/>
  <c r="F231" i="2"/>
  <c r="F234" i="2" s="1"/>
  <c r="D227" i="7"/>
  <c r="J216" i="7"/>
  <c r="J217" i="7" s="1"/>
  <c r="G191" i="5"/>
  <c r="F192" i="5"/>
  <c r="G192" i="5" s="1"/>
  <c r="M216" i="7"/>
  <c r="M217" i="7" s="1"/>
  <c r="L217" i="7"/>
  <c r="C229" i="7" s="1"/>
  <c r="D229" i="7" s="1"/>
  <c r="H233" i="2" s="1"/>
  <c r="D217" i="6"/>
  <c r="H231" i="2" s="1"/>
  <c r="C220" i="6"/>
  <c r="D219" i="6"/>
  <c r="B220" i="6"/>
  <c r="D218" i="6"/>
  <c r="H232" i="2" s="1"/>
  <c r="D228" i="7"/>
  <c r="C230" i="7" l="1"/>
  <c r="D230" i="7" s="1"/>
  <c r="D220" i="6"/>
  <c r="H234"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6" background="1" saveData="1">
    <webPr consecutive="1" xl2000="1" url="https://myfno.com/api/stats?&amp;days=1d&amp;units=shares&amp;data=z,d,9,p,o,v,b,r,l,i,h,j,g,a,5,6,7,8,w,n,s,f,c,u,e,k,1,2,3,4,0,m" htmlFormat="all"/>
  </connection>
  <connection id="2" odcFile="C:\Users\Ambujkumar\Downloads\Expry Roll  (20).iqy" name="Expry Roll  (20)" type="4" refreshedVersion="4" background="1" saveData="1">
    <webPr consecutive="1" xl2000="1" url="https://myfno.com/api/stats?&amp;list=NIFTY_&amp;days=1d&amp;data=z,d,p,o,v,b,r,l,i,h,j,a,5,6,7,8,w,n,s,f,c,u,1,2,3,4,0,m" htmlTables="1" htmlFormat="all"/>
  </connection>
  <connection id="3" odcFile="C:\Users\Ambujkumar\Downloads\fii.iqy" name="fii" type="4" refreshedVersion="6" background="1" saveData="1">
    <webPr consecutive="1" xl2000="1" url="https://myfno.com/api/fii?&amp;days=1d" htmlTables="1" htmlFormat="all"/>
  </connection>
  <connection id="4" odcFile="C:\Users\Ambujkumar\Downloads\stats (2).iqy" name="stats (2)" type="4" refreshedVersion="6"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<sst xmlns="http://schemas.openxmlformats.org/spreadsheetml/2006/main" count="3356" uniqueCount="696">
  <si>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</si>
  <si>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</si>
  <si>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</si>
  <si>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</si>
  <si>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</si>
  <si>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</si>
  <si>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</si>
  <si>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</si>
  <si>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</si>
  <si>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</si>
  <si>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</si>
  <si>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</si>
  <si>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</si>
  <si>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</si>
  <si>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</si>
  <si>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</si>
  <si>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</si>
  <si>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</si>
  <si>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</si>
  <si>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</si>
  <si>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</si>
  <si>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</si>
  <si>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</si>
  <si>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</si>
  <si>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</si>
  <si>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</si>
  <si>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</si>
  <si>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</si>
  <si>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</si>
  <si>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</si>
  <si>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</si>
  <si>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</si>
  <si>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</si>
  <si>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</si>
  <si>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</si>
  <si>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</si>
  <si>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</si>
  <si>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</si>
  <si>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</si>
  <si>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</si>
  <si>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</si>
  <si>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</si>
  <si>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</si>
  <si>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</si>
  <si>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</si>
  <si>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</si>
  <si>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</si>
  <si>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</si>
  <si>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</si>
  <si>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</si>
  <si>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</si>
  <si>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</si>
  <si>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</si>
  <si>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</si>
  <si>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</si>
  <si>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</si>
  <si>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</si>
  <si>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</si>
  <si>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</si>
  <si>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</si>
  <si>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</si>
  <si>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</si>
  <si>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</si>
  <si>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</si>
  <si>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</si>
  <si>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</si>
  <si>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</si>
  <si>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</si>
  <si>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</si>
  <si>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</si>
  <si>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</si>
  <si>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</si>
  <si>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</si>
  <si>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</si>
  <si>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</si>
  <si>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</si>
  <si>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</si>
  <si>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</si>
  <si>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</si>
  <si>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</si>
  <si>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</si>
  <si>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</si>
  <si>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</si>
  <si>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</si>
  <si>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</si>
  <si>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</si>
  <si>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</si>
  <si>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</si>
  <si>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</si>
  <si>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</si>
  <si>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</si>
  <si>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</si>
  <si>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</si>
  <si>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</si>
  <si>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</si>
  <si>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</si>
  <si>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</si>
  <si>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</si>
  <si>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</si>
  <si>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</si>
  <si>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</si>
  <si>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</si>
  <si>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</si>
  <si>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</si>
  <si>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</si>
  <si>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</si>
  <si>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</si>
  <si>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</si>
  <si>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</si>
  <si>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</si>
  <si>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</si>
  <si>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</si>
  <si>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</si>
  <si>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</si>
  <si>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</si>
  <si>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</si>
  <si>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</si>
  <si>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</si>
  <si>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</si>
  <si>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</si>
  <si>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</si>
  <si>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</si>
  <si>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</si>
  <si>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</si>
  <si>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</si>
  <si>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</si>
  <si>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</si>
  <si>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</si>
  <si>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</si>
  <si>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</si>
  <si>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</si>
  <si>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</si>
  <si>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</si>
  <si>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</si>
  <si>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</si>
  <si>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</si>
  <si>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</si>
  <si>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</si>
  <si>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</si>
  <si>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</si>
  <si>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</si>
  <si>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</si>
  <si>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</si>
  <si>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</si>
  <si>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</si>
  <si>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</si>
  <si>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</si>
  <si>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</si>
  <si>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</si>
  <si>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</si>
  <si>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</si>
  <si>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</si>
  <si>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</si>
  <si>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</si>
  <si>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</si>
  <si>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</si>
  <si>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</si>
  <si>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</si>
  <si>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</si>
  <si>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</si>
  <si>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</si>
  <si>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</si>
  <si>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</si>
  <si>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</si>
  <si>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</si>
  <si>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</si>
  <si>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</si>
  <si>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</si>
  <si>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</si>
  <si>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</si>
  <si>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</si>
  <si>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</si>
  <si>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</si>
  <si>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</si>
  <si>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</si>
  <si>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</si>
  <si>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</si>
  <si>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</si>
  <si>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</si>
  <si>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</si>
  <si>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</si>
  <si>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</si>
  <si>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</si>
  <si>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</si>
  <si>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</si>
  <si>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</si>
  <si>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</si>
  <si>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</si>
  <si>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</si>
  <si>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</si>
  <si>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</si>
  <si>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</si>
  <si>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</si>
  <si>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</si>
  <si>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</si>
  <si>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</si>
  <si>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</si>
  <si>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</si>
  <si>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</si>
  <si>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</si>
  <si>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</si>
  <si>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</si>
  <si>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</si>
  <si>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</si>
  <si>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</si>
  <si>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</si>
  <si>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</si>
  <si>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</si>
  <si>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</si>
  <si>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</si>
  <si>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</si>
  <si>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</si>
  <si>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</si>
  <si>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</si>
  <si>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</si>
  <si>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</si>
  <si>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</si>
  <si>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</si>
  <si>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</si>
  <si>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</si>
  <si>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</si>
  <si>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</si>
  <si>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</si>
  <si>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</si>
  <si>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</si>
  <si>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</si>
  <si>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</si>
  <si>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</si>
  <si>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</si>
  <si>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</si>
  <si>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</si>
  <si>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</si>
  <si>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</si>
  <si>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</si>
  <si>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</si>
  <si>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</si>
  <si>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</si>
  <si>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</si>
  <si>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</si>
  <si>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</si>
  <si>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</si>
  <si>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</si>
  <si>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</si>
  <si>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</si>
  <si>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</si>
  <si>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</si>
  <si>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</si>
  <si>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</si>
  <si>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</si>
  <si>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</si>
  <si>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</si>
  <si>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</si>
  <si>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</si>
  <si>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</si>
  <si>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</si>
  <si>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</si>
  <si>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</si>
  <si>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</si>
  <si>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</si>
  <si>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</si>
  <si>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</si>
  <si>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</si>
  <si>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</si>
  <si>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</si>
  <si>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</si>
  <si>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</si>
  <si>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</si>
  <si>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</si>
  <si>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</si>
  <si>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</si>
  <si>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</si>
  <si>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</si>
  <si>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</si>
  <si>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</si>
  <si>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</si>
  <si>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</si>
  <si>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</si>
  <si>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</si>
  <si>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</si>
  <si>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</si>
  <si>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</si>
  <si>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</si>
  <si>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</si>
  <si>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</si>
  <si>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</si>
  <si>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</si>
  <si>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</si>
  <si>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</si>
  <si>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</si>
  <si>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</si>
  <si>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</si>
  <si>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</si>
  <si>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</si>
  <si>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</si>
  <si>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</si>
  <si>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</si>
  <si>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</si>
  <si>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</si>
  <si>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</si>
  <si>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</si>
  <si>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</si>
  <si>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</si>
  <si>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</si>
  <si>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</si>
  <si>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</si>
  <si>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</si>
  <si>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</si>
  <si>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</si>
  <si>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</si>
  <si>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</si>
  <si>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</si>
  <si>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</si>
  <si>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</si>
  <si>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</si>
  <si>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</si>
  <si>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</si>
  <si>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</si>
  <si>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</si>
  <si>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</si>
  <si>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</si>
  <si>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</si>
  <si>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</si>
  <si>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</si>
  <si>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</si>
  <si>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</si>
  <si>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</si>
  <si>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</si>
  <si>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</si>
  <si>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</si>
  <si>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</si>
  <si>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</si>
  <si>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</si>
  <si>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</si>
  <si>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</si>
  <si>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</si>
  <si>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</si>
  <si>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</si>
  <si>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</si>
  <si>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</si>
  <si>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</si>
  <si>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</si>
  <si>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</si>
  <si>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</si>
  <si>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</si>
  <si>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</si>
  <si>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</si>
  <si>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</si>
  <si>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</si>
  <si>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</si>
  <si>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</si>
  <si>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</si>
  <si>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</si>
  <si>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</si>
  <si>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</si>
  <si>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</si>
  <si>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</si>
  <si>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</si>
  <si>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</si>
  <si>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</si>
  <si>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</si>
  <si>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</si>
  <si>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</si>
  <si>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</si>
  <si>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</si>
  <si>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</si>
  <si>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</si>
  <si>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</si>
  <si>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</si>
  <si>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</si>
  <si>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</si>
  <si>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</si>
  <si>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</si>
  <si>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</si>
  <si>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</si>
  <si>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</si>
  <si>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</si>
  <si>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</si>
  <si>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</si>
  <si>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</si>
  <si>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</si>
  <si>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</si>
  <si>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</si>
  <si>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</si>
  <si>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</si>
  <si>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</si>
  <si>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</si>
  <si>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</si>
  <si>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</si>
  <si>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</si>
  <si>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</si>
  <si>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</si>
  <si>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</si>
  <si>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</si>
  <si>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</si>
  <si>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</si>
  <si>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</si>
  <si>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</si>
  <si>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</si>
  <si>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</si>
  <si>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</si>
  <si>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</si>
  <si>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</si>
  <si>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</si>
  <si>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</si>
  <si>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</si>
  <si>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</si>
  <si>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</si>
  <si>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</si>
  <si>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</si>
  <si>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</si>
  <si>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</si>
  <si>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</si>
  <si>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</si>
  <si>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</si>
  <si>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</si>
  <si>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</si>
  <si>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</si>
  <si>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</si>
  <si>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</si>
  <si>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</si>
  <si>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</si>
  <si>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</si>
  <si>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</si>
  <si>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</si>
  <si>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</si>
  <si>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</si>
  <si>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</si>
  <si>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</si>
  <si>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</si>
  <si>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</si>
  <si>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</si>
  <si>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</si>
  <si>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</si>
  <si>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</si>
  <si>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</si>
  <si>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</si>
  <si>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</si>
  <si>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</si>
  <si>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</si>
  <si>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</si>
  <si>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</si>
  <si>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</si>
  <si>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</si>
  <si>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</si>
  <si>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</si>
  <si>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</si>
  <si>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</si>
  <si>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</si>
  <si>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</si>
  <si>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</si>
  <si>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</si>
  <si>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</si>
  <si>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</si>
  <si>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</si>
  <si>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</si>
  <si>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</si>
  <si>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</si>
  <si>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</si>
  <si>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</si>
  <si>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</si>
  <si>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</si>
  <si>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</si>
  <si>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</si>
  <si>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</si>
  <si>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</si>
  <si>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</si>
  <si>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</si>
  <si>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</si>
  <si>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</si>
  <si>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</si>
  <si>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</si>
  <si>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</si>
  <si>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</si>
  <si>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</si>
  <si>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</si>
  <si>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</si>
  <si>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</si>
  <si>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</si>
  <si>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</si>
  <si>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</si>
  <si>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</si>
  <si>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</si>
  <si>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</si>
  <si>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</si>
  <si>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</si>
  <si>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</si>
  <si>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</si>
  <si>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</si>
  <si>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</si>
  <si>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</si>
  <si>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</si>
  <si>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</si>
  <si>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</si>
  <si>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</si>
  <si>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</si>
  <si>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</si>
  <si>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</si>
  <si>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</si>
  <si>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</si>
  <si>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</si>
  <si>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</si>
  <si>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</si>
  <si>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</si>
  <si>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</si>
  <si>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</si>
  <si>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</si>
  <si>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</si>
  <si>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</si>
  <si>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</si>
  <si>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</si>
  <si>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</si>
  <si>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</si>
  <si>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</si>
  <si>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</si>
  <si>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</si>
  <si>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</si>
  <si>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</si>
  <si>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</si>
  <si>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</si>
  <si>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</si>
  <si>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</si>
  <si>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</si>
  <si>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</si>
  <si>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</si>
  <si>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</si>
  <si>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</si>
  <si>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</si>
  <si>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</si>
  <si>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</si>
  <si>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</si>
  <si>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</si>
  <si>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</si>
  <si>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</si>
  <si>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</si>
  <si>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</si>
  <si>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</si>
  <si>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</si>
  <si>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</si>
  <si>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</si>
  <si>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</si>
  <si>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</si>
  <si>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</si>
  <si>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</si>
  <si>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</si>
  <si>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</si>
  <si>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</si>
  <si>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</si>
  <si>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</si>
  <si>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</si>
  <si>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</si>
  <si>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</si>
  <si>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</si>
  <si>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</si>
  <si>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</si>
  <si>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</si>
  <si>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</si>
  <si>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</si>
  <si>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</si>
  <si>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</si>
  <si>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</si>
  <si>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</si>
  <si>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</si>
  <si>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</si>
  <si>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</si>
  <si>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</si>
  <si>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</si>
  <si>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</si>
  <si>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</si>
  <si>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</si>
  <si>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</si>
  <si>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</si>
  <si>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</si>
  <si>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</si>
  <si>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</si>
  <si>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</si>
  <si>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</si>
  <si>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</si>
  <si>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</si>
  <si>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</si>
  <si>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</si>
  <si>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</si>
  <si>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</si>
  <si>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</si>
  <si>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</si>
  <si>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</si>
  <si>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</si>
  <si>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</si>
  <si>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</si>
  <si>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</si>
  <si>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</si>
  <si>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</si>
  <si>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</si>
  <si>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</si>
  <si>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</si>
  <si>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</si>
  <si>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</si>
  <si>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</si>
  <si>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</si>
  <si>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</si>
  <si>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</si>
  <si>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</si>
  <si>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</si>
  <si>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</si>
  <si>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</si>
  <si>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</si>
  <si>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</si>
  <si>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</si>
  <si>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</si>
  <si>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</si>
  <si>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</si>
  <si>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</si>
  <si>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</si>
  <si>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</si>
  <si>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</si>
  <si>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</si>
  <si>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</si>
  <si>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</si>
  <si>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</si>
  <si>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</si>
  <si>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</si>
  <si>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</si>
  <si>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</si>
  <si>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</si>
  <si>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</si>
  <si>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</si>
  <si>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</si>
  <si>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</si>
  <si>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</si>
  <si>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</si>
  <si>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</si>
  <si>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</si>
  <si>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</si>
  <si>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</si>
  <si>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</si>
  <si>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</si>
  <si>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</si>
  <si>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</si>
  <si>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</si>
  <si>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</si>
  <si>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</si>
  <si>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</si>
  <si>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</si>
  <si>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</si>
  <si>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</si>
  <si>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</si>
  <si>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</si>
  <si>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</si>
  <si>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</si>
  <si>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</si>
  <si>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</si>
  <si>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</si>
  <si>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</si>
  <si>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</si>
  <si>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</si>
  <si>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</si>
  <si>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</si>
  <si>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</si>
  <si>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</si>
  <si>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</si>
  <si>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</si>
  <si>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</si>
  <si>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</si>
  <si>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</si>
  <si>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TATATECH</t>
  </si>
  <si>
    <t>IREDA</t>
  </si>
  <si>
    <t>PATANJALI</t>
  </si>
  <si>
    <t>IIFL</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</si>
  <si>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</si>
  <si>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</si>
  <si>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</si>
  <si>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</si>
  <si>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</si>
  <si>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</si>
  <si>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</si>
  <si>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</si>
  <si>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</si>
  <si>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</si>
  <si>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</si>
  <si>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</si>
  <si>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</si>
  <si>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</si>
  <si>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</si>
  <si>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</si>
  <si>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</si>
  <si>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</si>
  <si>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</si>
  <si>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</si>
  <si>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</si>
  <si>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</si>
  <si>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</si>
  <si>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PREMIERENE</t>
  </si>
  <si>
    <t>BAJAJHLDNG</t>
  </si>
  <si>
    <t>WAAREEENER</t>
  </si>
  <si>
    <t>SWIGGY</t>
  </si>
  <si>
    <t>Others</t>
  </si>
  <si>
    <t>F&amp;O Market Trading Kit for 2 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</si>
</sst>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1">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3" fontId="4" fillId="38" borderId="1" xfId="0" applyNumberFormat="1" applyFont="1" applyFill="1" applyBorder="1" applyAlignment="1" applyProtection="1">
      <alignment horizontal="left" vertical="center"/>
    </xf>
    <xf numFmtId="3" fontId="9"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5"/>
  <sheetViews>
    <sheetView tabSelected="1" zoomScale="85" zoomScaleNormal="85" workbookViewId="0">
      <pane ySplit="10" topLeftCell="A227" activePane="bottomLeft" state="frozen"/>
      <selection pane="bottomLeft" activeCell="K242" sqref="K242"/>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33" t="s">
        <v>695</v>
      </c>
      <c r="B6" s="234"/>
      <c r="C6" s="234"/>
      <c r="D6" s="234"/>
      <c r="E6" s="234"/>
      <c r="F6" s="234"/>
      <c r="G6" s="234"/>
      <c r="H6" s="234"/>
      <c r="I6" s="234"/>
      <c r="J6" s="234"/>
      <c r="K6" s="234"/>
      <c r="L6" s="234"/>
      <c r="M6" s="234"/>
      <c r="N6" s="234"/>
      <c r="O6" s="234"/>
      <c r="P6" s="234"/>
      <c r="Q6" s="234"/>
      <c r="R6" s="234"/>
      <c r="S6" s="235"/>
    </row>
    <row r="7" spans="1:19" x14ac:dyDescent="0.25">
      <c r="A7" s="236"/>
      <c r="B7" s="237"/>
      <c r="C7" s="237"/>
      <c r="D7" s="237"/>
      <c r="E7" s="237"/>
      <c r="F7" s="237"/>
      <c r="G7" s="237"/>
      <c r="H7" s="237"/>
      <c r="I7" s="237"/>
      <c r="J7" s="237"/>
      <c r="K7" s="237"/>
      <c r="L7" s="237"/>
      <c r="M7" s="237"/>
      <c r="N7" s="237"/>
      <c r="O7" s="237"/>
      <c r="P7" s="237"/>
      <c r="Q7" s="237"/>
      <c r="R7" s="237"/>
      <c r="S7" s="238"/>
    </row>
    <row r="8" spans="1:19" s="64" customFormat="1" ht="15" customHeight="1" x14ac:dyDescent="0.25">
      <c r="A8" s="239"/>
      <c r="B8" s="2"/>
      <c r="C8" s="241" t="s">
        <v>308</v>
      </c>
      <c r="D8" s="242"/>
      <c r="E8" s="242"/>
      <c r="F8" s="242"/>
      <c r="G8" s="243"/>
      <c r="H8" s="241" t="s">
        <v>309</v>
      </c>
      <c r="I8" s="242"/>
      <c r="J8" s="242"/>
      <c r="K8" s="243"/>
      <c r="L8" s="244" t="s">
        <v>310</v>
      </c>
      <c r="M8" s="245"/>
      <c r="N8" s="245"/>
      <c r="O8" s="246"/>
      <c r="P8" s="241" t="s">
        <v>311</v>
      </c>
      <c r="Q8" s="242"/>
      <c r="R8" s="242"/>
      <c r="S8" s="243"/>
    </row>
    <row r="9" spans="1:19" s="64" customFormat="1" x14ac:dyDescent="0.25">
      <c r="A9" s="240"/>
      <c r="B9" s="2"/>
      <c r="C9" s="2" t="s">
        <v>312</v>
      </c>
      <c r="D9" s="241" t="s">
        <v>313</v>
      </c>
      <c r="E9" s="242"/>
      <c r="F9" s="242"/>
      <c r="G9" s="243"/>
      <c r="H9" s="241" t="s">
        <v>314</v>
      </c>
      <c r="I9" s="242"/>
      <c r="J9" s="242"/>
      <c r="K9" s="243"/>
      <c r="L9" s="241" t="s">
        <v>315</v>
      </c>
      <c r="M9" s="242"/>
      <c r="N9" s="242"/>
      <c r="O9" s="243"/>
      <c r="P9" s="241" t="s">
        <v>316</v>
      </c>
      <c r="Q9" s="243"/>
      <c r="R9" s="241" t="s">
        <v>317</v>
      </c>
      <c r="S9" s="243"/>
    </row>
    <row r="10" spans="1:19" s="67" customFormat="1" ht="27" customHeight="1" x14ac:dyDescent="0.25">
      <c r="A10" s="65" t="s">
        <v>318</v>
      </c>
      <c r="B10" s="65" t="s">
        <v>319</v>
      </c>
      <c r="C10" s="66">
        <f>'Data Vlaue (Cr)'!A2</f>
        <v>46023</v>
      </c>
      <c r="D10" s="66">
        <f>'Data Vlaue (Cr)'!A2</f>
        <v>46023</v>
      </c>
      <c r="E10" s="65" t="s">
        <v>322</v>
      </c>
      <c r="F10" s="65" t="s">
        <v>320</v>
      </c>
      <c r="G10" s="65" t="s">
        <v>321</v>
      </c>
      <c r="H10" s="66">
        <f>D10</f>
        <v>46023</v>
      </c>
      <c r="I10" s="65" t="s">
        <v>322</v>
      </c>
      <c r="J10" s="65" t="s">
        <v>323</v>
      </c>
      <c r="K10" s="65" t="s">
        <v>324</v>
      </c>
      <c r="L10" s="66">
        <f>D10</f>
        <v>46023</v>
      </c>
      <c r="M10" s="65" t="s">
        <v>322</v>
      </c>
      <c r="N10" s="65" t="s">
        <v>323</v>
      </c>
      <c r="O10" s="65" t="s">
        <v>324</v>
      </c>
      <c r="P10" s="66">
        <f>D10</f>
        <v>46023</v>
      </c>
      <c r="Q10" s="65" t="s">
        <v>324</v>
      </c>
      <c r="R10" s="66">
        <f>D10</f>
        <v>46023</v>
      </c>
      <c r="S10" s="65" t="s">
        <v>324</v>
      </c>
    </row>
    <row r="11" spans="1:19" x14ac:dyDescent="0.25">
      <c r="A11" s="96" t="str">
        <f>'Data Vlaue (Cr)'!C2</f>
        <v>360ONE</v>
      </c>
      <c r="B11" s="75">
        <f>VLOOKUP($A11,'Data Vlaue (Cr)'!$C:$FB,2)</f>
        <v>500</v>
      </c>
      <c r="C11" s="75">
        <f>VLOOKUP($A11,'Data Vlaue (Cr)'!$C:$FB,8)</f>
        <v>1179.7</v>
      </c>
      <c r="D11" s="75">
        <f>VLOOKUP($A11,'Data Vlaue (Cr)'!$C:$FB,4)</f>
        <v>1182.5</v>
      </c>
      <c r="E11" s="75">
        <f>VLOOKUP($A11,'Data Vlaue (Cr)'!$C:$FB,5)</f>
        <v>1186.9000000000001</v>
      </c>
      <c r="F11" s="75">
        <f>D11-C11</f>
        <v>2.7999999999999545</v>
      </c>
      <c r="G11" s="75">
        <f>(D11-E11)/D11*100</f>
        <v>-0.37209302325582166</v>
      </c>
      <c r="H11" s="75">
        <f>VLOOKUP($A11,'Data Vlaue (Cr)'!$C:$FB,99)</f>
        <v>346</v>
      </c>
      <c r="I11" s="75">
        <f>VLOOKUP($A11,'Data Vlaue (Cr)'!$C:$FB,100)</f>
        <v>339</v>
      </c>
      <c r="J11" s="75">
        <f>H11-I11</f>
        <v>7</v>
      </c>
      <c r="K11" s="75">
        <f>J11/H11*100</f>
        <v>2.0231213872832372</v>
      </c>
      <c r="L11" s="75">
        <f>VLOOKUP($A11,'Data Vlaue (Cr)'!$C:$FB,67)</f>
        <v>53</v>
      </c>
      <c r="M11" s="75">
        <f>VLOOKUP($A11,'Data Vlaue (Cr)'!$C:$FB,68)</f>
        <v>149</v>
      </c>
      <c r="N11" s="75">
        <f>L11-M11</f>
        <v>-96</v>
      </c>
      <c r="O11" s="75">
        <f>N11/L11*100</f>
        <v>-181.13207547169813</v>
      </c>
      <c r="P11" s="75">
        <f>VLOOKUP($A11,'Data Vlaue (Cr)'!$C:$FB,119)</f>
        <v>0.41</v>
      </c>
      <c r="Q11" s="75">
        <f>VLOOKUP($A11,'Data Vlaue (Cr)'!$C:$FB,122)*100</f>
        <v>-2.3800000000000003</v>
      </c>
      <c r="R11" s="75">
        <f>VLOOKUP($A11,'Data Vlaue (Cr)'!$C:$FB,125)</f>
        <v>0.17</v>
      </c>
      <c r="S11" s="75">
        <f>VLOOKUP($A11,'Data Vlaue (Cr)'!$C:$FB,128)*100</f>
        <v>13.33</v>
      </c>
    </row>
    <row r="12" spans="1:19" x14ac:dyDescent="0.25">
      <c r="A12" s="96" t="str">
        <f>'Data Vlaue (Cr)'!C3</f>
        <v>ABB</v>
      </c>
      <c r="B12" s="75">
        <f>VLOOKUP($A12,'Data Vlaue (Cr)'!$C:$FB,2)</f>
        <v>125</v>
      </c>
      <c r="C12" s="75">
        <f>VLOOKUP($A12,'Data Vlaue (Cr)'!$C:$FB,8)</f>
        <v>5176.5</v>
      </c>
      <c r="D12" s="75">
        <f>VLOOKUP($A12,'Data Vlaue (Cr)'!$C:$FB,4)</f>
        <v>5209</v>
      </c>
      <c r="E12" s="75">
        <f>VLOOKUP($A12,'Data Vlaue (Cr)'!$C:$FB,5)</f>
        <v>5204</v>
      </c>
      <c r="F12" s="75">
        <f t="shared" ref="F12:F75" si="0">D12-C12</f>
        <v>32.5</v>
      </c>
      <c r="G12" s="75">
        <f t="shared" ref="G12:G74" si="1">(D12-E12)/D12*100</f>
        <v>9.5987713572662697E-2</v>
      </c>
      <c r="H12" s="75">
        <f>VLOOKUP($A12,'Data Vlaue (Cr)'!$C:$FB,99)</f>
        <v>1593</v>
      </c>
      <c r="I12" s="75">
        <f>VLOOKUP($A12,'Data Vlaue (Cr)'!$C:$FB,100)</f>
        <v>1573</v>
      </c>
      <c r="J12" s="75">
        <f t="shared" ref="J12:J75" si="2">H12-I12</f>
        <v>20</v>
      </c>
      <c r="K12" s="75">
        <f t="shared" ref="K12:K75" si="3">J12/H12*100</f>
        <v>1.2554927809165097</v>
      </c>
      <c r="L12" s="75">
        <f>VLOOKUP($A12,'Data Vlaue (Cr)'!$C:$FB,67)</f>
        <v>240</v>
      </c>
      <c r="M12" s="75">
        <f>VLOOKUP($A12,'Data Vlaue (Cr)'!$C:$FB,68)</f>
        <v>372</v>
      </c>
      <c r="N12" s="75">
        <f t="shared" ref="N12:N75" si="4">L12-M12</f>
        <v>-132</v>
      </c>
      <c r="O12" s="75">
        <f t="shared" ref="O12:O75" si="5">N12/L12*100</f>
        <v>-55.000000000000007</v>
      </c>
      <c r="P12" s="75">
        <f>VLOOKUP($A12,'Data Vlaue (Cr)'!$C:$FB,119)</f>
        <v>1.06</v>
      </c>
      <c r="Q12" s="75">
        <f>VLOOKUP($A12,'Data Vlaue (Cr)'!$C:$FB,122)*100</f>
        <v>-2.75</v>
      </c>
      <c r="R12" s="75">
        <f>VLOOKUP($A12,'Data Vlaue (Cr)'!$C:$FB,125)</f>
        <v>0.35</v>
      </c>
      <c r="S12" s="75">
        <f>VLOOKUP($A12,'Data Vlaue (Cr)'!$C:$FB,128)*100</f>
        <v>-35.19</v>
      </c>
    </row>
    <row r="13" spans="1:19" x14ac:dyDescent="0.25">
      <c r="A13" s="96" t="str">
        <f>'Data Vlaue (Cr)'!C4</f>
        <v>ABCAPITAL</v>
      </c>
      <c r="B13" s="75">
        <f>VLOOKUP($A13,'Data Vlaue (Cr)'!$C:$FB,2)</f>
        <v>3100</v>
      </c>
      <c r="C13" s="75">
        <f>VLOOKUP($A13,'Data Vlaue (Cr)'!$C:$FB,8)</f>
        <v>361.95</v>
      </c>
      <c r="D13" s="75">
        <f>VLOOKUP($A13,'Data Vlaue (Cr)'!$C:$FB,4)</f>
        <v>364.4</v>
      </c>
      <c r="E13" s="75">
        <f>VLOOKUP($A13,'Data Vlaue (Cr)'!$C:$FB,5)</f>
        <v>360</v>
      </c>
      <c r="F13" s="75">
        <f t="shared" si="0"/>
        <v>2.4499999999999886</v>
      </c>
      <c r="G13" s="75">
        <f t="shared" si="1"/>
        <v>1.2074643249176666</v>
      </c>
      <c r="H13" s="75">
        <f>VLOOKUP($A13,'Data Vlaue (Cr)'!$C:$FB,99)</f>
        <v>3889</v>
      </c>
      <c r="I13" s="75">
        <f>VLOOKUP($A13,'Data Vlaue (Cr)'!$C:$FB,100)</f>
        <v>3635</v>
      </c>
      <c r="J13" s="75">
        <f t="shared" si="2"/>
        <v>254</v>
      </c>
      <c r="K13" s="75">
        <f t="shared" si="3"/>
        <v>6.5312419645152993</v>
      </c>
      <c r="L13" s="75">
        <f>VLOOKUP($A13,'Data Vlaue (Cr)'!$C:$FB,67)</f>
        <v>2378</v>
      </c>
      <c r="M13" s="75">
        <f>VLOOKUP($A13,'Data Vlaue (Cr)'!$C:$FB,68)</f>
        <v>2531</v>
      </c>
      <c r="N13" s="75">
        <f t="shared" si="4"/>
        <v>-153</v>
      </c>
      <c r="O13" s="75">
        <f t="shared" si="5"/>
        <v>-6.4339781328847767</v>
      </c>
      <c r="P13" s="75">
        <f>VLOOKUP($A13,'Data Vlaue (Cr)'!$C:$FB,119)</f>
        <v>0.55000000000000004</v>
      </c>
      <c r="Q13" s="75">
        <f>VLOOKUP($A13,'Data Vlaue (Cr)'!$C:$FB,122)*100</f>
        <v>-9.84</v>
      </c>
      <c r="R13" s="75">
        <f>VLOOKUP($A13,'Data Vlaue (Cr)'!$C:$FB,125)</f>
        <v>0.3</v>
      </c>
      <c r="S13" s="75">
        <f>VLOOKUP($A13,'Data Vlaue (Cr)'!$C:$FB,128)*100</f>
        <v>-31.819999999999997</v>
      </c>
    </row>
    <row r="14" spans="1:19" x14ac:dyDescent="0.25">
      <c r="A14" s="96" t="str">
        <f>'Data Vlaue (Cr)'!C5</f>
        <v>ADANIENSOL</v>
      </c>
      <c r="B14" s="75">
        <f>VLOOKUP($A14,'Data Vlaue (Cr)'!$C:$FB,2)</f>
        <v>675</v>
      </c>
      <c r="C14" s="75">
        <f>VLOOKUP($A14,'Data Vlaue (Cr)'!$C:$FB,8)</f>
        <v>1046.4000000000001</v>
      </c>
      <c r="D14" s="75">
        <f>VLOOKUP($A14,'Data Vlaue (Cr)'!$C:$FB,4)</f>
        <v>1053.5</v>
      </c>
      <c r="E14" s="75">
        <f>VLOOKUP($A14,'Data Vlaue (Cr)'!$C:$FB,5)</f>
        <v>1030.95</v>
      </c>
      <c r="F14" s="75">
        <f t="shared" si="0"/>
        <v>7.0999999999999091</v>
      </c>
      <c r="G14" s="75">
        <f t="shared" si="1"/>
        <v>2.1404841006169866</v>
      </c>
      <c r="H14" s="75">
        <f>VLOOKUP($A14,'Data Vlaue (Cr)'!$C:$FB,99)</f>
        <v>2347</v>
      </c>
      <c r="I14" s="75">
        <f>VLOOKUP($A14,'Data Vlaue (Cr)'!$C:$FB,100)</f>
        <v>2145</v>
      </c>
      <c r="J14" s="75">
        <f t="shared" si="2"/>
        <v>202</v>
      </c>
      <c r="K14" s="75">
        <f t="shared" si="3"/>
        <v>8.6067319982956967</v>
      </c>
      <c r="L14" s="75">
        <f>VLOOKUP($A14,'Data Vlaue (Cr)'!$C:$FB,67)</f>
        <v>2559</v>
      </c>
      <c r="M14" s="75">
        <f>VLOOKUP($A14,'Data Vlaue (Cr)'!$C:$FB,68)</f>
        <v>494</v>
      </c>
      <c r="N14" s="75">
        <f t="shared" si="4"/>
        <v>2065</v>
      </c>
      <c r="O14" s="75">
        <f>N14/L14*100</f>
        <v>80.695584212583043</v>
      </c>
      <c r="P14" s="75">
        <f>VLOOKUP($A14,'Data Vlaue (Cr)'!$C:$FB,119)</f>
        <v>0.54</v>
      </c>
      <c r="Q14" s="75">
        <f>VLOOKUP($A14,'Data Vlaue (Cr)'!$C:$FB,122)*100</f>
        <v>-10</v>
      </c>
      <c r="R14" s="75">
        <f>VLOOKUP($A14,'Data Vlaue (Cr)'!$C:$FB,125)</f>
        <v>0.23</v>
      </c>
      <c r="S14" s="75">
        <f>VLOOKUP($A14,'Data Vlaue (Cr)'!$C:$FB,128)*100</f>
        <v>-42.5</v>
      </c>
    </row>
    <row r="15" spans="1:19" x14ac:dyDescent="0.25">
      <c r="A15" s="96" t="str">
        <f>'Data Vlaue (Cr)'!C6</f>
        <v>ADANIENT</v>
      </c>
      <c r="B15" s="75">
        <f>VLOOKUP($A15,'Data Vlaue (Cr)'!$C:$FB,2)</f>
        <v>309</v>
      </c>
      <c r="C15" s="75">
        <f>VLOOKUP($A15,'Data Vlaue (Cr)'!$C:$FB,8)</f>
        <v>2260</v>
      </c>
      <c r="D15" s="75">
        <f>VLOOKUP($A15,'Data Vlaue (Cr)'!$C:$FB,4)</f>
        <v>2271.9</v>
      </c>
      <c r="E15" s="75">
        <f>VLOOKUP($A15,'Data Vlaue (Cr)'!$C:$FB,5)</f>
        <v>2249.3000000000002</v>
      </c>
      <c r="F15" s="75">
        <f t="shared" si="0"/>
        <v>11.900000000000091</v>
      </c>
      <c r="G15" s="75">
        <f t="shared" si="1"/>
        <v>0.99476209340199417</v>
      </c>
      <c r="H15" s="75">
        <f>VLOOKUP($A15,'Data Vlaue (Cr)'!$C:$FB,99)</f>
        <v>7510</v>
      </c>
      <c r="I15" s="75">
        <f>VLOOKUP($A15,'Data Vlaue (Cr)'!$C:$FB,100)</f>
        <v>7323</v>
      </c>
      <c r="J15" s="75">
        <f t="shared" si="2"/>
        <v>187</v>
      </c>
      <c r="K15" s="75">
        <f t="shared" si="3"/>
        <v>2.4900133155792274</v>
      </c>
      <c r="L15" s="75">
        <f>VLOOKUP($A15,'Data Vlaue (Cr)'!$C:$FB,67)</f>
        <v>3928</v>
      </c>
      <c r="M15" s="75">
        <f>VLOOKUP($A15,'Data Vlaue (Cr)'!$C:$FB,68)</f>
        <v>2275</v>
      </c>
      <c r="N15" s="75">
        <f t="shared" si="4"/>
        <v>1653</v>
      </c>
      <c r="O15" s="75">
        <f t="shared" si="5"/>
        <v>42.082484725050918</v>
      </c>
      <c r="P15" s="75">
        <f>VLOOKUP($A15,'Data Vlaue (Cr)'!$C:$FB,119)</f>
        <v>0.88</v>
      </c>
      <c r="Q15" s="75">
        <f>VLOOKUP($A15,'Data Vlaue (Cr)'!$C:$FB,122)*100</f>
        <v>-7.37</v>
      </c>
      <c r="R15" s="75">
        <f>VLOOKUP($A15,'Data Vlaue (Cr)'!$C:$FB,125)</f>
        <v>0.3</v>
      </c>
      <c r="S15" s="75">
        <f>VLOOKUP($A15,'Data Vlaue (Cr)'!$C:$FB,128)*100</f>
        <v>-42.309999999999995</v>
      </c>
    </row>
    <row r="16" spans="1:19" x14ac:dyDescent="0.25">
      <c r="A16" s="96" t="str">
        <f>'Data Vlaue (Cr)'!C7</f>
        <v>ADANIGREEN</v>
      </c>
      <c r="B16" s="75">
        <f>VLOOKUP($A16,'Data Vlaue (Cr)'!$C:$FB,2)</f>
        <v>600</v>
      </c>
      <c r="C16" s="75">
        <f>VLOOKUP($A16,'Data Vlaue (Cr)'!$C:$FB,8)</f>
        <v>1025.9000000000001</v>
      </c>
      <c r="D16" s="75">
        <f>VLOOKUP($A16,'Data Vlaue (Cr)'!$C:$FB,4)</f>
        <v>1032.8</v>
      </c>
      <c r="E16" s="75">
        <f>VLOOKUP($A16,'Data Vlaue (Cr)'!$C:$FB,5)</f>
        <v>1021.6</v>
      </c>
      <c r="F16" s="75">
        <f t="shared" si="0"/>
        <v>6.8999999999998636</v>
      </c>
      <c r="G16" s="75">
        <f t="shared" si="1"/>
        <v>1.084430673896198</v>
      </c>
      <c r="H16" s="75">
        <f>VLOOKUP($A16,'Data Vlaue (Cr)'!$C:$FB,99)</f>
        <v>3555</v>
      </c>
      <c r="I16" s="75">
        <f>VLOOKUP($A16,'Data Vlaue (Cr)'!$C:$FB,100)</f>
        <v>3312</v>
      </c>
      <c r="J16" s="75">
        <f t="shared" si="2"/>
        <v>243</v>
      </c>
      <c r="K16" s="75">
        <f t="shared" si="3"/>
        <v>6.8354430379746836</v>
      </c>
      <c r="L16" s="75">
        <f>VLOOKUP($A16,'Data Vlaue (Cr)'!$C:$FB,67)</f>
        <v>2317</v>
      </c>
      <c r="M16" s="75">
        <f>VLOOKUP($A16,'Data Vlaue (Cr)'!$C:$FB,68)</f>
        <v>611</v>
      </c>
      <c r="N16" s="75">
        <f t="shared" si="4"/>
        <v>1706</v>
      </c>
      <c r="O16" s="75">
        <f t="shared" si="5"/>
        <v>73.6296935692706</v>
      </c>
      <c r="P16" s="75">
        <f>VLOOKUP($A16,'Data Vlaue (Cr)'!$C:$FB,119)</f>
        <v>0.59</v>
      </c>
      <c r="Q16" s="75">
        <f>VLOOKUP($A16,'Data Vlaue (Cr)'!$C:$FB,122)*100</f>
        <v>-13.239999999999998</v>
      </c>
      <c r="R16" s="75">
        <f>VLOOKUP($A16,'Data Vlaue (Cr)'!$C:$FB,125)</f>
        <v>0.18</v>
      </c>
      <c r="S16" s="75">
        <f>VLOOKUP($A16,'Data Vlaue (Cr)'!$C:$FB,128)*100</f>
        <v>-58.14</v>
      </c>
    </row>
    <row r="17" spans="1:19" x14ac:dyDescent="0.25">
      <c r="A17" s="96" t="str">
        <f>'Data Vlaue (Cr)'!C8</f>
        <v>ADANIPORTS</v>
      </c>
      <c r="B17" s="75">
        <f>VLOOKUP($A17,'Data Vlaue (Cr)'!$C:$FB,2)</f>
        <v>475</v>
      </c>
      <c r="C17" s="75">
        <f>VLOOKUP($A17,'Data Vlaue (Cr)'!$C:$FB,8)</f>
        <v>1481.1</v>
      </c>
      <c r="D17" s="75">
        <f>VLOOKUP($A17,'Data Vlaue (Cr)'!$C:$FB,4)</f>
        <v>1488.5</v>
      </c>
      <c r="E17" s="75">
        <f>VLOOKUP($A17,'Data Vlaue (Cr)'!$C:$FB,5)</f>
        <v>1478.6</v>
      </c>
      <c r="F17" s="75">
        <f t="shared" si="0"/>
        <v>7.4000000000000909</v>
      </c>
      <c r="G17" s="75">
        <f t="shared" si="1"/>
        <v>0.66509909304669745</v>
      </c>
      <c r="H17" s="75">
        <f>VLOOKUP($A17,'Data Vlaue (Cr)'!$C:$FB,99)</f>
        <v>5080</v>
      </c>
      <c r="I17" s="75">
        <f>VLOOKUP($A17,'Data Vlaue (Cr)'!$C:$FB,100)</f>
        <v>4968</v>
      </c>
      <c r="J17" s="75">
        <f t="shared" si="2"/>
        <v>112</v>
      </c>
      <c r="K17" s="75">
        <f t="shared" si="3"/>
        <v>2.204724409448819</v>
      </c>
      <c r="L17" s="75">
        <f>VLOOKUP($A17,'Data Vlaue (Cr)'!$C:$FB,67)</f>
        <v>1774</v>
      </c>
      <c r="M17" s="75">
        <f>VLOOKUP($A17,'Data Vlaue (Cr)'!$C:$FB,68)</f>
        <v>1603</v>
      </c>
      <c r="N17" s="75">
        <f t="shared" si="4"/>
        <v>171</v>
      </c>
      <c r="O17" s="75">
        <f t="shared" si="5"/>
        <v>9.6392333709131908</v>
      </c>
      <c r="P17" s="75">
        <f>VLOOKUP($A17,'Data Vlaue (Cr)'!$C:$FB,119)</f>
        <v>0.72</v>
      </c>
      <c r="Q17" s="75">
        <f>VLOOKUP($A17,'Data Vlaue (Cr)'!$C:$FB,122)*100</f>
        <v>-1.37</v>
      </c>
      <c r="R17" s="75">
        <f>VLOOKUP($A17,'Data Vlaue (Cr)'!$C:$FB,125)</f>
        <v>0.37</v>
      </c>
      <c r="S17" s="75">
        <f>VLOOKUP($A17,'Data Vlaue (Cr)'!$C:$FB,128)*100</f>
        <v>-28.849999999999998</v>
      </c>
    </row>
    <row r="18" spans="1:19" x14ac:dyDescent="0.25">
      <c r="A18" s="96" t="str">
        <f>'Data Vlaue (Cr)'!C9</f>
        <v>ALKEM</v>
      </c>
      <c r="B18" s="75">
        <f>VLOOKUP($A18,'Data Vlaue (Cr)'!$C:$FB,2)</f>
        <v>125</v>
      </c>
      <c r="C18" s="75">
        <f>VLOOKUP($A18,'Data Vlaue (Cr)'!$C:$FB,8)</f>
        <v>5463.5</v>
      </c>
      <c r="D18" s="75">
        <f>VLOOKUP($A18,'Data Vlaue (Cr)'!$C:$FB,4)</f>
        <v>5487</v>
      </c>
      <c r="E18" s="75">
        <f>VLOOKUP($A18,'Data Vlaue (Cr)'!$C:$FB,5)</f>
        <v>5527</v>
      </c>
      <c r="F18" s="75">
        <f t="shared" si="0"/>
        <v>23.5</v>
      </c>
      <c r="G18" s="75">
        <f t="shared" si="1"/>
        <v>-0.72899580827410237</v>
      </c>
      <c r="H18" s="75">
        <f>VLOOKUP($A18,'Data Vlaue (Cr)'!$C:$FB,99)</f>
        <v>934</v>
      </c>
      <c r="I18" s="75">
        <f>VLOOKUP($A18,'Data Vlaue (Cr)'!$C:$FB,100)</f>
        <v>898</v>
      </c>
      <c r="J18" s="75">
        <f t="shared" si="2"/>
        <v>36</v>
      </c>
      <c r="K18" s="75">
        <f t="shared" si="3"/>
        <v>3.8543897216274088</v>
      </c>
      <c r="L18" s="75">
        <f>VLOOKUP($A18,'Data Vlaue (Cr)'!$C:$FB,67)</f>
        <v>341</v>
      </c>
      <c r="M18" s="75">
        <f>VLOOKUP($A18,'Data Vlaue (Cr)'!$C:$FB,68)</f>
        <v>134</v>
      </c>
      <c r="N18" s="75">
        <f t="shared" si="4"/>
        <v>207</v>
      </c>
      <c r="O18" s="75">
        <f t="shared" si="5"/>
        <v>60.703812316715542</v>
      </c>
      <c r="P18" s="75">
        <f>VLOOKUP($A18,'Data Vlaue (Cr)'!$C:$FB,119)</f>
        <v>1.22</v>
      </c>
      <c r="Q18" s="75">
        <f>VLOOKUP($A18,'Data Vlaue (Cr)'!$C:$FB,122)*100</f>
        <v>45.24</v>
      </c>
      <c r="R18" s="75">
        <f>VLOOKUP($A18,'Data Vlaue (Cr)'!$C:$FB,125)</f>
        <v>2.06</v>
      </c>
      <c r="S18" s="75">
        <f>VLOOKUP($A18,'Data Vlaue (Cr)'!$C:$FB,128)*100</f>
        <v>178.38</v>
      </c>
    </row>
    <row r="19" spans="1:19" x14ac:dyDescent="0.25">
      <c r="A19" s="96" t="str">
        <f>'Data Vlaue (Cr)'!C10</f>
        <v>AMBER</v>
      </c>
      <c r="B19" s="75">
        <f>VLOOKUP($A19,'Data Vlaue (Cr)'!$C:$FB,2)</f>
        <v>100</v>
      </c>
      <c r="C19" s="75">
        <f>VLOOKUP($A19,'Data Vlaue (Cr)'!$C:$FB,8)</f>
        <v>6447.5</v>
      </c>
      <c r="D19" s="75">
        <f>VLOOKUP($A19,'Data Vlaue (Cr)'!$C:$FB,4)</f>
        <v>6443</v>
      </c>
      <c r="E19" s="75">
        <f>VLOOKUP($A19,'Data Vlaue (Cr)'!$C:$FB,5)</f>
        <v>6366</v>
      </c>
      <c r="F19" s="75">
        <f t="shared" si="0"/>
        <v>-4.5</v>
      </c>
      <c r="G19" s="75">
        <f t="shared" si="1"/>
        <v>1.1950954524289927</v>
      </c>
      <c r="H19" s="75">
        <f>VLOOKUP($A19,'Data Vlaue (Cr)'!$C:$FB,99)</f>
        <v>973</v>
      </c>
      <c r="I19" s="75">
        <f>VLOOKUP($A19,'Data Vlaue (Cr)'!$C:$FB,100)</f>
        <v>948</v>
      </c>
      <c r="J19" s="75">
        <f t="shared" si="2"/>
        <v>25</v>
      </c>
      <c r="K19" s="75">
        <f t="shared" si="3"/>
        <v>2.5693730729701953</v>
      </c>
      <c r="L19" s="75">
        <f>VLOOKUP($A19,'Data Vlaue (Cr)'!$C:$FB,67)</f>
        <v>318</v>
      </c>
      <c r="M19" s="75">
        <f>VLOOKUP($A19,'Data Vlaue (Cr)'!$C:$FB,68)</f>
        <v>771</v>
      </c>
      <c r="N19" s="75">
        <f t="shared" si="4"/>
        <v>-453</v>
      </c>
      <c r="O19" s="75">
        <f t="shared" si="5"/>
        <v>-142.45283018867926</v>
      </c>
      <c r="P19" s="75">
        <f>VLOOKUP($A19,'Data Vlaue (Cr)'!$C:$FB,119)</f>
        <v>0.74</v>
      </c>
      <c r="Q19" s="75">
        <f>VLOOKUP($A19,'Data Vlaue (Cr)'!$C:$FB,122)*100</f>
        <v>2.78</v>
      </c>
      <c r="R19" s="75">
        <f>VLOOKUP($A19,'Data Vlaue (Cr)'!$C:$FB,125)</f>
        <v>0.48</v>
      </c>
      <c r="S19" s="75">
        <f>VLOOKUP($A19,'Data Vlaue (Cr)'!$C:$FB,128)*100</f>
        <v>-25</v>
      </c>
    </row>
    <row r="20" spans="1:19" x14ac:dyDescent="0.25">
      <c r="A20" s="96" t="str">
        <f>'Data Vlaue (Cr)'!C11</f>
        <v>AMBUJACEM</v>
      </c>
      <c r="B20" s="75">
        <f>VLOOKUP($A20,'Data Vlaue (Cr)'!$C:$FB,2)</f>
        <v>1050</v>
      </c>
      <c r="C20" s="75">
        <f>VLOOKUP($A20,'Data Vlaue (Cr)'!$C:$FB,8)</f>
        <v>559.65</v>
      </c>
      <c r="D20" s="75">
        <f>VLOOKUP($A20,'Data Vlaue (Cr)'!$C:$FB,4)</f>
        <v>563.25</v>
      </c>
      <c r="E20" s="75">
        <f>VLOOKUP($A20,'Data Vlaue (Cr)'!$C:$FB,5)</f>
        <v>559</v>
      </c>
      <c r="F20" s="75">
        <f t="shared" si="0"/>
        <v>3.6000000000000227</v>
      </c>
      <c r="G20" s="75">
        <f t="shared" si="1"/>
        <v>0.75454948956946288</v>
      </c>
      <c r="H20" s="75">
        <f>VLOOKUP($A20,'Data Vlaue (Cr)'!$C:$FB,99)</f>
        <v>4025</v>
      </c>
      <c r="I20" s="75">
        <f>VLOOKUP($A20,'Data Vlaue (Cr)'!$C:$FB,100)</f>
        <v>3950</v>
      </c>
      <c r="J20" s="75">
        <f t="shared" si="2"/>
        <v>75</v>
      </c>
      <c r="K20" s="75">
        <f t="shared" si="3"/>
        <v>1.8633540372670807</v>
      </c>
      <c r="L20" s="75">
        <f>VLOOKUP($A20,'Data Vlaue (Cr)'!$C:$FB,67)</f>
        <v>887</v>
      </c>
      <c r="M20" s="75">
        <f>VLOOKUP($A20,'Data Vlaue (Cr)'!$C:$FB,68)</f>
        <v>721</v>
      </c>
      <c r="N20" s="75">
        <f t="shared" si="4"/>
        <v>166</v>
      </c>
      <c r="O20" s="75">
        <f t="shared" si="5"/>
        <v>18.714768883878243</v>
      </c>
      <c r="P20" s="75">
        <f>VLOOKUP($A20,'Data Vlaue (Cr)'!$C:$FB,119)</f>
        <v>0.97</v>
      </c>
      <c r="Q20" s="75">
        <f>VLOOKUP($A20,'Data Vlaue (Cr)'!$C:$FB,122)*100</f>
        <v>0</v>
      </c>
      <c r="R20" s="75">
        <f>VLOOKUP($A20,'Data Vlaue (Cr)'!$C:$FB,125)</f>
        <v>0.32</v>
      </c>
      <c r="S20" s="75">
        <f>VLOOKUP($A20,'Data Vlaue (Cr)'!$C:$FB,128)*100</f>
        <v>-46.67</v>
      </c>
    </row>
    <row r="21" spans="1:19" x14ac:dyDescent="0.25">
      <c r="A21" s="96" t="str">
        <f>'Data Vlaue (Cr)'!C12</f>
        <v>ANGELONE</v>
      </c>
      <c r="B21" s="75">
        <f>VLOOKUP($A21,'Data Vlaue (Cr)'!$C:$FB,2)</f>
        <v>250</v>
      </c>
      <c r="C21" s="75">
        <f>VLOOKUP($A21,'Data Vlaue (Cr)'!$C:$FB,8)</f>
        <v>2362.8000000000002</v>
      </c>
      <c r="D21" s="75">
        <f>VLOOKUP($A21,'Data Vlaue (Cr)'!$C:$FB,4)</f>
        <v>2366.6</v>
      </c>
      <c r="E21" s="75">
        <f>VLOOKUP($A21,'Data Vlaue (Cr)'!$C:$FB,5)</f>
        <v>2348.1</v>
      </c>
      <c r="F21" s="75">
        <f t="shared" si="0"/>
        <v>3.7999999999997272</v>
      </c>
      <c r="G21" s="75">
        <f t="shared" si="1"/>
        <v>0.78171216090594098</v>
      </c>
      <c r="H21" s="75">
        <f>VLOOKUP($A21,'Data Vlaue (Cr)'!$C:$FB,99)</f>
        <v>1757</v>
      </c>
      <c r="I21" s="75">
        <f>VLOOKUP($A21,'Data Vlaue (Cr)'!$C:$FB,100)</f>
        <v>1696</v>
      </c>
      <c r="J21" s="75">
        <f t="shared" si="2"/>
        <v>61</v>
      </c>
      <c r="K21" s="75">
        <f t="shared" si="3"/>
        <v>3.4718269778030733</v>
      </c>
      <c r="L21" s="75">
        <f>VLOOKUP($A21,'Data Vlaue (Cr)'!$C:$FB,67)</f>
        <v>911</v>
      </c>
      <c r="M21" s="75">
        <f>VLOOKUP($A21,'Data Vlaue (Cr)'!$C:$FB,68)</f>
        <v>1422</v>
      </c>
      <c r="N21" s="75">
        <f t="shared" si="4"/>
        <v>-511</v>
      </c>
      <c r="O21" s="75">
        <f t="shared" si="5"/>
        <v>-56.09220636663008</v>
      </c>
      <c r="P21" s="75">
        <f>VLOOKUP($A21,'Data Vlaue (Cr)'!$C:$FB,119)</f>
        <v>0.88</v>
      </c>
      <c r="Q21" s="75">
        <f>VLOOKUP($A21,'Data Vlaue (Cr)'!$C:$FB,122)*100</f>
        <v>-1.1199999999999999</v>
      </c>
      <c r="R21" s="75">
        <f>VLOOKUP($A21,'Data Vlaue (Cr)'!$C:$FB,125)</f>
        <v>0.53</v>
      </c>
      <c r="S21" s="75">
        <f>VLOOKUP($A21,'Data Vlaue (Cr)'!$C:$FB,128)*100</f>
        <v>32.5</v>
      </c>
    </row>
    <row r="22" spans="1:19" x14ac:dyDescent="0.25">
      <c r="A22" s="96" t="str">
        <f>'Data Vlaue (Cr)'!C13</f>
        <v>APLAPOLLO</v>
      </c>
      <c r="B22" s="75">
        <f>VLOOKUP($A22,'Data Vlaue (Cr)'!$C:$FB,2)</f>
        <v>350</v>
      </c>
      <c r="C22" s="75">
        <f>VLOOKUP($A22,'Data Vlaue (Cr)'!$C:$FB,8)</f>
        <v>1970</v>
      </c>
      <c r="D22" s="75">
        <f>VLOOKUP($A22,'Data Vlaue (Cr)'!$C:$FB,4)</f>
        <v>1983</v>
      </c>
      <c r="E22" s="75">
        <f>VLOOKUP($A22,'Data Vlaue (Cr)'!$C:$FB,5)</f>
        <v>1925.7</v>
      </c>
      <c r="F22" s="75">
        <f t="shared" si="0"/>
        <v>13</v>
      </c>
      <c r="G22" s="75">
        <f t="shared" si="1"/>
        <v>2.889561270801813</v>
      </c>
      <c r="H22" s="75">
        <f>VLOOKUP($A22,'Data Vlaue (Cr)'!$C:$FB,99)</f>
        <v>2291</v>
      </c>
      <c r="I22" s="75">
        <f>VLOOKUP($A22,'Data Vlaue (Cr)'!$C:$FB,100)</f>
        <v>1972</v>
      </c>
      <c r="J22" s="75">
        <f t="shared" si="2"/>
        <v>319</v>
      </c>
      <c r="K22" s="75">
        <f t="shared" si="3"/>
        <v>13.924050632911392</v>
      </c>
      <c r="L22" s="75">
        <f>VLOOKUP($A22,'Data Vlaue (Cr)'!$C:$FB,67)</f>
        <v>2393</v>
      </c>
      <c r="M22" s="75">
        <f>VLOOKUP($A22,'Data Vlaue (Cr)'!$C:$FB,68)</f>
        <v>540</v>
      </c>
      <c r="N22" s="75">
        <f t="shared" si="4"/>
        <v>1853</v>
      </c>
      <c r="O22" s="75">
        <f t="shared" si="5"/>
        <v>77.434183033848726</v>
      </c>
      <c r="P22" s="75">
        <f>VLOOKUP($A22,'Data Vlaue (Cr)'!$C:$FB,119)</f>
        <v>0.54</v>
      </c>
      <c r="Q22" s="75">
        <f>VLOOKUP($A22,'Data Vlaue (Cr)'!$C:$FB,122)*100</f>
        <v>-1.82</v>
      </c>
      <c r="R22" s="75">
        <f>VLOOKUP($A22,'Data Vlaue (Cr)'!$C:$FB,125)</f>
        <v>0.3</v>
      </c>
      <c r="S22" s="75">
        <f>VLOOKUP($A22,'Data Vlaue (Cr)'!$C:$FB,128)*100</f>
        <v>-9.09</v>
      </c>
    </row>
    <row r="23" spans="1:19" x14ac:dyDescent="0.25">
      <c r="A23" s="96" t="str">
        <f>'Data Vlaue (Cr)'!C14</f>
        <v>APOLLOHOSP</v>
      </c>
      <c r="B23" s="75">
        <f>VLOOKUP($A23,'Data Vlaue (Cr)'!$C:$FB,2)</f>
        <v>125</v>
      </c>
      <c r="C23" s="75">
        <f>VLOOKUP($A23,'Data Vlaue (Cr)'!$C:$FB,8)</f>
        <v>7111.5</v>
      </c>
      <c r="D23" s="75">
        <f>VLOOKUP($A23,'Data Vlaue (Cr)'!$C:$FB,4)</f>
        <v>7140</v>
      </c>
      <c r="E23" s="75">
        <f>VLOOKUP($A23,'Data Vlaue (Cr)'!$C:$FB,5)</f>
        <v>7088.5</v>
      </c>
      <c r="F23" s="75">
        <f t="shared" si="0"/>
        <v>28.5</v>
      </c>
      <c r="G23" s="75">
        <f t="shared" si="1"/>
        <v>0.72128851540616246</v>
      </c>
      <c r="H23" s="75">
        <f>VLOOKUP($A23,'Data Vlaue (Cr)'!$C:$FB,99)</f>
        <v>3303</v>
      </c>
      <c r="I23" s="75">
        <f>VLOOKUP($A23,'Data Vlaue (Cr)'!$C:$FB,100)</f>
        <v>3229</v>
      </c>
      <c r="J23" s="75">
        <f t="shared" si="2"/>
        <v>74</v>
      </c>
      <c r="K23" s="75">
        <f t="shared" si="3"/>
        <v>2.2403875264910686</v>
      </c>
      <c r="L23" s="75">
        <f>VLOOKUP($A23,'Data Vlaue (Cr)'!$C:$FB,67)</f>
        <v>1337</v>
      </c>
      <c r="M23" s="75">
        <f>VLOOKUP($A23,'Data Vlaue (Cr)'!$C:$FB,68)</f>
        <v>1672</v>
      </c>
      <c r="N23" s="75">
        <f t="shared" si="4"/>
        <v>-335</v>
      </c>
      <c r="O23" s="75">
        <f t="shared" si="5"/>
        <v>-25.056095736724011</v>
      </c>
      <c r="P23" s="75">
        <f>VLOOKUP($A23,'Data Vlaue (Cr)'!$C:$FB,119)</f>
        <v>0.73</v>
      </c>
      <c r="Q23" s="75">
        <f>VLOOKUP($A23,'Data Vlaue (Cr)'!$C:$FB,122)*100</f>
        <v>23.73</v>
      </c>
      <c r="R23" s="75">
        <f>VLOOKUP($A23,'Data Vlaue (Cr)'!$C:$FB,125)</f>
        <v>0.56000000000000005</v>
      </c>
      <c r="S23" s="75">
        <f>VLOOKUP($A23,'Data Vlaue (Cr)'!$C:$FB,128)*100</f>
        <v>60</v>
      </c>
    </row>
    <row r="24" spans="1:19" x14ac:dyDescent="0.25">
      <c r="A24" s="96" t="str">
        <f>'Data Vlaue (Cr)'!C15</f>
        <v>ASHOKLEY</v>
      </c>
      <c r="B24" s="75">
        <f>VLOOKUP($A24,'Data Vlaue (Cr)'!$C:$FB,2)</f>
        <v>5000</v>
      </c>
      <c r="C24" s="75">
        <f>VLOOKUP($A24,'Data Vlaue (Cr)'!$C:$FB,8)</f>
        <v>184.88</v>
      </c>
      <c r="D24" s="75">
        <f>VLOOKUP($A24,'Data Vlaue (Cr)'!$C:$FB,4)</f>
        <v>182.04</v>
      </c>
      <c r="E24" s="75">
        <f>VLOOKUP($A24,'Data Vlaue (Cr)'!$C:$FB,5)</f>
        <v>177.04</v>
      </c>
      <c r="F24" s="75">
        <f t="shared" si="0"/>
        <v>-2.8400000000000034</v>
      </c>
      <c r="G24" s="75">
        <f t="shared" si="1"/>
        <v>2.7466490881125032</v>
      </c>
      <c r="H24" s="75">
        <f>VLOOKUP($A24,'Data Vlaue (Cr)'!$C:$FB,99)</f>
        <v>4903</v>
      </c>
      <c r="I24" s="75">
        <f>VLOOKUP($A24,'Data Vlaue (Cr)'!$C:$FB,100)</f>
        <v>4233</v>
      </c>
      <c r="J24" s="75">
        <f t="shared" si="2"/>
        <v>670</v>
      </c>
      <c r="K24" s="75">
        <f t="shared" si="3"/>
        <v>13.665102998164388</v>
      </c>
      <c r="L24" s="75">
        <f>VLOOKUP($A24,'Data Vlaue (Cr)'!$C:$FB,67)</f>
        <v>6640</v>
      </c>
      <c r="M24" s="75">
        <f>VLOOKUP($A24,'Data Vlaue (Cr)'!$C:$FB,68)</f>
        <v>2032</v>
      </c>
      <c r="N24" s="75">
        <f t="shared" si="4"/>
        <v>4608</v>
      </c>
      <c r="O24" s="75">
        <f t="shared" si="5"/>
        <v>69.397590361445779</v>
      </c>
      <c r="P24" s="75">
        <f>VLOOKUP($A24,'Data Vlaue (Cr)'!$C:$FB,119)</f>
        <v>0.59</v>
      </c>
      <c r="Q24" s="75">
        <f>VLOOKUP($A24,'Data Vlaue (Cr)'!$C:$FB,122)*100</f>
        <v>-1.67</v>
      </c>
      <c r="R24" s="75">
        <f>VLOOKUP($A24,'Data Vlaue (Cr)'!$C:$FB,125)</f>
        <v>0.24</v>
      </c>
      <c r="S24" s="75">
        <f>VLOOKUP($A24,'Data Vlaue (Cr)'!$C:$FB,128)*100</f>
        <v>-27.27</v>
      </c>
    </row>
    <row r="25" spans="1:19" x14ac:dyDescent="0.25">
      <c r="A25" s="96" t="str">
        <f>'Data Vlaue (Cr)'!C16</f>
        <v>ASIANPAINT</v>
      </c>
      <c r="B25" s="75">
        <f>VLOOKUP($A25,'Data Vlaue (Cr)'!$C:$FB,2)</f>
        <v>250</v>
      </c>
      <c r="C25" s="75">
        <f>VLOOKUP($A25,'Data Vlaue (Cr)'!$C:$FB,8)</f>
        <v>2752</v>
      </c>
      <c r="D25" s="75">
        <f>VLOOKUP($A25,'Data Vlaue (Cr)'!$C:$FB,4)</f>
        <v>2766.6</v>
      </c>
      <c r="E25" s="75">
        <f>VLOOKUP($A25,'Data Vlaue (Cr)'!$C:$FB,5)</f>
        <v>2781.9</v>
      </c>
      <c r="F25" s="75">
        <f t="shared" si="0"/>
        <v>14.599999999999909</v>
      </c>
      <c r="G25" s="75">
        <f t="shared" si="1"/>
        <v>-0.55302537410540664</v>
      </c>
      <c r="H25" s="75">
        <f>VLOOKUP($A25,'Data Vlaue (Cr)'!$C:$FB,99)</f>
        <v>5249</v>
      </c>
      <c r="I25" s="75">
        <f>VLOOKUP($A25,'Data Vlaue (Cr)'!$C:$FB,100)</f>
        <v>5053</v>
      </c>
      <c r="J25" s="75">
        <f t="shared" si="2"/>
        <v>196</v>
      </c>
      <c r="K25" s="75">
        <f t="shared" si="3"/>
        <v>3.7340445799199844</v>
      </c>
      <c r="L25" s="75">
        <f>VLOOKUP($A25,'Data Vlaue (Cr)'!$C:$FB,67)</f>
        <v>1179</v>
      </c>
      <c r="M25" s="75">
        <f>VLOOKUP($A25,'Data Vlaue (Cr)'!$C:$FB,68)</f>
        <v>2277</v>
      </c>
      <c r="N25" s="75">
        <f t="shared" si="4"/>
        <v>-1098</v>
      </c>
      <c r="O25" s="75">
        <f t="shared" si="5"/>
        <v>-93.129770992366417</v>
      </c>
      <c r="P25" s="75">
        <f>VLOOKUP($A25,'Data Vlaue (Cr)'!$C:$FB,119)</f>
        <v>0.71</v>
      </c>
      <c r="Q25" s="75">
        <f>VLOOKUP($A25,'Data Vlaue (Cr)'!$C:$FB,122)*100</f>
        <v>2.9000000000000004</v>
      </c>
      <c r="R25" s="75">
        <f>VLOOKUP($A25,'Data Vlaue (Cr)'!$C:$FB,125)</f>
        <v>0.62</v>
      </c>
      <c r="S25" s="75">
        <f>VLOOKUP($A25,'Data Vlaue (Cr)'!$C:$FB,128)*100</f>
        <v>1.6400000000000001</v>
      </c>
    </row>
    <row r="26" spans="1:19" x14ac:dyDescent="0.25">
      <c r="A26" s="96" t="str">
        <f>'Data Vlaue (Cr)'!C17</f>
        <v>ASTRAL</v>
      </c>
      <c r="B26" s="75">
        <f>VLOOKUP($A26,'Data Vlaue (Cr)'!$C:$FB,2)</f>
        <v>425</v>
      </c>
      <c r="C26" s="75">
        <f>VLOOKUP($A26,'Data Vlaue (Cr)'!$C:$FB,8)</f>
        <v>1434.9</v>
      </c>
      <c r="D26" s="75">
        <f>VLOOKUP($A26,'Data Vlaue (Cr)'!$C:$FB,4)</f>
        <v>1442.7</v>
      </c>
      <c r="E26" s="75">
        <f>VLOOKUP($A26,'Data Vlaue (Cr)'!$C:$FB,5)</f>
        <v>1389.5</v>
      </c>
      <c r="F26" s="75">
        <f t="shared" si="0"/>
        <v>7.7999999999999545</v>
      </c>
      <c r="G26" s="75">
        <f t="shared" si="1"/>
        <v>3.687530325084913</v>
      </c>
      <c r="H26" s="75">
        <f>VLOOKUP($A26,'Data Vlaue (Cr)'!$C:$FB,99)</f>
        <v>1627</v>
      </c>
      <c r="I26" s="75">
        <f>VLOOKUP($A26,'Data Vlaue (Cr)'!$C:$FB,100)</f>
        <v>1610</v>
      </c>
      <c r="J26" s="75">
        <f t="shared" si="2"/>
        <v>17</v>
      </c>
      <c r="K26" s="75">
        <f t="shared" si="3"/>
        <v>1.0448678549477566</v>
      </c>
      <c r="L26" s="75">
        <f>VLOOKUP($A26,'Data Vlaue (Cr)'!$C:$FB,67)</f>
        <v>1449</v>
      </c>
      <c r="M26" s="75">
        <f>VLOOKUP($A26,'Data Vlaue (Cr)'!$C:$FB,68)</f>
        <v>834</v>
      </c>
      <c r="N26" s="75">
        <f t="shared" si="4"/>
        <v>615</v>
      </c>
      <c r="O26" s="75">
        <f t="shared" si="5"/>
        <v>42.443064182194618</v>
      </c>
      <c r="P26" s="75">
        <f>VLOOKUP($A26,'Data Vlaue (Cr)'!$C:$FB,119)</f>
        <v>0.69</v>
      </c>
      <c r="Q26" s="75">
        <f>VLOOKUP($A26,'Data Vlaue (Cr)'!$C:$FB,122)*100</f>
        <v>-14.81</v>
      </c>
      <c r="R26" s="75">
        <f>VLOOKUP($A26,'Data Vlaue (Cr)'!$C:$FB,125)</f>
        <v>0.41</v>
      </c>
      <c r="S26" s="75">
        <f>VLOOKUP($A26,'Data Vlaue (Cr)'!$C:$FB,128)*100</f>
        <v>-2.3800000000000003</v>
      </c>
    </row>
    <row r="27" spans="1:19" x14ac:dyDescent="0.25">
      <c r="A27" s="96" t="str">
        <f>'Data Vlaue (Cr)'!C18</f>
        <v>AUBANK</v>
      </c>
      <c r="B27" s="75">
        <f>VLOOKUP($A27,'Data Vlaue (Cr)'!$C:$FB,2)</f>
        <v>1000</v>
      </c>
      <c r="C27" s="75">
        <f>VLOOKUP($A27,'Data Vlaue (Cr)'!$C:$FB,8)</f>
        <v>999.45</v>
      </c>
      <c r="D27" s="75">
        <f>VLOOKUP($A27,'Data Vlaue (Cr)'!$C:$FB,4)</f>
        <v>1002.85</v>
      </c>
      <c r="E27" s="75">
        <f>VLOOKUP($A27,'Data Vlaue (Cr)'!$C:$FB,5)</f>
        <v>1000.15</v>
      </c>
      <c r="F27" s="75">
        <f t="shared" si="0"/>
        <v>3.3999999999999773</v>
      </c>
      <c r="G27" s="75">
        <f t="shared" si="1"/>
        <v>0.2692326868425034</v>
      </c>
      <c r="H27" s="75">
        <f>VLOOKUP($A27,'Data Vlaue (Cr)'!$C:$FB,99)</f>
        <v>2769</v>
      </c>
      <c r="I27" s="75">
        <f>VLOOKUP($A27,'Data Vlaue (Cr)'!$C:$FB,100)</f>
        <v>2702</v>
      </c>
      <c r="J27" s="75">
        <f t="shared" si="2"/>
        <v>67</v>
      </c>
      <c r="K27" s="75">
        <f t="shared" si="3"/>
        <v>2.4196460816179126</v>
      </c>
      <c r="L27" s="75">
        <f>VLOOKUP($A27,'Data Vlaue (Cr)'!$C:$FB,67)</f>
        <v>585</v>
      </c>
      <c r="M27" s="75">
        <f>VLOOKUP($A27,'Data Vlaue (Cr)'!$C:$FB,68)</f>
        <v>1231</v>
      </c>
      <c r="N27" s="75">
        <f t="shared" si="4"/>
        <v>-646</v>
      </c>
      <c r="O27" s="75">
        <f t="shared" si="5"/>
        <v>-110.42735042735043</v>
      </c>
      <c r="P27" s="75">
        <f>VLOOKUP($A27,'Data Vlaue (Cr)'!$C:$FB,119)</f>
        <v>0.78</v>
      </c>
      <c r="Q27" s="75">
        <f>VLOOKUP($A27,'Data Vlaue (Cr)'!$C:$FB,122)*100</f>
        <v>-4.88</v>
      </c>
      <c r="R27" s="75">
        <f>VLOOKUP($A27,'Data Vlaue (Cr)'!$C:$FB,125)</f>
        <v>0.48</v>
      </c>
      <c r="S27" s="75">
        <f>VLOOKUP($A27,'Data Vlaue (Cr)'!$C:$FB,128)*100</f>
        <v>-12.73</v>
      </c>
    </row>
    <row r="28" spans="1:19" x14ac:dyDescent="0.25">
      <c r="A28" s="96" t="str">
        <f>'Data Vlaue (Cr)'!C19</f>
        <v>AUROPHARMA</v>
      </c>
      <c r="B28" s="75">
        <f>VLOOKUP($A28,'Data Vlaue (Cr)'!$C:$FB,2)</f>
        <v>550</v>
      </c>
      <c r="C28" s="75">
        <f>VLOOKUP($A28,'Data Vlaue (Cr)'!$C:$FB,8)</f>
        <v>1193</v>
      </c>
      <c r="D28" s="75">
        <f>VLOOKUP($A28,'Data Vlaue (Cr)'!$C:$FB,4)</f>
        <v>1199.7</v>
      </c>
      <c r="E28" s="75">
        <f>VLOOKUP($A28,'Data Vlaue (Cr)'!$C:$FB,5)</f>
        <v>1189.5</v>
      </c>
      <c r="F28" s="75">
        <f t="shared" si="0"/>
        <v>6.7000000000000455</v>
      </c>
      <c r="G28" s="75">
        <f t="shared" si="1"/>
        <v>0.85021255313828836</v>
      </c>
      <c r="H28" s="75">
        <f>VLOOKUP($A28,'Data Vlaue (Cr)'!$C:$FB,99)</f>
        <v>3200</v>
      </c>
      <c r="I28" s="75">
        <f>VLOOKUP($A28,'Data Vlaue (Cr)'!$C:$FB,100)</f>
        <v>3122</v>
      </c>
      <c r="J28" s="75">
        <f t="shared" si="2"/>
        <v>78</v>
      </c>
      <c r="K28" s="75">
        <f t="shared" si="3"/>
        <v>2.4375</v>
      </c>
      <c r="L28" s="75">
        <f>VLOOKUP($A28,'Data Vlaue (Cr)'!$C:$FB,67)</f>
        <v>734</v>
      </c>
      <c r="M28" s="75">
        <f>VLOOKUP($A28,'Data Vlaue (Cr)'!$C:$FB,68)</f>
        <v>868</v>
      </c>
      <c r="N28" s="75">
        <f t="shared" si="4"/>
        <v>-134</v>
      </c>
      <c r="O28" s="75">
        <f t="shared" si="5"/>
        <v>-18.256130790190735</v>
      </c>
      <c r="P28" s="75">
        <f>VLOOKUP($A28,'Data Vlaue (Cr)'!$C:$FB,119)</f>
        <v>0.57999999999999996</v>
      </c>
      <c r="Q28" s="75">
        <f>VLOOKUP($A28,'Data Vlaue (Cr)'!$C:$FB,122)*100</f>
        <v>0</v>
      </c>
      <c r="R28" s="75">
        <f>VLOOKUP($A28,'Data Vlaue (Cr)'!$C:$FB,125)</f>
        <v>0.38</v>
      </c>
      <c r="S28" s="75">
        <f>VLOOKUP($A28,'Data Vlaue (Cr)'!$C:$FB,128)*100</f>
        <v>-32.14</v>
      </c>
    </row>
    <row r="29" spans="1:19" x14ac:dyDescent="0.25">
      <c r="A29" s="96" t="str">
        <f>'Data Vlaue (Cr)'!C20</f>
        <v>AXISBANK</v>
      </c>
      <c r="B29" s="75">
        <f>VLOOKUP($A29,'Data Vlaue (Cr)'!$C:$FB,2)</f>
        <v>625</v>
      </c>
      <c r="C29" s="75">
        <f>VLOOKUP($A29,'Data Vlaue (Cr)'!$C:$FB,8)</f>
        <v>1274.4000000000001</v>
      </c>
      <c r="D29" s="75">
        <f>VLOOKUP($A29,'Data Vlaue (Cr)'!$C:$FB,4)</f>
        <v>1279.0999999999999</v>
      </c>
      <c r="E29" s="75">
        <f>VLOOKUP($A29,'Data Vlaue (Cr)'!$C:$FB,5)</f>
        <v>1274.2</v>
      </c>
      <c r="F29" s="75">
        <f t="shared" si="0"/>
        <v>4.6999999999998181</v>
      </c>
      <c r="G29" s="75">
        <f t="shared" si="1"/>
        <v>0.3830818544288847</v>
      </c>
      <c r="H29" s="75">
        <f>VLOOKUP($A29,'Data Vlaue (Cr)'!$C:$FB,99)</f>
        <v>12541</v>
      </c>
      <c r="I29" s="75">
        <f>VLOOKUP($A29,'Data Vlaue (Cr)'!$C:$FB,100)</f>
        <v>12273</v>
      </c>
      <c r="J29" s="75">
        <f t="shared" si="2"/>
        <v>268</v>
      </c>
      <c r="K29" s="75">
        <f t="shared" si="3"/>
        <v>2.1369906706004302</v>
      </c>
      <c r="L29" s="75">
        <f>VLOOKUP($A29,'Data Vlaue (Cr)'!$C:$FB,67)</f>
        <v>3021</v>
      </c>
      <c r="M29" s="75">
        <f>VLOOKUP($A29,'Data Vlaue (Cr)'!$C:$FB,68)</f>
        <v>6518</v>
      </c>
      <c r="N29" s="75">
        <f t="shared" si="4"/>
        <v>-3497</v>
      </c>
      <c r="O29" s="75">
        <f t="shared" si="5"/>
        <v>-115.75637206223104</v>
      </c>
      <c r="P29" s="75">
        <f>VLOOKUP($A29,'Data Vlaue (Cr)'!$C:$FB,119)</f>
        <v>0.88</v>
      </c>
      <c r="Q29" s="75">
        <f>VLOOKUP($A29,'Data Vlaue (Cr)'!$C:$FB,122)*100</f>
        <v>2.33</v>
      </c>
      <c r="R29" s="75">
        <f>VLOOKUP($A29,'Data Vlaue (Cr)'!$C:$FB,125)</f>
        <v>0.81</v>
      </c>
      <c r="S29" s="75">
        <f>VLOOKUP($A29,'Data Vlaue (Cr)'!$C:$FB,128)*100</f>
        <v>30.65</v>
      </c>
    </row>
    <row r="30" spans="1:19" x14ac:dyDescent="0.25">
      <c r="A30" s="96" t="str">
        <f>'Data Vlaue (Cr)'!C21</f>
        <v>BAJAJ-AUTO</v>
      </c>
      <c r="B30" s="75">
        <f>VLOOKUP($A30,'Data Vlaue (Cr)'!$C:$FB,2)</f>
        <v>75</v>
      </c>
      <c r="C30" s="75">
        <f>VLOOKUP($A30,'Data Vlaue (Cr)'!$C:$FB,8)</f>
        <v>9558</v>
      </c>
      <c r="D30" s="75">
        <f>VLOOKUP($A30,'Data Vlaue (Cr)'!$C:$FB,4)</f>
        <v>9611</v>
      </c>
      <c r="E30" s="75">
        <f>VLOOKUP($A30,'Data Vlaue (Cr)'!$C:$FB,5)</f>
        <v>9402</v>
      </c>
      <c r="F30" s="75">
        <f t="shared" si="0"/>
        <v>53</v>
      </c>
      <c r="G30" s="75">
        <f t="shared" si="1"/>
        <v>2.1745916137758821</v>
      </c>
      <c r="H30" s="75">
        <f>VLOOKUP($A30,'Data Vlaue (Cr)'!$C:$FB,99)</f>
        <v>4904</v>
      </c>
      <c r="I30" s="75">
        <f>VLOOKUP($A30,'Data Vlaue (Cr)'!$C:$FB,100)</f>
        <v>4433</v>
      </c>
      <c r="J30" s="75">
        <f t="shared" si="2"/>
        <v>471</v>
      </c>
      <c r="K30" s="75">
        <f t="shared" si="3"/>
        <v>9.6044045676998362</v>
      </c>
      <c r="L30" s="75">
        <f>VLOOKUP($A30,'Data Vlaue (Cr)'!$C:$FB,67)</f>
        <v>6608</v>
      </c>
      <c r="M30" s="75">
        <f>VLOOKUP($A30,'Data Vlaue (Cr)'!$C:$FB,68)</f>
        <v>5147</v>
      </c>
      <c r="N30" s="75">
        <f t="shared" si="4"/>
        <v>1461</v>
      </c>
      <c r="O30" s="75">
        <f t="shared" si="5"/>
        <v>22.109564164648909</v>
      </c>
      <c r="P30" s="75">
        <f>VLOOKUP($A30,'Data Vlaue (Cr)'!$C:$FB,119)</f>
        <v>0.82</v>
      </c>
      <c r="Q30" s="75">
        <f>VLOOKUP($A30,'Data Vlaue (Cr)'!$C:$FB,122)*100</f>
        <v>10.81</v>
      </c>
      <c r="R30" s="75">
        <f>VLOOKUP($A30,'Data Vlaue (Cr)'!$C:$FB,125)</f>
        <v>0.37</v>
      </c>
      <c r="S30" s="75">
        <f>VLOOKUP($A30,'Data Vlaue (Cr)'!$C:$FB,128)*100</f>
        <v>5.71</v>
      </c>
    </row>
    <row r="31" spans="1:19" x14ac:dyDescent="0.25">
      <c r="A31" s="96" t="str">
        <f>'Data Vlaue (Cr)'!C22</f>
        <v>BAJAJFINSV</v>
      </c>
      <c r="B31" s="75">
        <f>VLOOKUP($A31,'Data Vlaue (Cr)'!$C:$FB,2)</f>
        <v>250</v>
      </c>
      <c r="C31" s="75">
        <f>VLOOKUP($A31,'Data Vlaue (Cr)'!$C:$FB,8)</f>
        <v>2037</v>
      </c>
      <c r="D31" s="75">
        <f>VLOOKUP($A31,'Data Vlaue (Cr)'!$C:$FB,4)</f>
        <v>2044.6</v>
      </c>
      <c r="E31" s="75">
        <f>VLOOKUP($A31,'Data Vlaue (Cr)'!$C:$FB,5)</f>
        <v>2047</v>
      </c>
      <c r="F31" s="75">
        <f t="shared" si="0"/>
        <v>7.5999999999999091</v>
      </c>
      <c r="G31" s="75">
        <f t="shared" si="1"/>
        <v>-0.11738237308031355</v>
      </c>
      <c r="H31" s="75">
        <f>VLOOKUP($A31,'Data Vlaue (Cr)'!$C:$FB,99)</f>
        <v>4777</v>
      </c>
      <c r="I31" s="75">
        <f>VLOOKUP($A31,'Data Vlaue (Cr)'!$C:$FB,100)</f>
        <v>4660</v>
      </c>
      <c r="J31" s="75">
        <f t="shared" si="2"/>
        <v>117</v>
      </c>
      <c r="K31" s="75">
        <f t="shared" si="3"/>
        <v>2.4492359221268578</v>
      </c>
      <c r="L31" s="75">
        <f>VLOOKUP($A31,'Data Vlaue (Cr)'!$C:$FB,67)</f>
        <v>711</v>
      </c>
      <c r="M31" s="75">
        <f>VLOOKUP($A31,'Data Vlaue (Cr)'!$C:$FB,68)</f>
        <v>1473</v>
      </c>
      <c r="N31" s="75">
        <f t="shared" si="4"/>
        <v>-762</v>
      </c>
      <c r="O31" s="75">
        <f t="shared" si="5"/>
        <v>-107.17299578059072</v>
      </c>
      <c r="P31" s="75">
        <f>VLOOKUP($A31,'Data Vlaue (Cr)'!$C:$FB,119)</f>
        <v>0.87</v>
      </c>
      <c r="Q31" s="75">
        <f>VLOOKUP($A31,'Data Vlaue (Cr)'!$C:$FB,122)*100</f>
        <v>-5.43</v>
      </c>
      <c r="R31" s="75">
        <f>VLOOKUP($A31,'Data Vlaue (Cr)'!$C:$FB,125)</f>
        <v>0.56999999999999995</v>
      </c>
      <c r="S31" s="75">
        <f>VLOOKUP($A31,'Data Vlaue (Cr)'!$C:$FB,128)*100</f>
        <v>14.000000000000002</v>
      </c>
    </row>
    <row r="32" spans="1:19" x14ac:dyDescent="0.25">
      <c r="A32" s="96" t="str">
        <f>'Data Vlaue (Cr)'!C23</f>
        <v>BAJAJHLDNG</v>
      </c>
      <c r="B32" s="75">
        <f>VLOOKUP($A32,'Data Vlaue (Cr)'!$C:$FB,2)</f>
        <v>50</v>
      </c>
      <c r="C32" s="75">
        <f>VLOOKUP($A32,'Data Vlaue (Cr)'!$C:$FB,8)</f>
        <v>11342</v>
      </c>
      <c r="D32" s="75">
        <f>VLOOKUP($A32,'Data Vlaue (Cr)'!$C:$FB,4)</f>
        <v>11420</v>
      </c>
      <c r="E32" s="75">
        <f>VLOOKUP($A32,'Data Vlaue (Cr)'!$C:$FB,5)</f>
        <v>11397</v>
      </c>
      <c r="F32" s="75">
        <f t="shared" si="0"/>
        <v>78</v>
      </c>
      <c r="G32" s="75">
        <f t="shared" si="1"/>
        <v>0.20140105078809106</v>
      </c>
      <c r="H32" s="75">
        <f>VLOOKUP($A32,'Data Vlaue (Cr)'!$C:$FB,99)</f>
        <v>126</v>
      </c>
      <c r="I32" s="75">
        <f>VLOOKUP($A32,'Data Vlaue (Cr)'!$C:$FB,100)</f>
        <v>98</v>
      </c>
      <c r="J32" s="75">
        <f t="shared" si="2"/>
        <v>28</v>
      </c>
      <c r="K32" s="75">
        <f t="shared" si="3"/>
        <v>22.222222222222221</v>
      </c>
      <c r="L32" s="75">
        <f>VLOOKUP($A32,'Data Vlaue (Cr)'!$C:$FB,67)</f>
        <v>117</v>
      </c>
      <c r="M32" s="75">
        <f>VLOOKUP($A32,'Data Vlaue (Cr)'!$C:$FB,68)</f>
        <v>287</v>
      </c>
      <c r="N32" s="75">
        <f t="shared" si="4"/>
        <v>-170</v>
      </c>
      <c r="O32" s="75">
        <f t="shared" si="5"/>
        <v>-145.29914529914529</v>
      </c>
      <c r="P32" s="75">
        <f>VLOOKUP($A32,'Data Vlaue (Cr)'!$C:$FB,119)</f>
        <v>0.25</v>
      </c>
      <c r="Q32" s="75">
        <f>VLOOKUP($A32,'Data Vlaue (Cr)'!$C:$FB,122)*100</f>
        <v>66.67</v>
      </c>
      <c r="R32" s="75">
        <f>VLOOKUP($A32,'Data Vlaue (Cr)'!$C:$FB,125)</f>
        <v>0.19</v>
      </c>
      <c r="S32" s="75">
        <f>VLOOKUP($A32,'Data Vlaue (Cr)'!$C:$FB,128)*100</f>
        <v>216.67000000000002</v>
      </c>
    </row>
    <row r="33" spans="1:19" x14ac:dyDescent="0.25">
      <c r="A33" s="96" t="str">
        <f>'Data Vlaue (Cr)'!C24</f>
        <v>BAJFINANCE</v>
      </c>
      <c r="B33" s="75">
        <f>VLOOKUP($A33,'Data Vlaue (Cr)'!$C:$FB,2)</f>
        <v>750</v>
      </c>
      <c r="C33" s="75">
        <f>VLOOKUP($A33,'Data Vlaue (Cr)'!$C:$FB,8)</f>
        <v>973.1</v>
      </c>
      <c r="D33" s="75">
        <f>VLOOKUP($A33,'Data Vlaue (Cr)'!$C:$FB,4)</f>
        <v>979.9</v>
      </c>
      <c r="E33" s="75">
        <f>VLOOKUP($A33,'Data Vlaue (Cr)'!$C:$FB,5)</f>
        <v>993.1</v>
      </c>
      <c r="F33" s="75">
        <f t="shared" si="0"/>
        <v>6.7999999999999545</v>
      </c>
      <c r="G33" s="75">
        <f t="shared" si="1"/>
        <v>-1.3470762322686034</v>
      </c>
      <c r="H33" s="75">
        <f>VLOOKUP($A33,'Data Vlaue (Cr)'!$C:$FB,99)</f>
        <v>13099</v>
      </c>
      <c r="I33" s="75">
        <f>VLOOKUP($A33,'Data Vlaue (Cr)'!$C:$FB,100)</f>
        <v>12262</v>
      </c>
      <c r="J33" s="75">
        <f t="shared" si="2"/>
        <v>837</v>
      </c>
      <c r="K33" s="75">
        <f t="shared" si="3"/>
        <v>6.3898007481487138</v>
      </c>
      <c r="L33" s="75">
        <f>VLOOKUP($A33,'Data Vlaue (Cr)'!$C:$FB,67)</f>
        <v>3701</v>
      </c>
      <c r="M33" s="75">
        <f>VLOOKUP($A33,'Data Vlaue (Cr)'!$C:$FB,68)</f>
        <v>5246</v>
      </c>
      <c r="N33" s="75">
        <f t="shared" si="4"/>
        <v>-1545</v>
      </c>
      <c r="O33" s="75">
        <f t="shared" si="5"/>
        <v>-41.745474196163201</v>
      </c>
      <c r="P33" s="75">
        <f>VLOOKUP($A33,'Data Vlaue (Cr)'!$C:$FB,119)</f>
        <v>0.71</v>
      </c>
      <c r="Q33" s="75">
        <f>VLOOKUP($A33,'Data Vlaue (Cr)'!$C:$FB,122)*100</f>
        <v>-4.05</v>
      </c>
      <c r="R33" s="75">
        <f>VLOOKUP($A33,'Data Vlaue (Cr)'!$C:$FB,125)</f>
        <v>0.56999999999999995</v>
      </c>
      <c r="S33" s="75">
        <f>VLOOKUP($A33,'Data Vlaue (Cr)'!$C:$FB,128)*100</f>
        <v>18.75</v>
      </c>
    </row>
    <row r="34" spans="1:19" x14ac:dyDescent="0.25">
      <c r="A34" s="96" t="str">
        <f>'Data Vlaue (Cr)'!C25</f>
        <v>BANDHANBNK</v>
      </c>
      <c r="B34" s="75">
        <f>VLOOKUP($A34,'Data Vlaue (Cr)'!$C:$FB,2)</f>
        <v>3600</v>
      </c>
      <c r="C34" s="75">
        <f>VLOOKUP($A34,'Data Vlaue (Cr)'!$C:$FB,8)</f>
        <v>144.18</v>
      </c>
      <c r="D34" s="75">
        <f>VLOOKUP($A34,'Data Vlaue (Cr)'!$C:$FB,4)</f>
        <v>145.15</v>
      </c>
      <c r="E34" s="75">
        <f>VLOOKUP($A34,'Data Vlaue (Cr)'!$C:$FB,5)</f>
        <v>146.72999999999999</v>
      </c>
      <c r="F34" s="75">
        <f t="shared" si="0"/>
        <v>0.96999999999999886</v>
      </c>
      <c r="G34" s="75">
        <f t="shared" si="1"/>
        <v>-1.0885291078194861</v>
      </c>
      <c r="H34" s="180">
        <f>VLOOKUP($A34,'Data Vlaue (Cr)'!$C:$FB,99)</f>
        <v>2434</v>
      </c>
      <c r="I34" s="180">
        <f>VLOOKUP($A34,'Data Vlaue (Cr)'!$C:$FB,100)</f>
        <v>2366</v>
      </c>
      <c r="J34" s="180">
        <f t="shared" si="2"/>
        <v>68</v>
      </c>
      <c r="K34" s="180">
        <f t="shared" si="3"/>
        <v>2.7937551355792936</v>
      </c>
      <c r="L34" s="180">
        <f>VLOOKUP($A34,'Data Vlaue (Cr)'!$C:$FB,67)</f>
        <v>398</v>
      </c>
      <c r="M34" s="180">
        <f>VLOOKUP($A34,'Data Vlaue (Cr)'!$C:$FB,68)</f>
        <v>470</v>
      </c>
      <c r="N34" s="180">
        <f t="shared" si="4"/>
        <v>-72</v>
      </c>
      <c r="O34" s="180">
        <f t="shared" si="5"/>
        <v>-18.090452261306535</v>
      </c>
      <c r="P34" s="180">
        <f>VLOOKUP($A34,'Data Vlaue (Cr)'!$C:$FB,119)</f>
        <v>1.07</v>
      </c>
      <c r="Q34" s="180">
        <f>VLOOKUP($A34,'Data Vlaue (Cr)'!$C:$FB,122)*100</f>
        <v>-0.92999999999999994</v>
      </c>
      <c r="R34" s="180">
        <f>VLOOKUP($A34,'Data Vlaue (Cr)'!$C:$FB,125)</f>
        <v>0.42</v>
      </c>
      <c r="S34" s="180">
        <f>VLOOKUP($A34,'Data Vlaue (Cr)'!$C:$FB,128)*100</f>
        <v>-14.29</v>
      </c>
    </row>
    <row r="35" spans="1:19" x14ac:dyDescent="0.25">
      <c r="A35" s="96" t="str">
        <f>'Data Vlaue (Cr)'!C26</f>
        <v>BANKBARODA</v>
      </c>
      <c r="B35" s="75">
        <f>VLOOKUP($A35,'Data Vlaue (Cr)'!$C:$FB,2)</f>
        <v>2925</v>
      </c>
      <c r="C35" s="75">
        <f>VLOOKUP($A35,'Data Vlaue (Cr)'!$C:$FB,8)</f>
        <v>300.75</v>
      </c>
      <c r="D35" s="75">
        <f>VLOOKUP($A35,'Data Vlaue (Cr)'!$C:$FB,4)</f>
        <v>302.85000000000002</v>
      </c>
      <c r="E35" s="75">
        <f>VLOOKUP($A35,'Data Vlaue (Cr)'!$C:$FB,5)</f>
        <v>297.85000000000002</v>
      </c>
      <c r="F35" s="75">
        <f t="shared" si="0"/>
        <v>2.1000000000000227</v>
      </c>
      <c r="G35" s="75">
        <f t="shared" si="1"/>
        <v>1.6509823344890211</v>
      </c>
      <c r="H35" s="75">
        <f>VLOOKUP($A35,'Data Vlaue (Cr)'!$C:$FB,99)</f>
        <v>4081</v>
      </c>
      <c r="I35" s="75">
        <f>VLOOKUP($A35,'Data Vlaue (Cr)'!$C:$FB,100)</f>
        <v>3722</v>
      </c>
      <c r="J35" s="75">
        <f t="shared" si="2"/>
        <v>359</v>
      </c>
      <c r="K35" s="75">
        <f t="shared" si="3"/>
        <v>8.7968635138446469</v>
      </c>
      <c r="L35" s="75">
        <f>VLOOKUP($A35,'Data Vlaue (Cr)'!$C:$FB,67)</f>
        <v>3657</v>
      </c>
      <c r="M35" s="75">
        <f>VLOOKUP($A35,'Data Vlaue (Cr)'!$C:$FB,68)</f>
        <v>3182</v>
      </c>
      <c r="N35" s="75">
        <f t="shared" si="4"/>
        <v>475</v>
      </c>
      <c r="O35" s="75">
        <f t="shared" si="5"/>
        <v>12.988788624555648</v>
      </c>
      <c r="P35" s="75">
        <f>VLOOKUP($A35,'Data Vlaue (Cr)'!$C:$FB,119)</f>
        <v>0.91</v>
      </c>
      <c r="Q35" s="75">
        <f>VLOOKUP($A35,'Data Vlaue (Cr)'!$C:$FB,122)*100</f>
        <v>-16.509999999999998</v>
      </c>
      <c r="R35" s="75">
        <f>VLOOKUP($A35,'Data Vlaue (Cr)'!$C:$FB,125)</f>
        <v>0.49</v>
      </c>
      <c r="S35" s="75">
        <f>VLOOKUP($A35,'Data Vlaue (Cr)'!$C:$FB,128)*100</f>
        <v>-18.329999999999998</v>
      </c>
    </row>
    <row r="36" spans="1:19" x14ac:dyDescent="0.25">
      <c r="A36" s="96" t="str">
        <f>'Data Vlaue (Cr)'!C27</f>
        <v>BANKINDIA</v>
      </c>
      <c r="B36" s="75">
        <f>VLOOKUP($A36,'Data Vlaue (Cr)'!$C:$FB,2)</f>
        <v>5200</v>
      </c>
      <c r="C36" s="75">
        <f>VLOOKUP($A36,'Data Vlaue (Cr)'!$C:$FB,8)</f>
        <v>146.99</v>
      </c>
      <c r="D36" s="75">
        <f>VLOOKUP($A36,'Data Vlaue (Cr)'!$C:$FB,4)</f>
        <v>147.97999999999999</v>
      </c>
      <c r="E36" s="75">
        <f>VLOOKUP($A36,'Data Vlaue (Cr)'!$C:$FB,5)</f>
        <v>144.6</v>
      </c>
      <c r="F36" s="75">
        <f t="shared" si="0"/>
        <v>0.98999999999998067</v>
      </c>
      <c r="G36" s="75">
        <f t="shared" si="1"/>
        <v>2.2840924449249869</v>
      </c>
      <c r="H36" s="75">
        <f>VLOOKUP($A36,'Data Vlaue (Cr)'!$C:$FB,99)</f>
        <v>1065</v>
      </c>
      <c r="I36" s="75">
        <f>VLOOKUP($A36,'Data Vlaue (Cr)'!$C:$FB,100)</f>
        <v>1053</v>
      </c>
      <c r="J36" s="75">
        <f t="shared" si="2"/>
        <v>12</v>
      </c>
      <c r="K36" s="75">
        <f t="shared" si="3"/>
        <v>1.1267605633802817</v>
      </c>
      <c r="L36" s="75">
        <f>VLOOKUP($A36,'Data Vlaue (Cr)'!$C:$FB,67)</f>
        <v>480</v>
      </c>
      <c r="M36" s="75">
        <f>VLOOKUP($A36,'Data Vlaue (Cr)'!$C:$FB,68)</f>
        <v>564</v>
      </c>
      <c r="N36" s="75">
        <f t="shared" si="4"/>
        <v>-84</v>
      </c>
      <c r="O36" s="75">
        <f t="shared" si="5"/>
        <v>-17.5</v>
      </c>
      <c r="P36" s="75">
        <f>VLOOKUP($A36,'Data Vlaue (Cr)'!$C:$FB,119)</f>
        <v>1.22</v>
      </c>
      <c r="Q36" s="75">
        <f>VLOOKUP($A36,'Data Vlaue (Cr)'!$C:$FB,122)*100</f>
        <v>15.09</v>
      </c>
      <c r="R36" s="75">
        <f>VLOOKUP($A36,'Data Vlaue (Cr)'!$C:$FB,125)</f>
        <v>0.55000000000000004</v>
      </c>
      <c r="S36" s="75">
        <f>VLOOKUP($A36,'Data Vlaue (Cr)'!$C:$FB,128)*100</f>
        <v>12.24</v>
      </c>
    </row>
    <row r="37" spans="1:19" x14ac:dyDescent="0.25">
      <c r="A37" s="96" t="str">
        <f>'Data Vlaue (Cr)'!C28</f>
        <v>BANKNIFTY</v>
      </c>
      <c r="B37" s="75">
        <f>VLOOKUP($A37,'Data Vlaue (Cr)'!$C:$FB,2)</f>
        <v>30</v>
      </c>
      <c r="C37" s="75">
        <f>VLOOKUP($A37,'Data Vlaue (Cr)'!$C:$FB,8)</f>
        <v>59711.55</v>
      </c>
      <c r="D37" s="75">
        <f>VLOOKUP($A37,'Data Vlaue (Cr)'!$C:$FB,4)</f>
        <v>59955.6</v>
      </c>
      <c r="E37" s="75">
        <f>VLOOKUP($A37,'Data Vlaue (Cr)'!$C:$FB,5)</f>
        <v>59883.6</v>
      </c>
      <c r="F37" s="75">
        <f t="shared" si="0"/>
        <v>244.04999999999563</v>
      </c>
      <c r="G37" s="75">
        <f t="shared" si="1"/>
        <v>0.12008886576066288</v>
      </c>
      <c r="H37" s="75">
        <f>VLOOKUP($A37,'Data Vlaue (Cr)'!$C:$FB,99)</f>
        <v>138164</v>
      </c>
      <c r="I37" s="75">
        <f>VLOOKUP($A37,'Data Vlaue (Cr)'!$C:$FB,100)</f>
        <v>127797</v>
      </c>
      <c r="J37" s="75">
        <f t="shared" si="2"/>
        <v>10367</v>
      </c>
      <c r="K37" s="75">
        <f t="shared" si="3"/>
        <v>7.5034017544367559</v>
      </c>
      <c r="L37" s="75">
        <f>VLOOKUP($A37,'Data Vlaue (Cr)'!$C:$FB,67)</f>
        <v>191992</v>
      </c>
      <c r="M37" s="75">
        <f>VLOOKUP($A37,'Data Vlaue (Cr)'!$C:$FB,68)</f>
        <v>362882</v>
      </c>
      <c r="N37" s="75">
        <f t="shared" si="4"/>
        <v>-170890</v>
      </c>
      <c r="O37" s="75">
        <f t="shared" si="5"/>
        <v>-89.008917038209916</v>
      </c>
      <c r="P37" s="75">
        <f>VLOOKUP($A37,'Data Vlaue (Cr)'!$C:$FB,119)</f>
        <v>1.1399999999999999</v>
      </c>
      <c r="Q37" s="75">
        <f>VLOOKUP($A37,'Data Vlaue (Cr)'!$C:$FB,122)*100</f>
        <v>0.88</v>
      </c>
      <c r="R37" s="75">
        <f>VLOOKUP($A37,'Data Vlaue (Cr)'!$C:$FB,125)</f>
        <v>0.91</v>
      </c>
      <c r="S37" s="75">
        <f>VLOOKUP($A37,'Data Vlaue (Cr)'!$C:$FB,128)*100</f>
        <v>3.4099999999999997</v>
      </c>
    </row>
    <row r="38" spans="1:19" x14ac:dyDescent="0.25">
      <c r="A38" s="96" t="str">
        <f>'Data Vlaue (Cr)'!C29</f>
        <v>BDL</v>
      </c>
      <c r="B38" s="75">
        <f>VLOOKUP($A38,'Data Vlaue (Cr)'!$C:$FB,2)</f>
        <v>350</v>
      </c>
      <c r="C38" s="75">
        <f>VLOOKUP($A38,'Data Vlaue (Cr)'!$C:$FB,8)</f>
        <v>1481.5</v>
      </c>
      <c r="D38" s="75">
        <f>VLOOKUP($A38,'Data Vlaue (Cr)'!$C:$FB,4)</f>
        <v>1487.2</v>
      </c>
      <c r="E38" s="75">
        <f>VLOOKUP($A38,'Data Vlaue (Cr)'!$C:$FB,5)</f>
        <v>1474.8</v>
      </c>
      <c r="F38" s="75">
        <f t="shared" si="0"/>
        <v>5.7000000000000455</v>
      </c>
      <c r="G38" s="75">
        <f t="shared" si="1"/>
        <v>0.83378160301237836</v>
      </c>
      <c r="H38" s="75">
        <f>VLOOKUP($A38,'Data Vlaue (Cr)'!$C:$FB,99)</f>
        <v>1540</v>
      </c>
      <c r="I38" s="75">
        <f>VLOOKUP($A38,'Data Vlaue (Cr)'!$C:$FB,100)</f>
        <v>1526</v>
      </c>
      <c r="J38" s="75">
        <f t="shared" si="2"/>
        <v>14</v>
      </c>
      <c r="K38" s="75">
        <f t="shared" si="3"/>
        <v>0.90909090909090906</v>
      </c>
      <c r="L38" s="75">
        <f>VLOOKUP($A38,'Data Vlaue (Cr)'!$C:$FB,67)</f>
        <v>829</v>
      </c>
      <c r="M38" s="75">
        <f>VLOOKUP($A38,'Data Vlaue (Cr)'!$C:$FB,68)</f>
        <v>748</v>
      </c>
      <c r="N38" s="75">
        <f t="shared" si="4"/>
        <v>81</v>
      </c>
      <c r="O38" s="75">
        <f t="shared" si="5"/>
        <v>9.7708082026538001</v>
      </c>
      <c r="P38" s="75">
        <f>VLOOKUP($A38,'Data Vlaue (Cr)'!$C:$FB,119)</f>
        <v>0.9</v>
      </c>
      <c r="Q38" s="75">
        <f>VLOOKUP($A38,'Data Vlaue (Cr)'!$C:$FB,122)*100</f>
        <v>-1.0999999999999999</v>
      </c>
      <c r="R38" s="75">
        <f>VLOOKUP($A38,'Data Vlaue (Cr)'!$C:$FB,125)</f>
        <v>0.56999999999999995</v>
      </c>
      <c r="S38" s="75">
        <f>VLOOKUP($A38,'Data Vlaue (Cr)'!$C:$FB,128)*100</f>
        <v>21.279999999999998</v>
      </c>
    </row>
    <row r="39" spans="1:19" x14ac:dyDescent="0.25">
      <c r="A39" s="96" t="str">
        <f>'Data Vlaue (Cr)'!C30</f>
        <v>BEL</v>
      </c>
      <c r="B39" s="75">
        <f>VLOOKUP($A39,'Data Vlaue (Cr)'!$C:$FB,2)</f>
        <v>1425</v>
      </c>
      <c r="C39" s="75">
        <f>VLOOKUP($A39,'Data Vlaue (Cr)'!$C:$FB,8)</f>
        <v>397.7</v>
      </c>
      <c r="D39" s="75">
        <f>VLOOKUP($A39,'Data Vlaue (Cr)'!$C:$FB,4)</f>
        <v>400.3</v>
      </c>
      <c r="E39" s="75">
        <f>VLOOKUP($A39,'Data Vlaue (Cr)'!$C:$FB,5)</f>
        <v>402.2</v>
      </c>
      <c r="F39" s="75">
        <f t="shared" si="0"/>
        <v>2.6000000000000227</v>
      </c>
      <c r="G39" s="75">
        <f t="shared" si="1"/>
        <v>-0.47464401698725389</v>
      </c>
      <c r="H39" s="75">
        <f>VLOOKUP($A39,'Data Vlaue (Cr)'!$C:$FB,99)</f>
        <v>7767</v>
      </c>
      <c r="I39" s="75">
        <f>VLOOKUP($A39,'Data Vlaue (Cr)'!$C:$FB,100)</f>
        <v>7662</v>
      </c>
      <c r="J39" s="75">
        <f t="shared" si="2"/>
        <v>105</v>
      </c>
      <c r="K39" s="75">
        <f t="shared" si="3"/>
        <v>1.3518733101583624</v>
      </c>
      <c r="L39" s="75">
        <f>VLOOKUP($A39,'Data Vlaue (Cr)'!$C:$FB,67)</f>
        <v>2213</v>
      </c>
      <c r="M39" s="75">
        <f>VLOOKUP($A39,'Data Vlaue (Cr)'!$C:$FB,68)</f>
        <v>3510</v>
      </c>
      <c r="N39" s="75">
        <f t="shared" si="4"/>
        <v>-1297</v>
      </c>
      <c r="O39" s="75">
        <f t="shared" si="5"/>
        <v>-58.608224130140087</v>
      </c>
      <c r="P39" s="75">
        <f>VLOOKUP($A39,'Data Vlaue (Cr)'!$C:$FB,119)</f>
        <v>0.68</v>
      </c>
      <c r="Q39" s="75">
        <f>VLOOKUP($A39,'Data Vlaue (Cr)'!$C:$FB,122)*100</f>
        <v>-2.86</v>
      </c>
      <c r="R39" s="75">
        <f>VLOOKUP($A39,'Data Vlaue (Cr)'!$C:$FB,125)</f>
        <v>0.43</v>
      </c>
      <c r="S39" s="75">
        <f>VLOOKUP($A39,'Data Vlaue (Cr)'!$C:$FB,128)*100</f>
        <v>2.3800000000000003</v>
      </c>
    </row>
    <row r="40" spans="1:19" x14ac:dyDescent="0.25">
      <c r="A40" s="96" t="str">
        <f>'Data Vlaue (Cr)'!C31</f>
        <v>BHARATFORG</v>
      </c>
      <c r="B40" s="75">
        <f>VLOOKUP($A40,'Data Vlaue (Cr)'!$C:$FB,2)</f>
        <v>500</v>
      </c>
      <c r="C40" s="75">
        <f>VLOOKUP($A40,'Data Vlaue (Cr)'!$C:$FB,8)</f>
        <v>1464.4</v>
      </c>
      <c r="D40" s="75">
        <f>VLOOKUP($A40,'Data Vlaue (Cr)'!$C:$FB,4)</f>
        <v>1473.8</v>
      </c>
      <c r="E40" s="75">
        <f>VLOOKUP($A40,'Data Vlaue (Cr)'!$C:$FB,5)</f>
        <v>1476.8</v>
      </c>
      <c r="F40" s="75">
        <f t="shared" si="0"/>
        <v>9.3999999999998636</v>
      </c>
      <c r="G40" s="75">
        <f t="shared" si="1"/>
        <v>-0.20355543493011263</v>
      </c>
      <c r="H40" s="75">
        <f>VLOOKUP($A40,'Data Vlaue (Cr)'!$C:$FB,99)</f>
        <v>1869</v>
      </c>
      <c r="I40" s="75">
        <f>VLOOKUP($A40,'Data Vlaue (Cr)'!$C:$FB,100)</f>
        <v>1810</v>
      </c>
      <c r="J40" s="75">
        <f t="shared" si="2"/>
        <v>59</v>
      </c>
      <c r="K40" s="75">
        <f t="shared" si="3"/>
        <v>3.1567683253076511</v>
      </c>
      <c r="L40" s="75">
        <f>VLOOKUP($A40,'Data Vlaue (Cr)'!$C:$FB,67)</f>
        <v>898</v>
      </c>
      <c r="M40" s="75">
        <f>VLOOKUP($A40,'Data Vlaue (Cr)'!$C:$FB,68)</f>
        <v>2746</v>
      </c>
      <c r="N40" s="75">
        <f t="shared" si="4"/>
        <v>-1848</v>
      </c>
      <c r="O40" s="75">
        <f t="shared" si="5"/>
        <v>-205.79064587973272</v>
      </c>
      <c r="P40" s="75">
        <f>VLOOKUP($A40,'Data Vlaue (Cr)'!$C:$FB,119)</f>
        <v>0.57999999999999996</v>
      </c>
      <c r="Q40" s="75">
        <f>VLOOKUP($A40,'Data Vlaue (Cr)'!$C:$FB,122)*100</f>
        <v>3.5700000000000003</v>
      </c>
      <c r="R40" s="75">
        <f>VLOOKUP($A40,'Data Vlaue (Cr)'!$C:$FB,125)</f>
        <v>0.48</v>
      </c>
      <c r="S40" s="75">
        <f>VLOOKUP($A40,'Data Vlaue (Cr)'!$C:$FB,128)*100</f>
        <v>100</v>
      </c>
    </row>
    <row r="41" spans="1:19" x14ac:dyDescent="0.25">
      <c r="A41" s="96" t="str">
        <f>'Data Vlaue (Cr)'!C32</f>
        <v>BHARTIARTL</v>
      </c>
      <c r="B41" s="75">
        <f>VLOOKUP($A41,'Data Vlaue (Cr)'!$C:$FB,2)</f>
        <v>475</v>
      </c>
      <c r="C41" s="75">
        <f>VLOOKUP($A41,'Data Vlaue (Cr)'!$C:$FB,8)</f>
        <v>2110.4</v>
      </c>
      <c r="D41" s="75">
        <f>VLOOKUP($A41,'Data Vlaue (Cr)'!$C:$FB,4)</f>
        <v>2123.6</v>
      </c>
      <c r="E41" s="75">
        <f>VLOOKUP($A41,'Data Vlaue (Cr)'!$C:$FB,5)</f>
        <v>2118.9</v>
      </c>
      <c r="F41" s="75">
        <f t="shared" si="0"/>
        <v>13.199999999999818</v>
      </c>
      <c r="G41" s="75">
        <f t="shared" si="1"/>
        <v>0.22132228291579481</v>
      </c>
      <c r="H41" s="75">
        <f>VLOOKUP($A41,'Data Vlaue (Cr)'!$C:$FB,99)</f>
        <v>12584</v>
      </c>
      <c r="I41" s="75">
        <f>VLOOKUP($A41,'Data Vlaue (Cr)'!$C:$FB,100)</f>
        <v>12305</v>
      </c>
      <c r="J41" s="75">
        <f t="shared" si="2"/>
        <v>279</v>
      </c>
      <c r="K41" s="75">
        <f t="shared" si="3"/>
        <v>2.2171010807374443</v>
      </c>
      <c r="L41" s="75">
        <f>VLOOKUP($A41,'Data Vlaue (Cr)'!$C:$FB,67)</f>
        <v>3482</v>
      </c>
      <c r="M41" s="75">
        <f>VLOOKUP($A41,'Data Vlaue (Cr)'!$C:$FB,68)</f>
        <v>6667</v>
      </c>
      <c r="N41" s="75">
        <f t="shared" si="4"/>
        <v>-3185</v>
      </c>
      <c r="O41" s="75">
        <f t="shared" si="5"/>
        <v>-91.470419299253308</v>
      </c>
      <c r="P41" s="75">
        <f>VLOOKUP($A41,'Data Vlaue (Cr)'!$C:$FB,119)</f>
        <v>0.66</v>
      </c>
      <c r="Q41" s="75">
        <f>VLOOKUP($A41,'Data Vlaue (Cr)'!$C:$FB,122)*100</f>
        <v>1.54</v>
      </c>
      <c r="R41" s="75">
        <f>VLOOKUP($A41,'Data Vlaue (Cr)'!$C:$FB,125)</f>
        <v>0.47</v>
      </c>
      <c r="S41" s="75">
        <f>VLOOKUP($A41,'Data Vlaue (Cr)'!$C:$FB,128)*100</f>
        <v>-6</v>
      </c>
    </row>
    <row r="42" spans="1:19" x14ac:dyDescent="0.25">
      <c r="A42" s="96" t="str">
        <f>'Data Vlaue (Cr)'!C33</f>
        <v>BHEL</v>
      </c>
      <c r="B42" s="75">
        <f>VLOOKUP($A42,'Data Vlaue (Cr)'!$C:$FB,2)</f>
        <v>2625</v>
      </c>
      <c r="C42" s="75">
        <f>VLOOKUP($A42,'Data Vlaue (Cr)'!$C:$FB,8)</f>
        <v>291.45</v>
      </c>
      <c r="D42" s="75">
        <f>VLOOKUP($A42,'Data Vlaue (Cr)'!$C:$FB,4)</f>
        <v>293.39999999999998</v>
      </c>
      <c r="E42" s="75">
        <f>VLOOKUP($A42,'Data Vlaue (Cr)'!$C:$FB,5)</f>
        <v>289.2</v>
      </c>
      <c r="F42" s="75">
        <f t="shared" si="0"/>
        <v>1.9499999999999886</v>
      </c>
      <c r="G42" s="75">
        <f t="shared" si="1"/>
        <v>1.4314928425357836</v>
      </c>
      <c r="H42" s="75">
        <f>VLOOKUP($A42,'Data Vlaue (Cr)'!$C:$FB,99)</f>
        <v>3394</v>
      </c>
      <c r="I42" s="75">
        <f>VLOOKUP($A42,'Data Vlaue (Cr)'!$C:$FB,100)</f>
        <v>3218</v>
      </c>
      <c r="J42" s="75">
        <f t="shared" si="2"/>
        <v>176</v>
      </c>
      <c r="K42" s="75">
        <f t="shared" si="3"/>
        <v>5.1856216853270478</v>
      </c>
      <c r="L42" s="75">
        <f>VLOOKUP($A42,'Data Vlaue (Cr)'!$C:$FB,67)</f>
        <v>2642</v>
      </c>
      <c r="M42" s="75">
        <f>VLOOKUP($A42,'Data Vlaue (Cr)'!$C:$FB,68)</f>
        <v>3399</v>
      </c>
      <c r="N42" s="75">
        <f t="shared" si="4"/>
        <v>-757</v>
      </c>
      <c r="O42" s="75">
        <f t="shared" si="5"/>
        <v>-28.652535957607871</v>
      </c>
      <c r="P42" s="75">
        <f>VLOOKUP($A42,'Data Vlaue (Cr)'!$C:$FB,119)</f>
        <v>0.57999999999999996</v>
      </c>
      <c r="Q42" s="75">
        <f>VLOOKUP($A42,'Data Vlaue (Cr)'!$C:$FB,122)*100</f>
        <v>7.41</v>
      </c>
      <c r="R42" s="75">
        <f>VLOOKUP($A42,'Data Vlaue (Cr)'!$C:$FB,125)</f>
        <v>0.3</v>
      </c>
      <c r="S42" s="75">
        <f>VLOOKUP($A42,'Data Vlaue (Cr)'!$C:$FB,128)*100</f>
        <v>-16.669999999999998</v>
      </c>
    </row>
    <row r="43" spans="1:19" x14ac:dyDescent="0.25">
      <c r="A43" s="96" t="str">
        <f>'Data Vlaue (Cr)'!C34</f>
        <v>BIOCON</v>
      </c>
      <c r="B43" s="75">
        <f>VLOOKUP($A43,'Data Vlaue (Cr)'!$C:$FB,2)</f>
        <v>2500</v>
      </c>
      <c r="C43" s="75">
        <f>VLOOKUP($A43,'Data Vlaue (Cr)'!$C:$FB,8)</f>
        <v>387.75</v>
      </c>
      <c r="D43" s="75">
        <f>VLOOKUP($A43,'Data Vlaue (Cr)'!$C:$FB,4)</f>
        <v>390.35</v>
      </c>
      <c r="E43" s="75">
        <f>VLOOKUP($A43,'Data Vlaue (Cr)'!$C:$FB,5)</f>
        <v>395.9</v>
      </c>
      <c r="F43" s="75">
        <f t="shared" si="0"/>
        <v>2.6000000000000227</v>
      </c>
      <c r="G43" s="75">
        <f t="shared" si="1"/>
        <v>-1.4218009478672868</v>
      </c>
      <c r="H43" s="75">
        <f>VLOOKUP($A43,'Data Vlaue (Cr)'!$C:$FB,99)</f>
        <v>2549</v>
      </c>
      <c r="I43" s="75">
        <f>VLOOKUP($A43,'Data Vlaue (Cr)'!$C:$FB,100)</f>
        <v>2467</v>
      </c>
      <c r="J43" s="75">
        <f t="shared" si="2"/>
        <v>82</v>
      </c>
      <c r="K43" s="75">
        <f t="shared" si="3"/>
        <v>3.216947822675559</v>
      </c>
      <c r="L43" s="75">
        <f>VLOOKUP($A43,'Data Vlaue (Cr)'!$C:$FB,67)</f>
        <v>796</v>
      </c>
      <c r="M43" s="75">
        <f>VLOOKUP($A43,'Data Vlaue (Cr)'!$C:$FB,68)</f>
        <v>827</v>
      </c>
      <c r="N43" s="75">
        <f t="shared" si="4"/>
        <v>-31</v>
      </c>
      <c r="O43" s="75">
        <f t="shared" si="5"/>
        <v>-3.8944723618090453</v>
      </c>
      <c r="P43" s="75">
        <f>VLOOKUP($A43,'Data Vlaue (Cr)'!$C:$FB,119)</f>
        <v>0.65</v>
      </c>
      <c r="Q43" s="75">
        <f>VLOOKUP($A43,'Data Vlaue (Cr)'!$C:$FB,122)*100</f>
        <v>0</v>
      </c>
      <c r="R43" s="75">
        <f>VLOOKUP($A43,'Data Vlaue (Cr)'!$C:$FB,125)</f>
        <v>0.54</v>
      </c>
      <c r="S43" s="75">
        <f>VLOOKUP($A43,'Data Vlaue (Cr)'!$C:$FB,128)*100</f>
        <v>12.5</v>
      </c>
    </row>
    <row r="44" spans="1:19" x14ac:dyDescent="0.25">
      <c r="A44" s="96" t="str">
        <f>'Data Vlaue (Cr)'!C35</f>
        <v>BLUESTARCO</v>
      </c>
      <c r="B44" s="75">
        <f>VLOOKUP($A44,'Data Vlaue (Cr)'!$C:$FB,2)</f>
        <v>325</v>
      </c>
      <c r="C44" s="75">
        <f>VLOOKUP($A44,'Data Vlaue (Cr)'!$C:$FB,8)</f>
        <v>1772.2</v>
      </c>
      <c r="D44" s="75">
        <f>VLOOKUP($A44,'Data Vlaue (Cr)'!$C:$FB,4)</f>
        <v>1779.7</v>
      </c>
      <c r="E44" s="75">
        <f>VLOOKUP($A44,'Data Vlaue (Cr)'!$C:$FB,5)</f>
        <v>1739.8</v>
      </c>
      <c r="F44" s="75">
        <f t="shared" si="0"/>
        <v>7.5</v>
      </c>
      <c r="G44" s="75">
        <f t="shared" si="1"/>
        <v>2.2419508905995444</v>
      </c>
      <c r="H44" s="75">
        <f>VLOOKUP($A44,'Data Vlaue (Cr)'!$C:$FB,99)</f>
        <v>503</v>
      </c>
      <c r="I44" s="75">
        <f>VLOOKUP($A44,'Data Vlaue (Cr)'!$C:$FB,100)</f>
        <v>469</v>
      </c>
      <c r="J44" s="75">
        <f t="shared" si="2"/>
        <v>34</v>
      </c>
      <c r="K44" s="75">
        <f t="shared" si="3"/>
        <v>6.7594433399602387</v>
      </c>
      <c r="L44" s="75">
        <f>VLOOKUP($A44,'Data Vlaue (Cr)'!$C:$FB,67)</f>
        <v>319</v>
      </c>
      <c r="M44" s="75">
        <f>VLOOKUP($A44,'Data Vlaue (Cr)'!$C:$FB,68)</f>
        <v>225</v>
      </c>
      <c r="N44" s="75">
        <f t="shared" si="4"/>
        <v>94</v>
      </c>
      <c r="O44" s="75">
        <f t="shared" si="5"/>
        <v>29.467084639498431</v>
      </c>
      <c r="P44" s="75">
        <f>VLOOKUP($A44,'Data Vlaue (Cr)'!$C:$FB,119)</f>
        <v>0.98</v>
      </c>
      <c r="Q44" s="75">
        <f>VLOOKUP($A44,'Data Vlaue (Cr)'!$C:$FB,122)*100</f>
        <v>13.950000000000001</v>
      </c>
      <c r="R44" s="75">
        <f>VLOOKUP($A44,'Data Vlaue (Cr)'!$C:$FB,125)</f>
        <v>0.34</v>
      </c>
      <c r="S44" s="75">
        <f>VLOOKUP($A44,'Data Vlaue (Cr)'!$C:$FB,128)*100</f>
        <v>-15</v>
      </c>
    </row>
    <row r="45" spans="1:19" x14ac:dyDescent="0.25">
      <c r="A45" s="96" t="str">
        <f>'Data Vlaue (Cr)'!C36</f>
        <v>BOSCHLTD</v>
      </c>
      <c r="B45" s="75">
        <f>VLOOKUP($A45,'Data Vlaue (Cr)'!$C:$FB,2)</f>
        <v>25</v>
      </c>
      <c r="C45" s="75">
        <f>VLOOKUP($A45,'Data Vlaue (Cr)'!$C:$FB,8)</f>
        <v>36140</v>
      </c>
      <c r="D45" s="75">
        <f>VLOOKUP($A45,'Data Vlaue (Cr)'!$C:$FB,4)</f>
        <v>36325</v>
      </c>
      <c r="E45" s="75">
        <f>VLOOKUP($A45,'Data Vlaue (Cr)'!$C:$FB,5)</f>
        <v>36210</v>
      </c>
      <c r="F45" s="75">
        <f t="shared" si="0"/>
        <v>185</v>
      </c>
      <c r="G45" s="75">
        <f t="shared" si="1"/>
        <v>0.31658637302133519</v>
      </c>
      <c r="H45" s="75">
        <f>VLOOKUP($A45,'Data Vlaue (Cr)'!$C:$FB,99)</f>
        <v>937</v>
      </c>
      <c r="I45" s="75">
        <f>VLOOKUP($A45,'Data Vlaue (Cr)'!$C:$FB,100)</f>
        <v>885</v>
      </c>
      <c r="J45" s="75">
        <f t="shared" si="2"/>
        <v>52</v>
      </c>
      <c r="K45" s="75">
        <f t="shared" si="3"/>
        <v>5.5496264674493059</v>
      </c>
      <c r="L45" s="75">
        <f>VLOOKUP($A45,'Data Vlaue (Cr)'!$C:$FB,67)</f>
        <v>264</v>
      </c>
      <c r="M45" s="75">
        <f>VLOOKUP($A45,'Data Vlaue (Cr)'!$C:$FB,68)</f>
        <v>578</v>
      </c>
      <c r="N45" s="75">
        <f t="shared" si="4"/>
        <v>-314</v>
      </c>
      <c r="O45" s="75">
        <f t="shared" si="5"/>
        <v>-118.93939393939394</v>
      </c>
      <c r="P45" s="75">
        <f>VLOOKUP($A45,'Data Vlaue (Cr)'!$C:$FB,119)</f>
        <v>1.1000000000000001</v>
      </c>
      <c r="Q45" s="75">
        <f>VLOOKUP($A45,'Data Vlaue (Cr)'!$C:$FB,122)*100</f>
        <v>14.580000000000002</v>
      </c>
      <c r="R45" s="75">
        <f>VLOOKUP($A45,'Data Vlaue (Cr)'!$C:$FB,125)</f>
        <v>1.57</v>
      </c>
      <c r="S45" s="75">
        <f>VLOOKUP($A45,'Data Vlaue (Cr)'!$C:$FB,128)*100</f>
        <v>234.04</v>
      </c>
    </row>
    <row r="46" spans="1:19" x14ac:dyDescent="0.25">
      <c r="A46" s="96" t="str">
        <f>'Data Vlaue (Cr)'!C37</f>
        <v>BPCL</v>
      </c>
      <c r="B46" s="75">
        <f>VLOOKUP($A46,'Data Vlaue (Cr)'!$C:$FB,2)</f>
        <v>1975</v>
      </c>
      <c r="C46" s="75">
        <f>VLOOKUP($A46,'Data Vlaue (Cr)'!$C:$FB,8)</f>
        <v>381.5</v>
      </c>
      <c r="D46" s="75">
        <f>VLOOKUP($A46,'Data Vlaue (Cr)'!$C:$FB,4)</f>
        <v>383.6</v>
      </c>
      <c r="E46" s="75">
        <f>VLOOKUP($A46,'Data Vlaue (Cr)'!$C:$FB,5)</f>
        <v>386.35</v>
      </c>
      <c r="F46" s="75">
        <f t="shared" si="0"/>
        <v>2.1000000000000227</v>
      </c>
      <c r="G46" s="75">
        <f t="shared" si="1"/>
        <v>-0.71689259645464021</v>
      </c>
      <c r="H46" s="75">
        <f>VLOOKUP($A46,'Data Vlaue (Cr)'!$C:$FB,99)</f>
        <v>1730</v>
      </c>
      <c r="I46" s="75">
        <f>VLOOKUP($A46,'Data Vlaue (Cr)'!$C:$FB,100)</f>
        <v>1635</v>
      </c>
      <c r="J46" s="75">
        <f t="shared" si="2"/>
        <v>95</v>
      </c>
      <c r="K46" s="75">
        <f t="shared" si="3"/>
        <v>5.4913294797687859</v>
      </c>
      <c r="L46" s="75">
        <f>VLOOKUP($A46,'Data Vlaue (Cr)'!$C:$FB,67)</f>
        <v>1470</v>
      </c>
      <c r="M46" s="75">
        <f>VLOOKUP($A46,'Data Vlaue (Cr)'!$C:$FB,68)</f>
        <v>2828</v>
      </c>
      <c r="N46" s="75">
        <f t="shared" si="4"/>
        <v>-1358</v>
      </c>
      <c r="O46" s="75">
        <f t="shared" si="5"/>
        <v>-92.38095238095238</v>
      </c>
      <c r="P46" s="75">
        <f>VLOOKUP($A46,'Data Vlaue (Cr)'!$C:$FB,119)</f>
        <v>0.66</v>
      </c>
      <c r="Q46" s="75">
        <f>VLOOKUP($A46,'Data Vlaue (Cr)'!$C:$FB,122)*100</f>
        <v>-17.5</v>
      </c>
      <c r="R46" s="75">
        <f>VLOOKUP($A46,'Data Vlaue (Cr)'!$C:$FB,125)</f>
        <v>0.49</v>
      </c>
      <c r="S46" s="75">
        <f>VLOOKUP($A46,'Data Vlaue (Cr)'!$C:$FB,128)*100</f>
        <v>40</v>
      </c>
    </row>
    <row r="47" spans="1:19" x14ac:dyDescent="0.25">
      <c r="A47" s="96" t="str">
        <f>'Data Vlaue (Cr)'!C38</f>
        <v>BRITANNIA</v>
      </c>
      <c r="B47" s="75">
        <f>VLOOKUP($A47,'Data Vlaue (Cr)'!$C:$FB,2)</f>
        <v>125</v>
      </c>
      <c r="C47" s="75">
        <f>VLOOKUP($A47,'Data Vlaue (Cr)'!$C:$FB,8)</f>
        <v>6009.5</v>
      </c>
      <c r="D47" s="75">
        <f>VLOOKUP($A47,'Data Vlaue (Cr)'!$C:$FB,4)</f>
        <v>6050</v>
      </c>
      <c r="E47" s="75">
        <f>VLOOKUP($A47,'Data Vlaue (Cr)'!$C:$FB,5)</f>
        <v>6070</v>
      </c>
      <c r="F47" s="75">
        <f t="shared" si="0"/>
        <v>40.5</v>
      </c>
      <c r="G47" s="75">
        <f t="shared" si="1"/>
        <v>-0.33057851239669422</v>
      </c>
      <c r="H47" s="75">
        <f>VLOOKUP($A47,'Data Vlaue (Cr)'!$C:$FB,99)</f>
        <v>2119</v>
      </c>
      <c r="I47" s="75">
        <f>VLOOKUP($A47,'Data Vlaue (Cr)'!$C:$FB,100)</f>
        <v>1987</v>
      </c>
      <c r="J47" s="75">
        <f t="shared" si="2"/>
        <v>132</v>
      </c>
      <c r="K47" s="75">
        <f t="shared" si="3"/>
        <v>6.2293534686172718</v>
      </c>
      <c r="L47" s="75">
        <f>VLOOKUP($A47,'Data Vlaue (Cr)'!$C:$FB,67)</f>
        <v>565</v>
      </c>
      <c r="M47" s="75">
        <f>VLOOKUP($A47,'Data Vlaue (Cr)'!$C:$FB,68)</f>
        <v>513</v>
      </c>
      <c r="N47" s="75">
        <f t="shared" si="4"/>
        <v>52</v>
      </c>
      <c r="O47" s="75">
        <f t="shared" si="5"/>
        <v>9.2035398230088497</v>
      </c>
      <c r="P47" s="75">
        <f>VLOOKUP($A47,'Data Vlaue (Cr)'!$C:$FB,119)</f>
        <v>0.44</v>
      </c>
      <c r="Q47" s="75">
        <f>VLOOKUP($A47,'Data Vlaue (Cr)'!$C:$FB,122)*100</f>
        <v>-13.73</v>
      </c>
      <c r="R47" s="75">
        <f>VLOOKUP($A47,'Data Vlaue (Cr)'!$C:$FB,125)</f>
        <v>0.45</v>
      </c>
      <c r="S47" s="75">
        <f>VLOOKUP($A47,'Data Vlaue (Cr)'!$C:$FB,128)*100</f>
        <v>18.420000000000002</v>
      </c>
    </row>
    <row r="48" spans="1:19" x14ac:dyDescent="0.25">
      <c r="A48" s="96" t="str">
        <f>'Data Vlaue (Cr)'!C39</f>
        <v>BSE</v>
      </c>
      <c r="B48" s="75">
        <f>VLOOKUP($A48,'Data Vlaue (Cr)'!$C:$FB,2)</f>
        <v>375</v>
      </c>
      <c r="C48" s="75">
        <f>VLOOKUP($A48,'Data Vlaue (Cr)'!$C:$FB,8)</f>
        <v>2628</v>
      </c>
      <c r="D48" s="75">
        <f>VLOOKUP($A48,'Data Vlaue (Cr)'!$C:$FB,4)</f>
        <v>2644.6</v>
      </c>
      <c r="E48" s="75">
        <f>VLOOKUP($A48,'Data Vlaue (Cr)'!$C:$FB,5)</f>
        <v>2649.2</v>
      </c>
      <c r="F48" s="75">
        <f t="shared" si="0"/>
        <v>16.599999999999909</v>
      </c>
      <c r="G48" s="75">
        <f t="shared" si="1"/>
        <v>-0.17393934810557019</v>
      </c>
      <c r="H48" s="75">
        <f>VLOOKUP($A48,'Data Vlaue (Cr)'!$C:$FB,99)</f>
        <v>6099</v>
      </c>
      <c r="I48" s="75">
        <f>VLOOKUP($A48,'Data Vlaue (Cr)'!$C:$FB,100)</f>
        <v>5900</v>
      </c>
      <c r="J48" s="75">
        <f t="shared" si="2"/>
        <v>199</v>
      </c>
      <c r="K48" s="75">
        <f t="shared" si="3"/>
        <v>3.2628299721265783</v>
      </c>
      <c r="L48" s="75">
        <f>VLOOKUP($A48,'Data Vlaue (Cr)'!$C:$FB,67)</f>
        <v>2651</v>
      </c>
      <c r="M48" s="75">
        <f>VLOOKUP($A48,'Data Vlaue (Cr)'!$C:$FB,68)</f>
        <v>4541</v>
      </c>
      <c r="N48" s="75">
        <f t="shared" si="4"/>
        <v>-1890</v>
      </c>
      <c r="O48" s="75">
        <f t="shared" si="5"/>
        <v>-71.29385137683893</v>
      </c>
      <c r="P48" s="75">
        <f>VLOOKUP($A48,'Data Vlaue (Cr)'!$C:$FB,119)</f>
        <v>0.66</v>
      </c>
      <c r="Q48" s="75">
        <f>VLOOKUP($A48,'Data Vlaue (Cr)'!$C:$FB,122)*100</f>
        <v>-2.94</v>
      </c>
      <c r="R48" s="75">
        <f>VLOOKUP($A48,'Data Vlaue (Cr)'!$C:$FB,125)</f>
        <v>0.65</v>
      </c>
      <c r="S48" s="75">
        <f>VLOOKUP($A48,'Data Vlaue (Cr)'!$C:$FB,128)*100</f>
        <v>38.299999999999997</v>
      </c>
    </row>
    <row r="49" spans="1:19" x14ac:dyDescent="0.25">
      <c r="A49" s="96" t="str">
        <f>'Data Vlaue (Cr)'!C40</f>
        <v>CAMS</v>
      </c>
      <c r="B49" s="75">
        <f>VLOOKUP($A49,'Data Vlaue (Cr)'!$C:$FB,2)</f>
        <v>750</v>
      </c>
      <c r="C49" s="75">
        <f>VLOOKUP($A49,'Data Vlaue (Cr)'!$C:$FB,8)</f>
        <v>735.1</v>
      </c>
      <c r="D49" s="75">
        <f>VLOOKUP($A49,'Data Vlaue (Cr)'!$C:$FB,4)</f>
        <v>739.95</v>
      </c>
      <c r="E49" s="75">
        <f>VLOOKUP($A49,'Data Vlaue (Cr)'!$C:$FB,5)</f>
        <v>745.4</v>
      </c>
      <c r="F49" s="75">
        <f t="shared" si="0"/>
        <v>4.8500000000000227</v>
      </c>
      <c r="G49" s="75">
        <f t="shared" si="1"/>
        <v>-0.73653625244948051</v>
      </c>
      <c r="H49" s="75">
        <f>VLOOKUP($A49,'Data Vlaue (Cr)'!$C:$FB,99)</f>
        <v>892</v>
      </c>
      <c r="I49" s="75">
        <f>VLOOKUP($A49,'Data Vlaue (Cr)'!$C:$FB,100)</f>
        <v>879</v>
      </c>
      <c r="J49" s="75">
        <f t="shared" si="2"/>
        <v>13</v>
      </c>
      <c r="K49" s="75">
        <f t="shared" si="3"/>
        <v>1.4573991031390134</v>
      </c>
      <c r="L49" s="75">
        <f>VLOOKUP($A49,'Data Vlaue (Cr)'!$C:$FB,67)</f>
        <v>157</v>
      </c>
      <c r="M49" s="75">
        <f>VLOOKUP($A49,'Data Vlaue (Cr)'!$C:$FB,68)</f>
        <v>269</v>
      </c>
      <c r="N49" s="75">
        <f t="shared" si="4"/>
        <v>-112</v>
      </c>
      <c r="O49" s="75">
        <f t="shared" si="5"/>
        <v>-71.337579617834393</v>
      </c>
      <c r="P49" s="75">
        <f>VLOOKUP($A49,'Data Vlaue (Cr)'!$C:$FB,119)</f>
        <v>0.98</v>
      </c>
      <c r="Q49" s="75">
        <f>VLOOKUP($A49,'Data Vlaue (Cr)'!$C:$FB,122)*100</f>
        <v>-1.01</v>
      </c>
      <c r="R49" s="75">
        <f>VLOOKUP($A49,'Data Vlaue (Cr)'!$C:$FB,125)</f>
        <v>0.49</v>
      </c>
      <c r="S49" s="75">
        <f>VLOOKUP($A49,'Data Vlaue (Cr)'!$C:$FB,128)*100</f>
        <v>-3.92</v>
      </c>
    </row>
    <row r="50" spans="1:19" x14ac:dyDescent="0.25">
      <c r="A50" s="96" t="str">
        <f>'Data Vlaue (Cr)'!C41</f>
        <v>CANBK</v>
      </c>
      <c r="B50" s="75">
        <f>VLOOKUP($A50,'Data Vlaue (Cr)'!$C:$FB,2)</f>
        <v>6750</v>
      </c>
      <c r="C50" s="75">
        <f>VLOOKUP($A50,'Data Vlaue (Cr)'!$C:$FB,8)</f>
        <v>154.24</v>
      </c>
      <c r="D50" s="75">
        <f>VLOOKUP($A50,'Data Vlaue (Cr)'!$C:$FB,4)</f>
        <v>155.03</v>
      </c>
      <c r="E50" s="75">
        <f>VLOOKUP($A50,'Data Vlaue (Cr)'!$C:$FB,5)</f>
        <v>155.13</v>
      </c>
      <c r="F50" s="75">
        <f t="shared" si="0"/>
        <v>0.78999999999999204</v>
      </c>
      <c r="G50" s="75">
        <f t="shared" si="1"/>
        <v>-6.4503644455908088E-2</v>
      </c>
      <c r="H50" s="75">
        <f>VLOOKUP($A50,'Data Vlaue (Cr)'!$C:$FB,99)</f>
        <v>4240</v>
      </c>
      <c r="I50" s="75">
        <f>VLOOKUP($A50,'Data Vlaue (Cr)'!$C:$FB,100)</f>
        <v>3947</v>
      </c>
      <c r="J50" s="75">
        <f t="shared" si="2"/>
        <v>293</v>
      </c>
      <c r="K50" s="75">
        <f t="shared" si="3"/>
        <v>6.9103773584905657</v>
      </c>
      <c r="L50" s="75">
        <f>VLOOKUP($A50,'Data Vlaue (Cr)'!$C:$FB,67)</f>
        <v>2487</v>
      </c>
      <c r="M50" s="75">
        <f>VLOOKUP($A50,'Data Vlaue (Cr)'!$C:$FB,68)</f>
        <v>4916</v>
      </c>
      <c r="N50" s="75">
        <f t="shared" si="4"/>
        <v>-2429</v>
      </c>
      <c r="O50" s="75">
        <f t="shared" si="5"/>
        <v>-97.66787293928428</v>
      </c>
      <c r="P50" s="75">
        <f>VLOOKUP($A50,'Data Vlaue (Cr)'!$C:$FB,119)</f>
        <v>0.9</v>
      </c>
      <c r="Q50" s="75">
        <f>VLOOKUP($A50,'Data Vlaue (Cr)'!$C:$FB,122)*100</f>
        <v>-5.26</v>
      </c>
      <c r="R50" s="75">
        <f>VLOOKUP($A50,'Data Vlaue (Cr)'!$C:$FB,125)</f>
        <v>0.55000000000000004</v>
      </c>
      <c r="S50" s="75">
        <f>VLOOKUP($A50,'Data Vlaue (Cr)'!$C:$FB,128)*100</f>
        <v>3.7699999999999996</v>
      </c>
    </row>
    <row r="51" spans="1:19" x14ac:dyDescent="0.25">
      <c r="A51" s="96" t="str">
        <f>'Data Vlaue (Cr)'!C42</f>
        <v>CDSL</v>
      </c>
      <c r="B51" s="75">
        <f>VLOOKUP($A51,'Data Vlaue (Cr)'!$C:$FB,2)</f>
        <v>475</v>
      </c>
      <c r="C51" s="75">
        <f>VLOOKUP($A51,'Data Vlaue (Cr)'!$C:$FB,8)</f>
        <v>1446.2</v>
      </c>
      <c r="D51" s="75">
        <f>VLOOKUP($A51,'Data Vlaue (Cr)'!$C:$FB,4)</f>
        <v>1455.2</v>
      </c>
      <c r="E51" s="75">
        <f>VLOOKUP($A51,'Data Vlaue (Cr)'!$C:$FB,5)</f>
        <v>1452.7</v>
      </c>
      <c r="F51" s="75">
        <f t="shared" si="0"/>
        <v>9</v>
      </c>
      <c r="G51" s="75">
        <f t="shared" si="1"/>
        <v>0.17179769103903242</v>
      </c>
      <c r="H51" s="75">
        <f>VLOOKUP($A51,'Data Vlaue (Cr)'!$C:$FB,99)</f>
        <v>2848</v>
      </c>
      <c r="I51" s="75">
        <f>VLOOKUP($A51,'Data Vlaue (Cr)'!$C:$FB,100)</f>
        <v>2780</v>
      </c>
      <c r="J51" s="75">
        <f t="shared" si="2"/>
        <v>68</v>
      </c>
      <c r="K51" s="75">
        <f t="shared" si="3"/>
        <v>2.387640449438202</v>
      </c>
      <c r="L51" s="75">
        <f>VLOOKUP($A51,'Data Vlaue (Cr)'!$C:$FB,67)</f>
        <v>576</v>
      </c>
      <c r="M51" s="75">
        <f>VLOOKUP($A51,'Data Vlaue (Cr)'!$C:$FB,68)</f>
        <v>1116</v>
      </c>
      <c r="N51" s="75">
        <f t="shared" si="4"/>
        <v>-540</v>
      </c>
      <c r="O51" s="75">
        <f t="shared" si="5"/>
        <v>-93.75</v>
      </c>
      <c r="P51" s="75">
        <f>VLOOKUP($A51,'Data Vlaue (Cr)'!$C:$FB,119)</f>
        <v>0.76</v>
      </c>
      <c r="Q51" s="75">
        <f>VLOOKUP($A51,'Data Vlaue (Cr)'!$C:$FB,122)*100</f>
        <v>-2.56</v>
      </c>
      <c r="R51" s="75">
        <f>VLOOKUP($A51,'Data Vlaue (Cr)'!$C:$FB,125)</f>
        <v>0.28999999999999998</v>
      </c>
      <c r="S51" s="75">
        <f>VLOOKUP($A51,'Data Vlaue (Cr)'!$C:$FB,128)*100</f>
        <v>-36.96</v>
      </c>
    </row>
    <row r="52" spans="1:19" x14ac:dyDescent="0.25">
      <c r="A52" s="96" t="str">
        <f>'Data Vlaue (Cr)'!C43</f>
        <v>CGPOWER</v>
      </c>
      <c r="B52" s="75">
        <f>VLOOKUP($A52,'Data Vlaue (Cr)'!$C:$FB,2)</f>
        <v>850</v>
      </c>
      <c r="C52" s="75">
        <f>VLOOKUP($A52,'Data Vlaue (Cr)'!$C:$FB,8)</f>
        <v>637.9</v>
      </c>
      <c r="D52" s="75">
        <f>VLOOKUP($A52,'Data Vlaue (Cr)'!$C:$FB,4)</f>
        <v>641.85</v>
      </c>
      <c r="E52" s="75">
        <f>VLOOKUP($A52,'Data Vlaue (Cr)'!$C:$FB,5)</f>
        <v>650.29999999999995</v>
      </c>
      <c r="F52" s="75">
        <f t="shared" si="0"/>
        <v>3.9500000000000455</v>
      </c>
      <c r="G52" s="75">
        <f t="shared" si="1"/>
        <v>-1.3165069720339535</v>
      </c>
      <c r="H52" s="75">
        <f>VLOOKUP($A52,'Data Vlaue (Cr)'!$C:$FB,99)</f>
        <v>1332</v>
      </c>
      <c r="I52" s="75">
        <f>VLOOKUP($A52,'Data Vlaue (Cr)'!$C:$FB,100)</f>
        <v>1255</v>
      </c>
      <c r="J52" s="75">
        <f t="shared" si="2"/>
        <v>77</v>
      </c>
      <c r="K52" s="75">
        <f t="shared" si="3"/>
        <v>5.7807807807807805</v>
      </c>
      <c r="L52" s="75">
        <f>VLOOKUP($A52,'Data Vlaue (Cr)'!$C:$FB,67)</f>
        <v>409</v>
      </c>
      <c r="M52" s="75">
        <f>VLOOKUP($A52,'Data Vlaue (Cr)'!$C:$FB,68)</f>
        <v>516</v>
      </c>
      <c r="N52" s="75">
        <f t="shared" si="4"/>
        <v>-107</v>
      </c>
      <c r="O52" s="75">
        <f t="shared" si="5"/>
        <v>-26.161369193154034</v>
      </c>
      <c r="P52" s="75">
        <f>VLOOKUP($A52,'Data Vlaue (Cr)'!$C:$FB,119)</f>
        <v>0.69</v>
      </c>
      <c r="Q52" s="75">
        <f>VLOOKUP($A52,'Data Vlaue (Cr)'!$C:$FB,122)*100</f>
        <v>-8</v>
      </c>
      <c r="R52" s="75">
        <f>VLOOKUP($A52,'Data Vlaue (Cr)'!$C:$FB,125)</f>
        <v>0.39</v>
      </c>
      <c r="S52" s="75">
        <f>VLOOKUP($A52,'Data Vlaue (Cr)'!$C:$FB,128)*100</f>
        <v>-7.1400000000000006</v>
      </c>
    </row>
    <row r="53" spans="1:19" x14ac:dyDescent="0.25">
      <c r="A53" s="96" t="str">
        <f>'Data Vlaue (Cr)'!C44</f>
        <v>CHOLAFIN</v>
      </c>
      <c r="B53" s="75">
        <f>VLOOKUP($A53,'Data Vlaue (Cr)'!$C:$FB,2)</f>
        <v>625</v>
      </c>
      <c r="C53" s="75">
        <f>VLOOKUP($A53,'Data Vlaue (Cr)'!$C:$FB,8)</f>
        <v>1724</v>
      </c>
      <c r="D53" s="75">
        <f>VLOOKUP($A53,'Data Vlaue (Cr)'!$C:$FB,4)</f>
        <v>1735.1</v>
      </c>
      <c r="E53" s="75">
        <f>VLOOKUP($A53,'Data Vlaue (Cr)'!$C:$FB,5)</f>
        <v>1712.8</v>
      </c>
      <c r="F53" s="75">
        <f t="shared" si="0"/>
        <v>11.099999999999909</v>
      </c>
      <c r="G53" s="75">
        <f t="shared" si="1"/>
        <v>1.2852285170883497</v>
      </c>
      <c r="H53" s="75">
        <f>VLOOKUP($A53,'Data Vlaue (Cr)'!$C:$FB,99)</f>
        <v>3295</v>
      </c>
      <c r="I53" s="75">
        <f>VLOOKUP($A53,'Data Vlaue (Cr)'!$C:$FB,100)</f>
        <v>3236</v>
      </c>
      <c r="J53" s="75">
        <f t="shared" si="2"/>
        <v>59</v>
      </c>
      <c r="K53" s="75">
        <f t="shared" si="3"/>
        <v>1.7905918057663128</v>
      </c>
      <c r="L53" s="75">
        <f>VLOOKUP($A53,'Data Vlaue (Cr)'!$C:$FB,67)</f>
        <v>1536</v>
      </c>
      <c r="M53" s="75">
        <f>VLOOKUP($A53,'Data Vlaue (Cr)'!$C:$FB,68)</f>
        <v>1140</v>
      </c>
      <c r="N53" s="75">
        <f t="shared" si="4"/>
        <v>396</v>
      </c>
      <c r="O53" s="75">
        <f t="shared" si="5"/>
        <v>25.78125</v>
      </c>
      <c r="P53" s="75">
        <f>VLOOKUP($A53,'Data Vlaue (Cr)'!$C:$FB,119)</f>
        <v>1.02</v>
      </c>
      <c r="Q53" s="75">
        <f>VLOOKUP($A53,'Data Vlaue (Cr)'!$C:$FB,122)*100</f>
        <v>4.08</v>
      </c>
      <c r="R53" s="75">
        <f>VLOOKUP($A53,'Data Vlaue (Cr)'!$C:$FB,125)</f>
        <v>0.49</v>
      </c>
      <c r="S53" s="75">
        <f>VLOOKUP($A53,'Data Vlaue (Cr)'!$C:$FB,128)*100</f>
        <v>-26.87</v>
      </c>
    </row>
    <row r="54" spans="1:19" x14ac:dyDescent="0.25">
      <c r="A54" s="96" t="str">
        <f>'Data Vlaue (Cr)'!C45</f>
        <v>CIPLA</v>
      </c>
      <c r="B54" s="75">
        <f>VLOOKUP($A54,'Data Vlaue (Cr)'!$C:$FB,2)</f>
        <v>375</v>
      </c>
      <c r="C54" s="75">
        <f>VLOOKUP($A54,'Data Vlaue (Cr)'!$C:$FB,8)</f>
        <v>1500.9</v>
      </c>
      <c r="D54" s="75">
        <f>VLOOKUP($A54,'Data Vlaue (Cr)'!$C:$FB,4)</f>
        <v>1510.2</v>
      </c>
      <c r="E54" s="75">
        <f>VLOOKUP($A54,'Data Vlaue (Cr)'!$C:$FB,5)</f>
        <v>1516.4</v>
      </c>
      <c r="F54" s="75">
        <f t="shared" si="0"/>
        <v>9.2999999999999545</v>
      </c>
      <c r="G54" s="75">
        <f t="shared" si="1"/>
        <v>-0.41054165011257082</v>
      </c>
      <c r="H54" s="75">
        <f>VLOOKUP($A54,'Data Vlaue (Cr)'!$C:$FB,99)</f>
        <v>2620</v>
      </c>
      <c r="I54" s="75">
        <f>VLOOKUP($A54,'Data Vlaue (Cr)'!$C:$FB,100)</f>
        <v>2554</v>
      </c>
      <c r="J54" s="75">
        <f t="shared" si="2"/>
        <v>66</v>
      </c>
      <c r="K54" s="75">
        <f t="shared" si="3"/>
        <v>2.5190839694656488</v>
      </c>
      <c r="L54" s="75">
        <f>VLOOKUP($A54,'Data Vlaue (Cr)'!$C:$FB,67)</f>
        <v>527</v>
      </c>
      <c r="M54" s="75">
        <f>VLOOKUP($A54,'Data Vlaue (Cr)'!$C:$FB,68)</f>
        <v>856</v>
      </c>
      <c r="N54" s="75">
        <f t="shared" si="4"/>
        <v>-329</v>
      </c>
      <c r="O54" s="75">
        <f t="shared" si="5"/>
        <v>-62.428842504743834</v>
      </c>
      <c r="P54" s="75">
        <f>VLOOKUP($A54,'Data Vlaue (Cr)'!$C:$FB,119)</f>
        <v>0.85</v>
      </c>
      <c r="Q54" s="75">
        <f>VLOOKUP($A54,'Data Vlaue (Cr)'!$C:$FB,122)*100</f>
        <v>3.66</v>
      </c>
      <c r="R54" s="75">
        <f>VLOOKUP($A54,'Data Vlaue (Cr)'!$C:$FB,125)</f>
        <v>0.73</v>
      </c>
      <c r="S54" s="75">
        <f>VLOOKUP($A54,'Data Vlaue (Cr)'!$C:$FB,128)*100</f>
        <v>40.380000000000003</v>
      </c>
    </row>
    <row r="55" spans="1:19" x14ac:dyDescent="0.25">
      <c r="A55" s="96" t="str">
        <f>'Data Vlaue (Cr)'!C46</f>
        <v>COALINDIA</v>
      </c>
      <c r="B55" s="75">
        <f>VLOOKUP($A55,'Data Vlaue (Cr)'!$C:$FB,2)</f>
        <v>1350</v>
      </c>
      <c r="C55" s="75">
        <f>VLOOKUP($A55,'Data Vlaue (Cr)'!$C:$FB,8)</f>
        <v>400.45</v>
      </c>
      <c r="D55" s="75">
        <f>VLOOKUP($A55,'Data Vlaue (Cr)'!$C:$FB,4)</f>
        <v>402.4</v>
      </c>
      <c r="E55" s="75">
        <f>VLOOKUP($A55,'Data Vlaue (Cr)'!$C:$FB,5)</f>
        <v>400.45</v>
      </c>
      <c r="F55" s="75">
        <f t="shared" si="0"/>
        <v>1.9499999999999886</v>
      </c>
      <c r="G55" s="75">
        <f t="shared" si="1"/>
        <v>0.48459244532802898</v>
      </c>
      <c r="H55" s="75">
        <f>VLOOKUP($A55,'Data Vlaue (Cr)'!$C:$FB,99)</f>
        <v>4373</v>
      </c>
      <c r="I55" s="75">
        <f>VLOOKUP($A55,'Data Vlaue (Cr)'!$C:$FB,100)</f>
        <v>4276</v>
      </c>
      <c r="J55" s="75">
        <f t="shared" si="2"/>
        <v>97</v>
      </c>
      <c r="K55" s="75">
        <f t="shared" si="3"/>
        <v>2.2181568717127833</v>
      </c>
      <c r="L55" s="75">
        <f>VLOOKUP($A55,'Data Vlaue (Cr)'!$C:$FB,67)</f>
        <v>1394</v>
      </c>
      <c r="M55" s="75">
        <f>VLOOKUP($A55,'Data Vlaue (Cr)'!$C:$FB,68)</f>
        <v>2615</v>
      </c>
      <c r="N55" s="75">
        <f t="shared" si="4"/>
        <v>-1221</v>
      </c>
      <c r="O55" s="75">
        <f t="shared" si="5"/>
        <v>-87.589670014347192</v>
      </c>
      <c r="P55" s="75">
        <f>VLOOKUP($A55,'Data Vlaue (Cr)'!$C:$FB,119)</f>
        <v>0.56000000000000005</v>
      </c>
      <c r="Q55" s="75">
        <f>VLOOKUP($A55,'Data Vlaue (Cr)'!$C:$FB,122)*100</f>
        <v>3.6999999999999997</v>
      </c>
      <c r="R55" s="75">
        <f>VLOOKUP($A55,'Data Vlaue (Cr)'!$C:$FB,125)</f>
        <v>0.36</v>
      </c>
      <c r="S55" s="75">
        <f>VLOOKUP($A55,'Data Vlaue (Cr)'!$C:$FB,128)*100</f>
        <v>0</v>
      </c>
    </row>
    <row r="56" spans="1:19" x14ac:dyDescent="0.25">
      <c r="A56" s="96" t="str">
        <f>'Data Vlaue (Cr)'!C47</f>
        <v>COFORGE</v>
      </c>
      <c r="B56" s="75">
        <f>VLOOKUP($A56,'Data Vlaue (Cr)'!$C:$FB,2)</f>
        <v>375</v>
      </c>
      <c r="C56" s="75">
        <f>VLOOKUP($A56,'Data Vlaue (Cr)'!$C:$FB,8)</f>
        <v>1655.8</v>
      </c>
      <c r="D56" s="75">
        <f>VLOOKUP($A56,'Data Vlaue (Cr)'!$C:$FB,4)</f>
        <v>1667.2</v>
      </c>
      <c r="E56" s="75">
        <f>VLOOKUP($A56,'Data Vlaue (Cr)'!$C:$FB,5)</f>
        <v>1669</v>
      </c>
      <c r="F56" s="75">
        <f t="shared" si="0"/>
        <v>11.400000000000091</v>
      </c>
      <c r="G56" s="75">
        <f t="shared" si="1"/>
        <v>-0.10796545105565947</v>
      </c>
      <c r="H56" s="75">
        <f>VLOOKUP($A56,'Data Vlaue (Cr)'!$C:$FB,99)</f>
        <v>5354</v>
      </c>
      <c r="I56" s="75">
        <f>VLOOKUP($A56,'Data Vlaue (Cr)'!$C:$FB,100)</f>
        <v>5273</v>
      </c>
      <c r="J56" s="75">
        <f t="shared" si="2"/>
        <v>81</v>
      </c>
      <c r="K56" s="75">
        <f t="shared" si="3"/>
        <v>1.5128875607022787</v>
      </c>
      <c r="L56" s="75">
        <f>VLOOKUP($A56,'Data Vlaue (Cr)'!$C:$FB,67)</f>
        <v>1250</v>
      </c>
      <c r="M56" s="75">
        <f>VLOOKUP($A56,'Data Vlaue (Cr)'!$C:$FB,68)</f>
        <v>2437</v>
      </c>
      <c r="N56" s="75">
        <f t="shared" si="4"/>
        <v>-1187</v>
      </c>
      <c r="O56" s="75">
        <f t="shared" si="5"/>
        <v>-94.96</v>
      </c>
      <c r="P56" s="75">
        <f>VLOOKUP($A56,'Data Vlaue (Cr)'!$C:$FB,119)</f>
        <v>0.5</v>
      </c>
      <c r="Q56" s="75">
        <f>VLOOKUP($A56,'Data Vlaue (Cr)'!$C:$FB,122)*100</f>
        <v>-1.96</v>
      </c>
      <c r="R56" s="75">
        <f>VLOOKUP($A56,'Data Vlaue (Cr)'!$C:$FB,125)</f>
        <v>0.39</v>
      </c>
      <c r="S56" s="75">
        <f>VLOOKUP($A56,'Data Vlaue (Cr)'!$C:$FB,128)*100</f>
        <v>-11.360000000000001</v>
      </c>
    </row>
    <row r="57" spans="1:19" x14ac:dyDescent="0.25">
      <c r="A57" s="96" t="str">
        <f>'Data Vlaue (Cr)'!C48</f>
        <v>COLPAL</v>
      </c>
      <c r="B57" s="75">
        <f>VLOOKUP($A57,'Data Vlaue (Cr)'!$C:$FB,2)</f>
        <v>225</v>
      </c>
      <c r="C57" s="75">
        <f>VLOOKUP($A57,'Data Vlaue (Cr)'!$C:$FB,8)</f>
        <v>2093.8000000000002</v>
      </c>
      <c r="D57" s="75">
        <f>VLOOKUP($A57,'Data Vlaue (Cr)'!$C:$FB,4)</f>
        <v>2098.6999999999998</v>
      </c>
      <c r="E57" s="75">
        <f>VLOOKUP($A57,'Data Vlaue (Cr)'!$C:$FB,5)</f>
        <v>2089.3000000000002</v>
      </c>
      <c r="F57" s="75">
        <f t="shared" si="0"/>
        <v>4.8999999999996362</v>
      </c>
      <c r="G57" s="75">
        <f t="shared" si="1"/>
        <v>0.44789631676750541</v>
      </c>
      <c r="H57" s="75">
        <f>VLOOKUP($A57,'Data Vlaue (Cr)'!$C:$FB,99)</f>
        <v>1931</v>
      </c>
      <c r="I57" s="75">
        <f>VLOOKUP($A57,'Data Vlaue (Cr)'!$C:$FB,100)</f>
        <v>1898</v>
      </c>
      <c r="J57" s="75">
        <f t="shared" si="2"/>
        <v>33</v>
      </c>
      <c r="K57" s="75">
        <f t="shared" si="3"/>
        <v>1.7089590885551527</v>
      </c>
      <c r="L57" s="75">
        <f>VLOOKUP($A57,'Data Vlaue (Cr)'!$C:$FB,67)</f>
        <v>403</v>
      </c>
      <c r="M57" s="75">
        <f>VLOOKUP($A57,'Data Vlaue (Cr)'!$C:$FB,68)</f>
        <v>501</v>
      </c>
      <c r="N57" s="75">
        <f t="shared" si="4"/>
        <v>-98</v>
      </c>
      <c r="O57" s="75">
        <f t="shared" si="5"/>
        <v>-24.317617866004962</v>
      </c>
      <c r="P57" s="75">
        <f>VLOOKUP($A57,'Data Vlaue (Cr)'!$C:$FB,119)</f>
        <v>1.02</v>
      </c>
      <c r="Q57" s="75">
        <f>VLOOKUP($A57,'Data Vlaue (Cr)'!$C:$FB,122)*100</f>
        <v>-5.56</v>
      </c>
      <c r="R57" s="75">
        <f>VLOOKUP($A57,'Data Vlaue (Cr)'!$C:$FB,125)</f>
        <v>0.45</v>
      </c>
      <c r="S57" s="75">
        <f>VLOOKUP($A57,'Data Vlaue (Cr)'!$C:$FB,128)*100</f>
        <v>0</v>
      </c>
    </row>
    <row r="58" spans="1:19" x14ac:dyDescent="0.25">
      <c r="A58" s="96" t="str">
        <f>'Data Vlaue (Cr)'!C49</f>
        <v>CONCOR</v>
      </c>
      <c r="B58" s="75">
        <f>VLOOKUP($A58,'Data Vlaue (Cr)'!$C:$FB,2)</f>
        <v>1250</v>
      </c>
      <c r="C58" s="75">
        <f>VLOOKUP($A58,'Data Vlaue (Cr)'!$C:$FB,8)</f>
        <v>524.25</v>
      </c>
      <c r="D58" s="75">
        <f>VLOOKUP($A58,'Data Vlaue (Cr)'!$C:$FB,4)</f>
        <v>527</v>
      </c>
      <c r="E58" s="75">
        <f>VLOOKUP($A58,'Data Vlaue (Cr)'!$C:$FB,5)</f>
        <v>526.85</v>
      </c>
      <c r="F58" s="75">
        <f t="shared" si="0"/>
        <v>2.75</v>
      </c>
      <c r="G58" s="75">
        <f t="shared" si="1"/>
        <v>2.8462998102462476E-2</v>
      </c>
      <c r="H58" s="75">
        <f>VLOOKUP($A58,'Data Vlaue (Cr)'!$C:$FB,99)</f>
        <v>2935</v>
      </c>
      <c r="I58" s="75">
        <f>VLOOKUP($A58,'Data Vlaue (Cr)'!$C:$FB,100)</f>
        <v>2902</v>
      </c>
      <c r="J58" s="75">
        <f t="shared" si="2"/>
        <v>33</v>
      </c>
      <c r="K58" s="75">
        <f t="shared" si="3"/>
        <v>1.1243611584327087</v>
      </c>
      <c r="L58" s="75">
        <f>VLOOKUP($A58,'Data Vlaue (Cr)'!$C:$FB,67)</f>
        <v>456</v>
      </c>
      <c r="M58" s="75">
        <f>VLOOKUP($A58,'Data Vlaue (Cr)'!$C:$FB,68)</f>
        <v>1095</v>
      </c>
      <c r="N58" s="75">
        <f t="shared" si="4"/>
        <v>-639</v>
      </c>
      <c r="O58" s="75">
        <f t="shared" si="5"/>
        <v>-140.13157894736844</v>
      </c>
      <c r="P58" s="75">
        <f>VLOOKUP($A58,'Data Vlaue (Cr)'!$C:$FB,119)</f>
        <v>0.7</v>
      </c>
      <c r="Q58" s="75">
        <f>VLOOKUP($A58,'Data Vlaue (Cr)'!$C:$FB,122)*100</f>
        <v>0</v>
      </c>
      <c r="R58" s="75">
        <f>VLOOKUP($A58,'Data Vlaue (Cr)'!$C:$FB,125)</f>
        <v>0.25</v>
      </c>
      <c r="S58" s="75">
        <f>VLOOKUP($A58,'Data Vlaue (Cr)'!$C:$FB,128)*100</f>
        <v>4.17</v>
      </c>
    </row>
    <row r="59" spans="1:19" x14ac:dyDescent="0.25">
      <c r="A59" s="96" t="str">
        <f>'Data Vlaue (Cr)'!C50</f>
        <v>CROMPTON</v>
      </c>
      <c r="B59" s="75">
        <f>VLOOKUP($A59,'Data Vlaue (Cr)'!$C:$FB,2)</f>
        <v>1800</v>
      </c>
      <c r="C59" s="75">
        <f>VLOOKUP($A59,'Data Vlaue (Cr)'!$C:$FB,8)</f>
        <v>249.25</v>
      </c>
      <c r="D59" s="75">
        <f>VLOOKUP($A59,'Data Vlaue (Cr)'!$C:$FB,4)</f>
        <v>250.85</v>
      </c>
      <c r="E59" s="75">
        <f>VLOOKUP($A59,'Data Vlaue (Cr)'!$C:$FB,5)</f>
        <v>254.05</v>
      </c>
      <c r="F59" s="75">
        <f t="shared" si="0"/>
        <v>1.5999999999999943</v>
      </c>
      <c r="G59" s="75">
        <f t="shared" si="1"/>
        <v>-1.2756627466613581</v>
      </c>
      <c r="H59" s="75">
        <f>VLOOKUP($A59,'Data Vlaue (Cr)'!$C:$FB,99)</f>
        <v>1933</v>
      </c>
      <c r="I59" s="75">
        <f>VLOOKUP($A59,'Data Vlaue (Cr)'!$C:$FB,100)</f>
        <v>1914</v>
      </c>
      <c r="J59" s="75">
        <f t="shared" si="2"/>
        <v>19</v>
      </c>
      <c r="K59" s="75">
        <f t="shared" si="3"/>
        <v>0.98292809105018109</v>
      </c>
      <c r="L59" s="75">
        <f>VLOOKUP($A59,'Data Vlaue (Cr)'!$C:$FB,67)</f>
        <v>216</v>
      </c>
      <c r="M59" s="75">
        <f>VLOOKUP($A59,'Data Vlaue (Cr)'!$C:$FB,68)</f>
        <v>689</v>
      </c>
      <c r="N59" s="75">
        <f t="shared" si="4"/>
        <v>-473</v>
      </c>
      <c r="O59" s="75">
        <f t="shared" si="5"/>
        <v>-218.9814814814815</v>
      </c>
      <c r="P59" s="75">
        <f>VLOOKUP($A59,'Data Vlaue (Cr)'!$C:$FB,119)</f>
        <v>0.67</v>
      </c>
      <c r="Q59" s="75">
        <f>VLOOKUP($A59,'Data Vlaue (Cr)'!$C:$FB,122)*100</f>
        <v>-6.94</v>
      </c>
      <c r="R59" s="75">
        <f>VLOOKUP($A59,'Data Vlaue (Cr)'!$C:$FB,125)</f>
        <v>0.28999999999999998</v>
      </c>
      <c r="S59" s="75">
        <f>VLOOKUP($A59,'Data Vlaue (Cr)'!$C:$FB,128)*100</f>
        <v>-39.58</v>
      </c>
    </row>
    <row r="60" spans="1:19" x14ac:dyDescent="0.25">
      <c r="A60" s="96" t="str">
        <f>'Data Vlaue (Cr)'!C51</f>
        <v>CUMMINSIND</v>
      </c>
      <c r="B60" s="75">
        <f>VLOOKUP($A60,'Data Vlaue (Cr)'!$C:$FB,2)</f>
        <v>200</v>
      </c>
      <c r="C60" s="75">
        <f>VLOOKUP($A60,'Data Vlaue (Cr)'!$C:$FB,8)</f>
        <v>4470.6000000000004</v>
      </c>
      <c r="D60" s="75">
        <f>VLOOKUP($A60,'Data Vlaue (Cr)'!$C:$FB,4)</f>
        <v>4495.3</v>
      </c>
      <c r="E60" s="75">
        <f>VLOOKUP($A60,'Data Vlaue (Cr)'!$C:$FB,5)</f>
        <v>4444.6000000000004</v>
      </c>
      <c r="F60" s="75">
        <f t="shared" si="0"/>
        <v>24.699999999999818</v>
      </c>
      <c r="G60" s="75">
        <f t="shared" si="1"/>
        <v>1.1278446377327391</v>
      </c>
      <c r="H60" s="75">
        <f>VLOOKUP($A60,'Data Vlaue (Cr)'!$C:$FB,99)</f>
        <v>1922</v>
      </c>
      <c r="I60" s="75">
        <f>VLOOKUP($A60,'Data Vlaue (Cr)'!$C:$FB,100)</f>
        <v>1858</v>
      </c>
      <c r="J60" s="75">
        <f t="shared" si="2"/>
        <v>64</v>
      </c>
      <c r="K60" s="75">
        <f t="shared" si="3"/>
        <v>3.3298647242455779</v>
      </c>
      <c r="L60" s="75">
        <f>VLOOKUP($A60,'Data Vlaue (Cr)'!$C:$FB,67)</f>
        <v>1006</v>
      </c>
      <c r="M60" s="75">
        <f>VLOOKUP($A60,'Data Vlaue (Cr)'!$C:$FB,68)</f>
        <v>1036</v>
      </c>
      <c r="N60" s="75">
        <f t="shared" si="4"/>
        <v>-30</v>
      </c>
      <c r="O60" s="75">
        <f t="shared" si="5"/>
        <v>-2.982107355864811</v>
      </c>
      <c r="P60" s="75">
        <f>VLOOKUP($A60,'Data Vlaue (Cr)'!$C:$FB,119)</f>
        <v>0.78</v>
      </c>
      <c r="Q60" s="75">
        <f>VLOOKUP($A60,'Data Vlaue (Cr)'!$C:$FB,122)*100</f>
        <v>-4.88</v>
      </c>
      <c r="R60" s="75">
        <f>VLOOKUP($A60,'Data Vlaue (Cr)'!$C:$FB,125)</f>
        <v>0.37</v>
      </c>
      <c r="S60" s="75">
        <f>VLOOKUP($A60,'Data Vlaue (Cr)'!$C:$FB,128)*100</f>
        <v>-46.379999999999995</v>
      </c>
    </row>
    <row r="61" spans="1:19" x14ac:dyDescent="0.25">
      <c r="A61" s="96" t="str">
        <f>'Data Vlaue (Cr)'!C52</f>
        <v>DABUR</v>
      </c>
      <c r="B61" s="75">
        <f>VLOOKUP($A61,'Data Vlaue (Cr)'!$C:$FB,2)</f>
        <v>1250</v>
      </c>
      <c r="C61" s="75">
        <f>VLOOKUP($A61,'Data Vlaue (Cr)'!$C:$FB,8)</f>
        <v>499.95</v>
      </c>
      <c r="D61" s="75">
        <f>VLOOKUP($A61,'Data Vlaue (Cr)'!$C:$FB,4)</f>
        <v>503.3</v>
      </c>
      <c r="E61" s="75">
        <f>VLOOKUP($A61,'Data Vlaue (Cr)'!$C:$FB,5)</f>
        <v>506.85</v>
      </c>
      <c r="F61" s="75">
        <f t="shared" si="0"/>
        <v>3.3500000000000227</v>
      </c>
      <c r="G61" s="75">
        <f t="shared" si="1"/>
        <v>-0.70534472481621524</v>
      </c>
      <c r="H61" s="75">
        <f>VLOOKUP($A61,'Data Vlaue (Cr)'!$C:$FB,99)</f>
        <v>1853</v>
      </c>
      <c r="I61" s="75">
        <f>VLOOKUP($A61,'Data Vlaue (Cr)'!$C:$FB,100)</f>
        <v>1766</v>
      </c>
      <c r="J61" s="75">
        <f t="shared" si="2"/>
        <v>87</v>
      </c>
      <c r="K61" s="75">
        <f t="shared" si="3"/>
        <v>4.6950890447922289</v>
      </c>
      <c r="L61" s="75">
        <f>VLOOKUP($A61,'Data Vlaue (Cr)'!$C:$FB,67)</f>
        <v>532</v>
      </c>
      <c r="M61" s="75">
        <f>VLOOKUP($A61,'Data Vlaue (Cr)'!$C:$FB,68)</f>
        <v>2274</v>
      </c>
      <c r="N61" s="75">
        <f t="shared" si="4"/>
        <v>-1742</v>
      </c>
      <c r="O61" s="75">
        <f t="shared" si="5"/>
        <v>-327.44360902255642</v>
      </c>
      <c r="P61" s="75">
        <f>VLOOKUP($A61,'Data Vlaue (Cr)'!$C:$FB,119)</f>
        <v>0.64</v>
      </c>
      <c r="Q61" s="75">
        <f>VLOOKUP($A61,'Data Vlaue (Cr)'!$C:$FB,122)*100</f>
        <v>-3.0300000000000002</v>
      </c>
      <c r="R61" s="75">
        <f>VLOOKUP($A61,'Data Vlaue (Cr)'!$C:$FB,125)</f>
        <v>0.53</v>
      </c>
      <c r="S61" s="75">
        <f>VLOOKUP($A61,'Data Vlaue (Cr)'!$C:$FB,128)*100</f>
        <v>17.78</v>
      </c>
    </row>
    <row r="62" spans="1:19" x14ac:dyDescent="0.25">
      <c r="A62" s="96" t="str">
        <f>'Data Vlaue (Cr)'!C53</f>
        <v>DALBHARAT</v>
      </c>
      <c r="B62" s="75">
        <f>VLOOKUP($A62,'Data Vlaue (Cr)'!$C:$FB,2)</f>
        <v>325</v>
      </c>
      <c r="C62" s="75">
        <f>VLOOKUP($A62,'Data Vlaue (Cr)'!$C:$FB,8)</f>
        <v>2136.1999999999998</v>
      </c>
      <c r="D62" s="75">
        <f>VLOOKUP($A62,'Data Vlaue (Cr)'!$C:$FB,4)</f>
        <v>2150.4</v>
      </c>
      <c r="E62" s="75">
        <f>VLOOKUP($A62,'Data Vlaue (Cr)'!$C:$FB,5)</f>
        <v>2147.1</v>
      </c>
      <c r="F62" s="75">
        <f t="shared" si="0"/>
        <v>14.200000000000273</v>
      </c>
      <c r="G62" s="75">
        <f t="shared" si="1"/>
        <v>0.15345982142857989</v>
      </c>
      <c r="H62" s="75">
        <f>VLOOKUP($A62,'Data Vlaue (Cr)'!$C:$FB,99)</f>
        <v>826</v>
      </c>
      <c r="I62" s="75">
        <f>VLOOKUP($A62,'Data Vlaue (Cr)'!$C:$FB,100)</f>
        <v>808</v>
      </c>
      <c r="J62" s="75">
        <f t="shared" si="2"/>
        <v>18</v>
      </c>
      <c r="K62" s="75">
        <f t="shared" si="3"/>
        <v>2.1791767554479415</v>
      </c>
      <c r="L62" s="75">
        <f>VLOOKUP($A62,'Data Vlaue (Cr)'!$C:$FB,67)</f>
        <v>240</v>
      </c>
      <c r="M62" s="75">
        <f>VLOOKUP($A62,'Data Vlaue (Cr)'!$C:$FB,68)</f>
        <v>202</v>
      </c>
      <c r="N62" s="75">
        <f t="shared" si="4"/>
        <v>38</v>
      </c>
      <c r="O62" s="75">
        <f t="shared" si="5"/>
        <v>15.833333333333332</v>
      </c>
      <c r="P62" s="75">
        <f>VLOOKUP($A62,'Data Vlaue (Cr)'!$C:$FB,119)</f>
        <v>0.59</v>
      </c>
      <c r="Q62" s="75">
        <f>VLOOKUP($A62,'Data Vlaue (Cr)'!$C:$FB,122)*100</f>
        <v>-3.2800000000000002</v>
      </c>
      <c r="R62" s="75">
        <f>VLOOKUP($A62,'Data Vlaue (Cr)'!$C:$FB,125)</f>
        <v>0.26</v>
      </c>
      <c r="S62" s="75">
        <f>VLOOKUP($A62,'Data Vlaue (Cr)'!$C:$FB,128)*100</f>
        <v>-53.569999999999993</v>
      </c>
    </row>
    <row r="63" spans="1:19" x14ac:dyDescent="0.25">
      <c r="A63" s="96" t="str">
        <f>'Data Vlaue (Cr)'!C54</f>
        <v>DELHIVERY</v>
      </c>
      <c r="B63" s="75">
        <f>VLOOKUP($A63,'Data Vlaue (Cr)'!$C:$FB,2)</f>
        <v>2075</v>
      </c>
      <c r="C63" s="75">
        <f>VLOOKUP($A63,'Data Vlaue (Cr)'!$C:$FB,8)</f>
        <v>400.6</v>
      </c>
      <c r="D63" s="75">
        <f>VLOOKUP($A63,'Data Vlaue (Cr)'!$C:$FB,4)</f>
        <v>403.3</v>
      </c>
      <c r="E63" s="75">
        <f>VLOOKUP($A63,'Data Vlaue (Cr)'!$C:$FB,5)</f>
        <v>406.15</v>
      </c>
      <c r="F63" s="75">
        <f t="shared" si="0"/>
        <v>2.6999999999999886</v>
      </c>
      <c r="G63" s="75">
        <f t="shared" si="1"/>
        <v>-0.70666997272501009</v>
      </c>
      <c r="H63" s="75">
        <f>VLOOKUP($A63,'Data Vlaue (Cr)'!$C:$FB,99)</f>
        <v>931</v>
      </c>
      <c r="I63" s="75">
        <f>VLOOKUP($A63,'Data Vlaue (Cr)'!$C:$FB,100)</f>
        <v>907</v>
      </c>
      <c r="J63" s="75">
        <f t="shared" si="2"/>
        <v>24</v>
      </c>
      <c r="K63" s="75">
        <f t="shared" si="3"/>
        <v>2.5778732545649841</v>
      </c>
      <c r="L63" s="75">
        <f>VLOOKUP($A63,'Data Vlaue (Cr)'!$C:$FB,67)</f>
        <v>180</v>
      </c>
      <c r="M63" s="75">
        <f>VLOOKUP($A63,'Data Vlaue (Cr)'!$C:$FB,68)</f>
        <v>333</v>
      </c>
      <c r="N63" s="75">
        <f t="shared" si="4"/>
        <v>-153</v>
      </c>
      <c r="O63" s="75">
        <f t="shared" si="5"/>
        <v>-85</v>
      </c>
      <c r="P63" s="75">
        <f>VLOOKUP($A63,'Data Vlaue (Cr)'!$C:$FB,119)</f>
        <v>0.9</v>
      </c>
      <c r="Q63" s="75">
        <f>VLOOKUP($A63,'Data Vlaue (Cr)'!$C:$FB,122)*100</f>
        <v>-6.25</v>
      </c>
      <c r="R63" s="75">
        <f>VLOOKUP($A63,'Data Vlaue (Cr)'!$C:$FB,125)</f>
        <v>0.41</v>
      </c>
      <c r="S63" s="75">
        <f>VLOOKUP($A63,'Data Vlaue (Cr)'!$C:$FB,128)*100</f>
        <v>-25.45</v>
      </c>
    </row>
    <row r="64" spans="1:19" x14ac:dyDescent="0.25">
      <c r="A64" s="96" t="str">
        <f>'Data Vlaue (Cr)'!C55</f>
        <v>DIVISLAB</v>
      </c>
      <c r="B64" s="75">
        <f>VLOOKUP($A64,'Data Vlaue (Cr)'!$C:$FB,2)</f>
        <v>100</v>
      </c>
      <c r="C64" s="75">
        <f>VLOOKUP($A64,'Data Vlaue (Cr)'!$C:$FB,8)</f>
        <v>6344</v>
      </c>
      <c r="D64" s="75">
        <f>VLOOKUP($A64,'Data Vlaue (Cr)'!$C:$FB,4)</f>
        <v>6385</v>
      </c>
      <c r="E64" s="75">
        <f>VLOOKUP($A64,'Data Vlaue (Cr)'!$C:$FB,5)</f>
        <v>6428</v>
      </c>
      <c r="F64" s="75">
        <f t="shared" si="0"/>
        <v>41</v>
      </c>
      <c r="G64" s="75">
        <f t="shared" si="1"/>
        <v>-0.67345340642129992</v>
      </c>
      <c r="H64" s="75">
        <f>VLOOKUP($A64,'Data Vlaue (Cr)'!$C:$FB,99)</f>
        <v>2696</v>
      </c>
      <c r="I64" s="75">
        <f>VLOOKUP($A64,'Data Vlaue (Cr)'!$C:$FB,100)</f>
        <v>2583</v>
      </c>
      <c r="J64" s="75">
        <f t="shared" si="2"/>
        <v>113</v>
      </c>
      <c r="K64" s="75">
        <f t="shared" si="3"/>
        <v>4.1913946587537092</v>
      </c>
      <c r="L64" s="75">
        <f>VLOOKUP($A64,'Data Vlaue (Cr)'!$C:$FB,67)</f>
        <v>663</v>
      </c>
      <c r="M64" s="75">
        <f>VLOOKUP($A64,'Data Vlaue (Cr)'!$C:$FB,68)</f>
        <v>1074</v>
      </c>
      <c r="N64" s="75">
        <f t="shared" si="4"/>
        <v>-411</v>
      </c>
      <c r="O64" s="75">
        <f t="shared" si="5"/>
        <v>-61.990950226244344</v>
      </c>
      <c r="P64" s="75">
        <f>VLOOKUP($A64,'Data Vlaue (Cr)'!$C:$FB,119)</f>
        <v>0.56999999999999995</v>
      </c>
      <c r="Q64" s="75">
        <f>VLOOKUP($A64,'Data Vlaue (Cr)'!$C:$FB,122)*100</f>
        <v>-10.94</v>
      </c>
      <c r="R64" s="75">
        <f>VLOOKUP($A64,'Data Vlaue (Cr)'!$C:$FB,125)</f>
        <v>0.49</v>
      </c>
      <c r="S64" s="75">
        <f>VLOOKUP($A64,'Data Vlaue (Cr)'!$C:$FB,128)*100</f>
        <v>-15.52</v>
      </c>
    </row>
    <row r="65" spans="1:19" x14ac:dyDescent="0.25">
      <c r="A65" s="96" t="str">
        <f>'Data Vlaue (Cr)'!C56</f>
        <v>DIXON</v>
      </c>
      <c r="B65" s="75">
        <f>VLOOKUP($A65,'Data Vlaue (Cr)'!$C:$FB,2)</f>
        <v>50</v>
      </c>
      <c r="C65" s="75">
        <f>VLOOKUP($A65,'Data Vlaue (Cr)'!$C:$FB,8)</f>
        <v>12091</v>
      </c>
      <c r="D65" s="75">
        <f>VLOOKUP($A65,'Data Vlaue (Cr)'!$C:$FB,4)</f>
        <v>12184</v>
      </c>
      <c r="E65" s="75">
        <f>VLOOKUP($A65,'Data Vlaue (Cr)'!$C:$FB,5)</f>
        <v>12150</v>
      </c>
      <c r="F65" s="75">
        <f t="shared" si="0"/>
        <v>93</v>
      </c>
      <c r="G65" s="75">
        <f t="shared" si="1"/>
        <v>0.27905449770190416</v>
      </c>
      <c r="H65" s="75">
        <f>VLOOKUP($A65,'Data Vlaue (Cr)'!$C:$FB,99)</f>
        <v>7998</v>
      </c>
      <c r="I65" s="75">
        <f>VLOOKUP($A65,'Data Vlaue (Cr)'!$C:$FB,100)</f>
        <v>7832</v>
      </c>
      <c r="J65" s="75">
        <f t="shared" si="2"/>
        <v>166</v>
      </c>
      <c r="K65" s="75">
        <f t="shared" si="3"/>
        <v>2.07551887971993</v>
      </c>
      <c r="L65" s="75">
        <f>VLOOKUP($A65,'Data Vlaue (Cr)'!$C:$FB,67)</f>
        <v>8593</v>
      </c>
      <c r="M65" s="75">
        <f>VLOOKUP($A65,'Data Vlaue (Cr)'!$C:$FB,68)</f>
        <v>11724</v>
      </c>
      <c r="N65" s="75">
        <f t="shared" si="4"/>
        <v>-3131</v>
      </c>
      <c r="O65" s="75">
        <f t="shared" si="5"/>
        <v>-36.436634469917372</v>
      </c>
      <c r="P65" s="75">
        <f>VLOOKUP($A65,'Data Vlaue (Cr)'!$C:$FB,119)</f>
        <v>0.65</v>
      </c>
      <c r="Q65" s="75">
        <f>VLOOKUP($A65,'Data Vlaue (Cr)'!$C:$FB,122)*100</f>
        <v>3.17</v>
      </c>
      <c r="R65" s="75">
        <f>VLOOKUP($A65,'Data Vlaue (Cr)'!$C:$FB,125)</f>
        <v>0.61</v>
      </c>
      <c r="S65" s="75">
        <f>VLOOKUP($A65,'Data Vlaue (Cr)'!$C:$FB,128)*100</f>
        <v>0</v>
      </c>
    </row>
    <row r="66" spans="1:19" x14ac:dyDescent="0.25">
      <c r="A66" s="96" t="str">
        <f>'Data Vlaue (Cr)'!C57</f>
        <v>DLF</v>
      </c>
      <c r="B66" s="75">
        <f>VLOOKUP($A66,'Data Vlaue (Cr)'!$C:$FB,2)</f>
        <v>825</v>
      </c>
      <c r="C66" s="75">
        <f>VLOOKUP($A66,'Data Vlaue (Cr)'!$C:$FB,8)</f>
        <v>691.4</v>
      </c>
      <c r="D66" s="75">
        <f>VLOOKUP($A66,'Data Vlaue (Cr)'!$C:$FB,4)</f>
        <v>695.45</v>
      </c>
      <c r="E66" s="75">
        <f>VLOOKUP($A66,'Data Vlaue (Cr)'!$C:$FB,5)</f>
        <v>691.8</v>
      </c>
      <c r="F66" s="75">
        <f t="shared" si="0"/>
        <v>4.0500000000000682</v>
      </c>
      <c r="G66" s="75">
        <f t="shared" si="1"/>
        <v>0.52484003163420678</v>
      </c>
      <c r="H66" s="75">
        <f>VLOOKUP($A66,'Data Vlaue (Cr)'!$C:$FB,99)</f>
        <v>4612</v>
      </c>
      <c r="I66" s="75">
        <f>VLOOKUP($A66,'Data Vlaue (Cr)'!$C:$FB,100)</f>
        <v>4541</v>
      </c>
      <c r="J66" s="75">
        <f t="shared" si="2"/>
        <v>71</v>
      </c>
      <c r="K66" s="75">
        <f t="shared" si="3"/>
        <v>1.5394622723330442</v>
      </c>
      <c r="L66" s="75">
        <f>VLOOKUP($A66,'Data Vlaue (Cr)'!$C:$FB,67)</f>
        <v>1299</v>
      </c>
      <c r="M66" s="75">
        <f>VLOOKUP($A66,'Data Vlaue (Cr)'!$C:$FB,68)</f>
        <v>1389</v>
      </c>
      <c r="N66" s="75">
        <f t="shared" si="4"/>
        <v>-90</v>
      </c>
      <c r="O66" s="75">
        <f t="shared" si="5"/>
        <v>-6.9284064665127012</v>
      </c>
      <c r="P66" s="75">
        <f>VLOOKUP($A66,'Data Vlaue (Cr)'!$C:$FB,119)</f>
        <v>0.85</v>
      </c>
      <c r="Q66" s="75">
        <f>VLOOKUP($A66,'Data Vlaue (Cr)'!$C:$FB,122)*100</f>
        <v>-3.4099999999999997</v>
      </c>
      <c r="R66" s="75">
        <f>VLOOKUP($A66,'Data Vlaue (Cr)'!$C:$FB,125)</f>
        <v>0.56000000000000005</v>
      </c>
      <c r="S66" s="75">
        <f>VLOOKUP($A66,'Data Vlaue (Cr)'!$C:$FB,128)*100</f>
        <v>27.27</v>
      </c>
    </row>
    <row r="67" spans="1:19" x14ac:dyDescent="0.25">
      <c r="A67" s="96" t="str">
        <f>'Data Vlaue (Cr)'!C58</f>
        <v>DMART</v>
      </c>
      <c r="B67" s="75">
        <f>VLOOKUP($A67,'Data Vlaue (Cr)'!$C:$FB,2)</f>
        <v>150</v>
      </c>
      <c r="C67" s="75">
        <f>VLOOKUP($A67,'Data Vlaue (Cr)'!$C:$FB,8)</f>
        <v>3716.1</v>
      </c>
      <c r="D67" s="75">
        <f>VLOOKUP($A67,'Data Vlaue (Cr)'!$C:$FB,4)</f>
        <v>3714.2</v>
      </c>
      <c r="E67" s="75">
        <f>VLOOKUP($A67,'Data Vlaue (Cr)'!$C:$FB,5)</f>
        <v>3796.2</v>
      </c>
      <c r="F67" s="75">
        <f t="shared" si="0"/>
        <v>-1.9000000000000909</v>
      </c>
      <c r="G67" s="75">
        <f t="shared" si="1"/>
        <v>-2.2077432556135914</v>
      </c>
      <c r="H67" s="75">
        <f>VLOOKUP($A67,'Data Vlaue (Cr)'!$C:$FB,99)</f>
        <v>2796</v>
      </c>
      <c r="I67" s="75">
        <f>VLOOKUP($A67,'Data Vlaue (Cr)'!$C:$FB,100)</f>
        <v>2574</v>
      </c>
      <c r="J67" s="75">
        <f t="shared" si="2"/>
        <v>222</v>
      </c>
      <c r="K67" s="75">
        <f t="shared" si="3"/>
        <v>7.939914163090128</v>
      </c>
      <c r="L67" s="75">
        <f>VLOOKUP($A67,'Data Vlaue (Cr)'!$C:$FB,67)</f>
        <v>1202</v>
      </c>
      <c r="M67" s="75">
        <f>VLOOKUP($A67,'Data Vlaue (Cr)'!$C:$FB,68)</f>
        <v>1023</v>
      </c>
      <c r="N67" s="75">
        <f t="shared" si="4"/>
        <v>179</v>
      </c>
      <c r="O67" s="75">
        <f t="shared" si="5"/>
        <v>14.891846921797006</v>
      </c>
      <c r="P67" s="75">
        <f>VLOOKUP($A67,'Data Vlaue (Cr)'!$C:$FB,119)</f>
        <v>0.82</v>
      </c>
      <c r="Q67" s="75">
        <f>VLOOKUP($A67,'Data Vlaue (Cr)'!$C:$FB,122)*100</f>
        <v>-3.53</v>
      </c>
      <c r="R67" s="75">
        <f>VLOOKUP($A67,'Data Vlaue (Cr)'!$C:$FB,125)</f>
        <v>0.74</v>
      </c>
      <c r="S67" s="75">
        <f>VLOOKUP($A67,'Data Vlaue (Cr)'!$C:$FB,128)*100</f>
        <v>42.309999999999995</v>
      </c>
    </row>
    <row r="68" spans="1:19" x14ac:dyDescent="0.25">
      <c r="A68" s="96" t="str">
        <f>'Data Vlaue (Cr)'!C59</f>
        <v>DRREDDY</v>
      </c>
      <c r="B68" s="75">
        <f>VLOOKUP($A68,'Data Vlaue (Cr)'!$C:$FB,2)</f>
        <v>625</v>
      </c>
      <c r="C68" s="75">
        <f>VLOOKUP($A68,'Data Vlaue (Cr)'!$C:$FB,8)</f>
        <v>1253.4000000000001</v>
      </c>
      <c r="D68" s="75">
        <f>VLOOKUP($A68,'Data Vlaue (Cr)'!$C:$FB,4)</f>
        <v>1254.5999999999999</v>
      </c>
      <c r="E68" s="75">
        <f>VLOOKUP($A68,'Data Vlaue (Cr)'!$C:$FB,5)</f>
        <v>1273.7</v>
      </c>
      <c r="F68" s="75">
        <f t="shared" si="0"/>
        <v>1.1999999999998181</v>
      </c>
      <c r="G68" s="75">
        <f t="shared" si="1"/>
        <v>-1.5223975769169567</v>
      </c>
      <c r="H68" s="75">
        <f>VLOOKUP($A68,'Data Vlaue (Cr)'!$C:$FB,99)</f>
        <v>2269</v>
      </c>
      <c r="I68" s="75">
        <f>VLOOKUP($A68,'Data Vlaue (Cr)'!$C:$FB,100)</f>
        <v>2011</v>
      </c>
      <c r="J68" s="75">
        <f t="shared" si="2"/>
        <v>258</v>
      </c>
      <c r="K68" s="75">
        <f t="shared" si="3"/>
        <v>11.370647862494492</v>
      </c>
      <c r="L68" s="75">
        <f>VLOOKUP($A68,'Data Vlaue (Cr)'!$C:$FB,67)</f>
        <v>1226</v>
      </c>
      <c r="M68" s="75">
        <f>VLOOKUP($A68,'Data Vlaue (Cr)'!$C:$FB,68)</f>
        <v>665</v>
      </c>
      <c r="N68" s="75">
        <f t="shared" si="4"/>
        <v>561</v>
      </c>
      <c r="O68" s="75">
        <f t="shared" si="5"/>
        <v>45.758564437194124</v>
      </c>
      <c r="P68" s="75">
        <f>VLOOKUP($A68,'Data Vlaue (Cr)'!$C:$FB,119)</f>
        <v>0.56999999999999995</v>
      </c>
      <c r="Q68" s="75">
        <f>VLOOKUP($A68,'Data Vlaue (Cr)'!$C:$FB,122)*100</f>
        <v>-6.5600000000000005</v>
      </c>
      <c r="R68" s="75">
        <f>VLOOKUP($A68,'Data Vlaue (Cr)'!$C:$FB,125)</f>
        <v>0.88</v>
      </c>
      <c r="S68" s="75">
        <f>VLOOKUP($A68,'Data Vlaue (Cr)'!$C:$FB,128)*100</f>
        <v>91.3</v>
      </c>
    </row>
    <row r="69" spans="1:19" x14ac:dyDescent="0.25">
      <c r="A69" s="96" t="str">
        <f>'Data Vlaue (Cr)'!C60</f>
        <v>EICHERMOT</v>
      </c>
      <c r="B69" s="75">
        <f>VLOOKUP($A69,'Data Vlaue (Cr)'!$C:$FB,2)</f>
        <v>100</v>
      </c>
      <c r="C69" s="75">
        <f>VLOOKUP($A69,'Data Vlaue (Cr)'!$C:$FB,8)</f>
        <v>7348</v>
      </c>
      <c r="D69" s="75">
        <f>VLOOKUP($A69,'Data Vlaue (Cr)'!$C:$FB,4)</f>
        <v>7381.5</v>
      </c>
      <c r="E69" s="75">
        <f>VLOOKUP($A69,'Data Vlaue (Cr)'!$C:$FB,5)</f>
        <v>7341</v>
      </c>
      <c r="F69" s="75">
        <f t="shared" si="0"/>
        <v>33.5</v>
      </c>
      <c r="G69" s="75">
        <f t="shared" si="1"/>
        <v>0.54866896972160129</v>
      </c>
      <c r="H69" s="75">
        <f>VLOOKUP($A69,'Data Vlaue (Cr)'!$C:$FB,99)</f>
        <v>3553</v>
      </c>
      <c r="I69" s="75">
        <f>VLOOKUP($A69,'Data Vlaue (Cr)'!$C:$FB,100)</f>
        <v>3432</v>
      </c>
      <c r="J69" s="75">
        <f t="shared" si="2"/>
        <v>121</v>
      </c>
      <c r="K69" s="75">
        <f t="shared" si="3"/>
        <v>3.4055727554179565</v>
      </c>
      <c r="L69" s="75">
        <f>VLOOKUP($A69,'Data Vlaue (Cr)'!$C:$FB,67)</f>
        <v>2564</v>
      </c>
      <c r="M69" s="75">
        <f>VLOOKUP($A69,'Data Vlaue (Cr)'!$C:$FB,68)</f>
        <v>3043</v>
      </c>
      <c r="N69" s="75">
        <f t="shared" si="4"/>
        <v>-479</v>
      </c>
      <c r="O69" s="75">
        <f t="shared" si="5"/>
        <v>-18.681747269890796</v>
      </c>
      <c r="P69" s="75">
        <f>VLOOKUP($A69,'Data Vlaue (Cr)'!$C:$FB,119)</f>
        <v>0.85</v>
      </c>
      <c r="Q69" s="75">
        <f>VLOOKUP($A69,'Data Vlaue (Cr)'!$C:$FB,122)*100</f>
        <v>4.9399999999999995</v>
      </c>
      <c r="R69" s="75">
        <f>VLOOKUP($A69,'Data Vlaue (Cr)'!$C:$FB,125)</f>
        <v>0.47</v>
      </c>
      <c r="S69" s="75">
        <f>VLOOKUP($A69,'Data Vlaue (Cr)'!$C:$FB,128)*100</f>
        <v>11.899999999999999</v>
      </c>
    </row>
    <row r="70" spans="1:19" x14ac:dyDescent="0.25">
      <c r="A70" s="96" t="str">
        <f>'Data Vlaue (Cr)'!C61</f>
        <v>ETERNAL</v>
      </c>
      <c r="B70" s="75">
        <f>VLOOKUP($A70,'Data Vlaue (Cr)'!$C:$FB,2)</f>
        <v>2425</v>
      </c>
      <c r="C70" s="75">
        <f>VLOOKUP($A70,'Data Vlaue (Cr)'!$C:$FB,8)</f>
        <v>283.8</v>
      </c>
      <c r="D70" s="75">
        <f>VLOOKUP($A70,'Data Vlaue (Cr)'!$C:$FB,4)</f>
        <v>284.89999999999998</v>
      </c>
      <c r="E70" s="75">
        <f>VLOOKUP($A70,'Data Vlaue (Cr)'!$C:$FB,5)</f>
        <v>279.8</v>
      </c>
      <c r="F70" s="75">
        <f t="shared" si="0"/>
        <v>1.0999999999999659</v>
      </c>
      <c r="G70" s="75">
        <f t="shared" si="1"/>
        <v>1.7901017901017784</v>
      </c>
      <c r="H70" s="75">
        <f>VLOOKUP($A70,'Data Vlaue (Cr)'!$C:$FB,99)</f>
        <v>9967</v>
      </c>
      <c r="I70" s="75">
        <f>VLOOKUP($A70,'Data Vlaue (Cr)'!$C:$FB,100)</f>
        <v>9888</v>
      </c>
      <c r="J70" s="75">
        <f t="shared" si="2"/>
        <v>79</v>
      </c>
      <c r="K70" s="75">
        <f t="shared" si="3"/>
        <v>0.79261563158422799</v>
      </c>
      <c r="L70" s="75">
        <f>VLOOKUP($A70,'Data Vlaue (Cr)'!$C:$FB,67)</f>
        <v>2357</v>
      </c>
      <c r="M70" s="75">
        <f>VLOOKUP($A70,'Data Vlaue (Cr)'!$C:$FB,68)</f>
        <v>2515</v>
      </c>
      <c r="N70" s="75">
        <f t="shared" si="4"/>
        <v>-158</v>
      </c>
      <c r="O70" s="75">
        <f t="shared" si="5"/>
        <v>-6.703436571913449</v>
      </c>
      <c r="P70" s="75">
        <f>VLOOKUP($A70,'Data Vlaue (Cr)'!$C:$FB,119)</f>
        <v>0.88</v>
      </c>
      <c r="Q70" s="75">
        <f>VLOOKUP($A70,'Data Vlaue (Cr)'!$C:$FB,122)*100</f>
        <v>3.53</v>
      </c>
      <c r="R70" s="75">
        <f>VLOOKUP($A70,'Data Vlaue (Cr)'!$C:$FB,125)</f>
        <v>0.48</v>
      </c>
      <c r="S70" s="75">
        <f>VLOOKUP($A70,'Data Vlaue (Cr)'!$C:$FB,128)*100</f>
        <v>-35.14</v>
      </c>
    </row>
    <row r="71" spans="1:19" x14ac:dyDescent="0.25">
      <c r="A71" s="96" t="str">
        <f>'Data Vlaue (Cr)'!C62</f>
        <v>EXIDEIND</v>
      </c>
      <c r="B71" s="75">
        <f>VLOOKUP($A71,'Data Vlaue (Cr)'!$C:$FB,2)</f>
        <v>1800</v>
      </c>
      <c r="C71" s="75">
        <f>VLOOKUP($A71,'Data Vlaue (Cr)'!$C:$FB,8)</f>
        <v>363.25</v>
      </c>
      <c r="D71" s="75">
        <f>VLOOKUP($A71,'Data Vlaue (Cr)'!$C:$FB,4)</f>
        <v>365.2</v>
      </c>
      <c r="E71" s="75">
        <f>VLOOKUP($A71,'Data Vlaue (Cr)'!$C:$FB,5)</f>
        <v>364.65</v>
      </c>
      <c r="F71" s="75">
        <f t="shared" si="0"/>
        <v>1.9499999999999886</v>
      </c>
      <c r="G71" s="75">
        <f t="shared" si="1"/>
        <v>0.15060240963855734</v>
      </c>
      <c r="H71" s="75">
        <f>VLOOKUP($A71,'Data Vlaue (Cr)'!$C:$FB,99)</f>
        <v>1724</v>
      </c>
      <c r="I71" s="75">
        <f>VLOOKUP($A71,'Data Vlaue (Cr)'!$C:$FB,100)</f>
        <v>1685</v>
      </c>
      <c r="J71" s="75">
        <f t="shared" si="2"/>
        <v>39</v>
      </c>
      <c r="K71" s="75">
        <f t="shared" si="3"/>
        <v>2.2621809744779582</v>
      </c>
      <c r="L71" s="75">
        <f>VLOOKUP($A71,'Data Vlaue (Cr)'!$C:$FB,67)</f>
        <v>323</v>
      </c>
      <c r="M71" s="75">
        <f>VLOOKUP($A71,'Data Vlaue (Cr)'!$C:$FB,68)</f>
        <v>434</v>
      </c>
      <c r="N71" s="75">
        <f t="shared" si="4"/>
        <v>-111</v>
      </c>
      <c r="O71" s="75">
        <f t="shared" si="5"/>
        <v>-34.365325077399383</v>
      </c>
      <c r="P71" s="75">
        <f>VLOOKUP($A71,'Data Vlaue (Cr)'!$C:$FB,119)</f>
        <v>0.76</v>
      </c>
      <c r="Q71" s="75">
        <f>VLOOKUP($A71,'Data Vlaue (Cr)'!$C:$FB,122)*100</f>
        <v>-1.3</v>
      </c>
      <c r="R71" s="75">
        <f>VLOOKUP($A71,'Data Vlaue (Cr)'!$C:$FB,125)</f>
        <v>0.33</v>
      </c>
      <c r="S71" s="75">
        <f>VLOOKUP($A71,'Data Vlaue (Cr)'!$C:$FB,128)*100</f>
        <v>-21.43</v>
      </c>
    </row>
    <row r="72" spans="1:19" x14ac:dyDescent="0.25">
      <c r="A72" s="96" t="str">
        <f>'Data Vlaue (Cr)'!C63</f>
        <v>FEDERALBNK</v>
      </c>
      <c r="B72" s="75">
        <f>VLOOKUP($A72,'Data Vlaue (Cr)'!$C:$FB,2)</f>
        <v>5000</v>
      </c>
      <c r="C72" s="75">
        <f>VLOOKUP($A72,'Data Vlaue (Cr)'!$C:$FB,8)</f>
        <v>266.25</v>
      </c>
      <c r="D72" s="75">
        <f>VLOOKUP($A72,'Data Vlaue (Cr)'!$C:$FB,4)</f>
        <v>266.85000000000002</v>
      </c>
      <c r="E72" s="75">
        <f>VLOOKUP($A72,'Data Vlaue (Cr)'!$C:$FB,5)</f>
        <v>267.39999999999998</v>
      </c>
      <c r="F72" s="75">
        <f t="shared" si="0"/>
        <v>0.60000000000002274</v>
      </c>
      <c r="G72" s="75">
        <f t="shared" si="1"/>
        <v>-0.20610830054335938</v>
      </c>
      <c r="H72" s="75">
        <f>VLOOKUP($A72,'Data Vlaue (Cr)'!$C:$FB,99)</f>
        <v>2446</v>
      </c>
      <c r="I72" s="75">
        <f>VLOOKUP($A72,'Data Vlaue (Cr)'!$C:$FB,100)</f>
        <v>2327</v>
      </c>
      <c r="J72" s="75">
        <f t="shared" si="2"/>
        <v>119</v>
      </c>
      <c r="K72" s="75">
        <f t="shared" si="3"/>
        <v>4.8650858544562556</v>
      </c>
      <c r="L72" s="75">
        <f>VLOOKUP($A72,'Data Vlaue (Cr)'!$C:$FB,67)</f>
        <v>1041</v>
      </c>
      <c r="M72" s="75">
        <f>VLOOKUP($A72,'Data Vlaue (Cr)'!$C:$FB,68)</f>
        <v>1722</v>
      </c>
      <c r="N72" s="75">
        <f t="shared" si="4"/>
        <v>-681</v>
      </c>
      <c r="O72" s="75">
        <f t="shared" si="5"/>
        <v>-65.417867435158499</v>
      </c>
      <c r="P72" s="75">
        <f>VLOOKUP($A72,'Data Vlaue (Cr)'!$C:$FB,119)</f>
        <v>0.89</v>
      </c>
      <c r="Q72" s="75">
        <f>VLOOKUP($A72,'Data Vlaue (Cr)'!$C:$FB,122)*100</f>
        <v>9.879999999999999</v>
      </c>
      <c r="R72" s="75">
        <f>VLOOKUP($A72,'Data Vlaue (Cr)'!$C:$FB,125)</f>
        <v>0.68</v>
      </c>
      <c r="S72" s="75">
        <f>VLOOKUP($A72,'Data Vlaue (Cr)'!$C:$FB,128)*100</f>
        <v>17.239999999999998</v>
      </c>
    </row>
    <row r="73" spans="1:19" x14ac:dyDescent="0.25">
      <c r="A73" s="96" t="str">
        <f>'Data Vlaue (Cr)'!C64</f>
        <v>FINNIFTY</v>
      </c>
      <c r="B73" s="75">
        <f>VLOOKUP($A73,'Data Vlaue (Cr)'!$C:$FB,2)</f>
        <v>60</v>
      </c>
      <c r="C73" s="75">
        <f>VLOOKUP($A73,'Data Vlaue (Cr)'!$C:$FB,8)</f>
        <v>27666.799999999999</v>
      </c>
      <c r="D73" s="75">
        <f>VLOOKUP($A73,'Data Vlaue (Cr)'!$C:$FB,4)</f>
        <v>27798.3</v>
      </c>
      <c r="E73" s="75">
        <f>VLOOKUP($A73,'Data Vlaue (Cr)'!$C:$FB,5)</f>
        <v>27763.599999999999</v>
      </c>
      <c r="F73" s="75">
        <f t="shared" si="0"/>
        <v>131.5</v>
      </c>
      <c r="G73" s="75">
        <f t="shared" si="1"/>
        <v>0.12482777723817906</v>
      </c>
      <c r="H73" s="75">
        <f>VLOOKUP($A73,'Data Vlaue (Cr)'!$C:$FB,99)</f>
        <v>970</v>
      </c>
      <c r="I73" s="75">
        <f>VLOOKUP($A73,'Data Vlaue (Cr)'!$C:$FB,100)</f>
        <v>791</v>
      </c>
      <c r="J73" s="75">
        <f t="shared" si="2"/>
        <v>179</v>
      </c>
      <c r="K73" s="75">
        <f t="shared" si="3"/>
        <v>18.453608247422682</v>
      </c>
      <c r="L73" s="75">
        <f>VLOOKUP($A73,'Data Vlaue (Cr)'!$C:$FB,67)</f>
        <v>1844</v>
      </c>
      <c r="M73" s="75">
        <f>VLOOKUP($A73,'Data Vlaue (Cr)'!$C:$FB,68)</f>
        <v>2678</v>
      </c>
      <c r="N73" s="75">
        <f t="shared" si="4"/>
        <v>-834</v>
      </c>
      <c r="O73" s="75">
        <f t="shared" si="5"/>
        <v>-45.227765726681127</v>
      </c>
      <c r="P73" s="75">
        <f>VLOOKUP($A73,'Data Vlaue (Cr)'!$C:$FB,119)</f>
        <v>0.86</v>
      </c>
      <c r="Q73" s="75">
        <f>VLOOKUP($A73,'Data Vlaue (Cr)'!$C:$FB,122)*100</f>
        <v>3.61</v>
      </c>
      <c r="R73" s="75">
        <f>VLOOKUP($A73,'Data Vlaue (Cr)'!$C:$FB,125)</f>
        <v>1.08</v>
      </c>
      <c r="S73" s="75">
        <f>VLOOKUP($A73,'Data Vlaue (Cr)'!$C:$FB,128)*100</f>
        <v>36.71</v>
      </c>
    </row>
    <row r="74" spans="1:19" x14ac:dyDescent="0.25">
      <c r="A74" s="96" t="str">
        <f>'Data Vlaue (Cr)'!C65</f>
        <v>FORTIS</v>
      </c>
      <c r="B74" s="75">
        <f>VLOOKUP($A74,'Data Vlaue (Cr)'!$C:$FB,2)</f>
        <v>775</v>
      </c>
      <c r="C74" s="75">
        <f>VLOOKUP($A74,'Data Vlaue (Cr)'!$C:$FB,8)</f>
        <v>900.55</v>
      </c>
      <c r="D74" s="75">
        <f>VLOOKUP($A74,'Data Vlaue (Cr)'!$C:$FB,4)</f>
        <v>904.9</v>
      </c>
      <c r="E74" s="75">
        <f>VLOOKUP($A74,'Data Vlaue (Cr)'!$C:$FB,5)</f>
        <v>889.3</v>
      </c>
      <c r="F74" s="75">
        <f t="shared" si="0"/>
        <v>4.3500000000000227</v>
      </c>
      <c r="G74" s="75">
        <f t="shared" si="1"/>
        <v>1.7239473975024888</v>
      </c>
      <c r="H74" s="75">
        <f>VLOOKUP($A74,'Data Vlaue (Cr)'!$C:$FB,99)</f>
        <v>1338</v>
      </c>
      <c r="I74" s="75">
        <f>VLOOKUP($A74,'Data Vlaue (Cr)'!$C:$FB,100)</f>
        <v>1274</v>
      </c>
      <c r="J74" s="75">
        <f t="shared" si="2"/>
        <v>64</v>
      </c>
      <c r="K74" s="75">
        <f t="shared" si="3"/>
        <v>4.7832585949177879</v>
      </c>
      <c r="L74" s="75">
        <f>VLOOKUP($A74,'Data Vlaue (Cr)'!$C:$FB,67)</f>
        <v>436</v>
      </c>
      <c r="M74" s="75">
        <f>VLOOKUP($A74,'Data Vlaue (Cr)'!$C:$FB,68)</f>
        <v>201</v>
      </c>
      <c r="N74" s="75">
        <f t="shared" si="4"/>
        <v>235</v>
      </c>
      <c r="O74" s="75">
        <f t="shared" si="5"/>
        <v>53.899082568807344</v>
      </c>
      <c r="P74" s="75">
        <f>VLOOKUP($A74,'Data Vlaue (Cr)'!$C:$FB,119)</f>
        <v>0.61</v>
      </c>
      <c r="Q74" s="75">
        <f>VLOOKUP($A74,'Data Vlaue (Cr)'!$C:$FB,122)*100</f>
        <v>-20.78</v>
      </c>
      <c r="R74" s="75">
        <f>VLOOKUP($A74,'Data Vlaue (Cr)'!$C:$FB,125)</f>
        <v>0.22</v>
      </c>
      <c r="S74" s="75">
        <f>VLOOKUP($A74,'Data Vlaue (Cr)'!$C:$FB,128)*100</f>
        <v>-33.33</v>
      </c>
    </row>
    <row r="75" spans="1:19" x14ac:dyDescent="0.25">
      <c r="A75" s="96" t="str">
        <f>'Data Vlaue (Cr)'!C66</f>
        <v>GAIL</v>
      </c>
      <c r="B75" s="75">
        <f>VLOOKUP($A75,'Data Vlaue (Cr)'!$C:$FB,2)</f>
        <v>3150</v>
      </c>
      <c r="C75" s="75">
        <f>VLOOKUP($A75,'Data Vlaue (Cr)'!$C:$FB,8)</f>
        <v>171.77</v>
      </c>
      <c r="D75" s="75">
        <f>VLOOKUP($A75,'Data Vlaue (Cr)'!$C:$FB,4)</f>
        <v>172.82</v>
      </c>
      <c r="E75" s="75">
        <f>VLOOKUP($A75,'Data Vlaue (Cr)'!$C:$FB,5)</f>
        <v>173.14</v>
      </c>
      <c r="F75" s="75">
        <f t="shared" si="0"/>
        <v>1.0499999999999829</v>
      </c>
      <c r="G75" s="75">
        <f>(D75-E75)/D75*100</f>
        <v>-0.18516375419511236</v>
      </c>
      <c r="H75" s="75">
        <f>VLOOKUP($A75,'Data Vlaue (Cr)'!$C:$FB,99)</f>
        <v>2335</v>
      </c>
      <c r="I75" s="75">
        <f>VLOOKUP($A75,'Data Vlaue (Cr)'!$C:$FB,100)</f>
        <v>2285</v>
      </c>
      <c r="J75" s="75">
        <f t="shared" si="2"/>
        <v>50</v>
      </c>
      <c r="K75" s="75">
        <f t="shared" si="3"/>
        <v>2.1413276231263381</v>
      </c>
      <c r="L75" s="75">
        <f>VLOOKUP($A75,'Data Vlaue (Cr)'!$C:$FB,67)</f>
        <v>333</v>
      </c>
      <c r="M75" s="75">
        <f>VLOOKUP($A75,'Data Vlaue (Cr)'!$C:$FB,68)</f>
        <v>718</v>
      </c>
      <c r="N75" s="75">
        <f t="shared" si="4"/>
        <v>-385</v>
      </c>
      <c r="O75" s="75">
        <f t="shared" si="5"/>
        <v>-115.61561561561562</v>
      </c>
      <c r="P75" s="75">
        <f>VLOOKUP($A75,'Data Vlaue (Cr)'!$C:$FB,119)</f>
        <v>1</v>
      </c>
      <c r="Q75" s="75">
        <f>VLOOKUP($A75,'Data Vlaue (Cr)'!$C:$FB,122)*100</f>
        <v>-2.91</v>
      </c>
      <c r="R75" s="75">
        <f>VLOOKUP($A75,'Data Vlaue (Cr)'!$C:$FB,125)</f>
        <v>0.47</v>
      </c>
      <c r="S75" s="75">
        <f>VLOOKUP($A75,'Data Vlaue (Cr)'!$C:$FB,128)*100</f>
        <v>-41.25</v>
      </c>
    </row>
    <row r="76" spans="1:19" x14ac:dyDescent="0.25">
      <c r="A76" s="96" t="str">
        <f>'Data Vlaue (Cr)'!C67</f>
        <v>GLENMARK</v>
      </c>
      <c r="B76" s="75">
        <f>VLOOKUP($A76,'Data Vlaue (Cr)'!$C:$FB,2)</f>
        <v>375</v>
      </c>
      <c r="C76" s="75">
        <f>VLOOKUP($A76,'Data Vlaue (Cr)'!$C:$FB,8)</f>
        <v>2026.2</v>
      </c>
      <c r="D76" s="75">
        <f>VLOOKUP($A76,'Data Vlaue (Cr)'!$C:$FB,4)</f>
        <v>2034</v>
      </c>
      <c r="E76" s="75">
        <f>VLOOKUP($A76,'Data Vlaue (Cr)'!$C:$FB,5)</f>
        <v>2042.8</v>
      </c>
      <c r="F76" s="75">
        <f t="shared" ref="F76:F139" si="6">D76-C76</f>
        <v>7.7999999999999545</v>
      </c>
      <c r="G76" s="75">
        <f t="shared" ref="G76:G139" si="7">(D76-E76)/D76*100</f>
        <v>-0.43264503441494373</v>
      </c>
      <c r="H76" s="75">
        <f>VLOOKUP($A76,'Data Vlaue (Cr)'!$C:$FB,99)</f>
        <v>3179</v>
      </c>
      <c r="I76" s="75">
        <f>VLOOKUP($A76,'Data Vlaue (Cr)'!$C:$FB,100)</f>
        <v>3148</v>
      </c>
      <c r="J76" s="75">
        <f t="shared" ref="J76:J139" si="8">H76-I76</f>
        <v>31</v>
      </c>
      <c r="K76" s="75">
        <f t="shared" ref="K76:K139" si="9">J76/H76*100</f>
        <v>0.97514941805599242</v>
      </c>
      <c r="L76" s="75">
        <f>VLOOKUP($A76,'Data Vlaue (Cr)'!$C:$FB,67)</f>
        <v>456</v>
      </c>
      <c r="M76" s="75">
        <f>VLOOKUP($A76,'Data Vlaue (Cr)'!$C:$FB,68)</f>
        <v>801</v>
      </c>
      <c r="N76" s="75">
        <f t="shared" ref="N76:N139" si="10">L76-M76</f>
        <v>-345</v>
      </c>
      <c r="O76" s="75">
        <f t="shared" ref="O76:O139" si="11">N76/L76*100</f>
        <v>-75.657894736842096</v>
      </c>
      <c r="P76" s="75">
        <f>VLOOKUP($A76,'Data Vlaue (Cr)'!$C:$FB,119)</f>
        <v>0.56999999999999995</v>
      </c>
      <c r="Q76" s="75">
        <f>VLOOKUP($A76,'Data Vlaue (Cr)'!$C:$FB,122)*100</f>
        <v>-1.72</v>
      </c>
      <c r="R76" s="75">
        <f>VLOOKUP($A76,'Data Vlaue (Cr)'!$C:$FB,125)</f>
        <v>0.45</v>
      </c>
      <c r="S76" s="75">
        <f>VLOOKUP($A76,'Data Vlaue (Cr)'!$C:$FB,128)*100</f>
        <v>12.5</v>
      </c>
    </row>
    <row r="77" spans="1:19" x14ac:dyDescent="0.25">
      <c r="A77" s="96" t="str">
        <f>'Data Vlaue (Cr)'!C68</f>
        <v>GMRAIRPORT</v>
      </c>
      <c r="B77" s="75">
        <f>VLOOKUP($A77,'Data Vlaue (Cr)'!$C:$FB,2)</f>
        <v>6975</v>
      </c>
      <c r="C77" s="75">
        <f>VLOOKUP($A77,'Data Vlaue (Cr)'!$C:$FB,8)</f>
        <v>105.5</v>
      </c>
      <c r="D77" s="75">
        <f>VLOOKUP($A77,'Data Vlaue (Cr)'!$C:$FB,4)</f>
        <v>106.2</v>
      </c>
      <c r="E77" s="75">
        <f>VLOOKUP($A77,'Data Vlaue (Cr)'!$C:$FB,5)</f>
        <v>104.83</v>
      </c>
      <c r="F77" s="75">
        <f t="shared" si="6"/>
        <v>0.70000000000000284</v>
      </c>
      <c r="G77" s="75">
        <f t="shared" si="7"/>
        <v>1.2900188323917179</v>
      </c>
      <c r="H77" s="75">
        <f>VLOOKUP($A77,'Data Vlaue (Cr)'!$C:$FB,99)</f>
        <v>3090</v>
      </c>
      <c r="I77" s="75">
        <f>VLOOKUP($A77,'Data Vlaue (Cr)'!$C:$FB,100)</f>
        <v>3019</v>
      </c>
      <c r="J77" s="75">
        <f t="shared" si="8"/>
        <v>71</v>
      </c>
      <c r="K77" s="75">
        <f t="shared" si="9"/>
        <v>2.2977346278317152</v>
      </c>
      <c r="L77" s="75">
        <f>VLOOKUP($A77,'Data Vlaue (Cr)'!$C:$FB,67)</f>
        <v>1094</v>
      </c>
      <c r="M77" s="75">
        <f>VLOOKUP($A77,'Data Vlaue (Cr)'!$C:$FB,68)</f>
        <v>1335</v>
      </c>
      <c r="N77" s="75">
        <f t="shared" si="10"/>
        <v>-241</v>
      </c>
      <c r="O77" s="75">
        <f t="shared" si="11"/>
        <v>-22.02925045703839</v>
      </c>
      <c r="P77" s="75">
        <f>VLOOKUP($A77,'Data Vlaue (Cr)'!$C:$FB,119)</f>
        <v>0.62</v>
      </c>
      <c r="Q77" s="75">
        <f>VLOOKUP($A77,'Data Vlaue (Cr)'!$C:$FB,122)*100</f>
        <v>3.3300000000000005</v>
      </c>
      <c r="R77" s="75">
        <f>VLOOKUP($A77,'Data Vlaue (Cr)'!$C:$FB,125)</f>
        <v>0.31</v>
      </c>
      <c r="S77" s="75">
        <f>VLOOKUP($A77,'Data Vlaue (Cr)'!$C:$FB,128)*100</f>
        <v>-11.43</v>
      </c>
    </row>
    <row r="78" spans="1:19" x14ac:dyDescent="0.25">
      <c r="A78" s="96" t="str">
        <f>'Data Vlaue (Cr)'!C69</f>
        <v>GODREJCP</v>
      </c>
      <c r="B78" s="75">
        <f>VLOOKUP($A78,'Data Vlaue (Cr)'!$C:$FB,2)</f>
        <v>500</v>
      </c>
      <c r="C78" s="75">
        <f>VLOOKUP($A78,'Data Vlaue (Cr)'!$C:$FB,8)</f>
        <v>1243.4000000000001</v>
      </c>
      <c r="D78" s="75">
        <f>VLOOKUP($A78,'Data Vlaue (Cr)'!$C:$FB,4)</f>
        <v>1247.7</v>
      </c>
      <c r="E78" s="75">
        <f>VLOOKUP($A78,'Data Vlaue (Cr)'!$C:$FB,5)</f>
        <v>1226.8</v>
      </c>
      <c r="F78" s="75">
        <f t="shared" si="6"/>
        <v>4.2999999999999545</v>
      </c>
      <c r="G78" s="75">
        <f t="shared" si="7"/>
        <v>1.675082151158138</v>
      </c>
      <c r="H78" s="75">
        <f>VLOOKUP($A78,'Data Vlaue (Cr)'!$C:$FB,99)</f>
        <v>1380</v>
      </c>
      <c r="I78" s="75">
        <f>VLOOKUP($A78,'Data Vlaue (Cr)'!$C:$FB,100)</f>
        <v>1379</v>
      </c>
      <c r="J78" s="75">
        <f t="shared" si="8"/>
        <v>1</v>
      </c>
      <c r="K78" s="75">
        <f t="shared" si="9"/>
        <v>7.2463768115942032E-2</v>
      </c>
      <c r="L78" s="75">
        <f>VLOOKUP($A78,'Data Vlaue (Cr)'!$C:$FB,67)</f>
        <v>451</v>
      </c>
      <c r="M78" s="75">
        <f>VLOOKUP($A78,'Data Vlaue (Cr)'!$C:$FB,68)</f>
        <v>467</v>
      </c>
      <c r="N78" s="75">
        <f t="shared" si="10"/>
        <v>-16</v>
      </c>
      <c r="O78" s="75">
        <f t="shared" si="11"/>
        <v>-3.5476718403547673</v>
      </c>
      <c r="P78" s="75">
        <f>VLOOKUP($A78,'Data Vlaue (Cr)'!$C:$FB,119)</f>
        <v>0.79</v>
      </c>
      <c r="Q78" s="75">
        <f>VLOOKUP($A78,'Data Vlaue (Cr)'!$C:$FB,122)*100</f>
        <v>8.2199999999999989</v>
      </c>
      <c r="R78" s="75">
        <f>VLOOKUP($A78,'Data Vlaue (Cr)'!$C:$FB,125)</f>
        <v>0.62</v>
      </c>
      <c r="S78" s="75">
        <f>VLOOKUP($A78,'Data Vlaue (Cr)'!$C:$FB,128)*100</f>
        <v>58.97</v>
      </c>
    </row>
    <row r="79" spans="1:19" x14ac:dyDescent="0.25">
      <c r="A79" s="96" t="str">
        <f>'Data Vlaue (Cr)'!C70</f>
        <v>GODREJPROP</v>
      </c>
      <c r="B79" s="75">
        <f>VLOOKUP($A79,'Data Vlaue (Cr)'!$C:$FB,2)</f>
        <v>275</v>
      </c>
      <c r="C79" s="75">
        <f>VLOOKUP($A79,'Data Vlaue (Cr)'!$C:$FB,8)</f>
        <v>2015.3</v>
      </c>
      <c r="D79" s="75">
        <f>VLOOKUP($A79,'Data Vlaue (Cr)'!$C:$FB,4)</f>
        <v>2029.2</v>
      </c>
      <c r="E79" s="75">
        <f>VLOOKUP($A79,'Data Vlaue (Cr)'!$C:$FB,5)</f>
        <v>2017.4</v>
      </c>
      <c r="F79" s="75">
        <f t="shared" si="6"/>
        <v>13.900000000000091</v>
      </c>
      <c r="G79" s="75">
        <f t="shared" si="7"/>
        <v>0.58150995466193345</v>
      </c>
      <c r="H79" s="75">
        <f>VLOOKUP($A79,'Data Vlaue (Cr)'!$C:$FB,99)</f>
        <v>2449</v>
      </c>
      <c r="I79" s="75">
        <f>VLOOKUP($A79,'Data Vlaue (Cr)'!$C:$FB,100)</f>
        <v>2398</v>
      </c>
      <c r="J79" s="75">
        <f t="shared" si="8"/>
        <v>51</v>
      </c>
      <c r="K79" s="75">
        <f t="shared" si="9"/>
        <v>2.08248264597795</v>
      </c>
      <c r="L79" s="75">
        <f>VLOOKUP($A79,'Data Vlaue (Cr)'!$C:$FB,67)</f>
        <v>504</v>
      </c>
      <c r="M79" s="75">
        <f>VLOOKUP($A79,'Data Vlaue (Cr)'!$C:$FB,68)</f>
        <v>715</v>
      </c>
      <c r="N79" s="75">
        <f t="shared" si="10"/>
        <v>-211</v>
      </c>
      <c r="O79" s="75">
        <f t="shared" si="11"/>
        <v>-41.865079365079367</v>
      </c>
      <c r="P79" s="75">
        <f>VLOOKUP($A79,'Data Vlaue (Cr)'!$C:$FB,119)</f>
        <v>0.81</v>
      </c>
      <c r="Q79" s="75">
        <f>VLOOKUP($A79,'Data Vlaue (Cr)'!$C:$FB,122)*100</f>
        <v>-2.41</v>
      </c>
      <c r="R79" s="75">
        <f>VLOOKUP($A79,'Data Vlaue (Cr)'!$C:$FB,125)</f>
        <v>0.44</v>
      </c>
      <c r="S79" s="75">
        <f>VLOOKUP($A79,'Data Vlaue (Cr)'!$C:$FB,128)*100</f>
        <v>4.7600000000000007</v>
      </c>
    </row>
    <row r="80" spans="1:19" x14ac:dyDescent="0.25">
      <c r="A80" s="96" t="str">
        <f>'Data Vlaue (Cr)'!C71</f>
        <v>GRASIM</v>
      </c>
      <c r="B80" s="75">
        <f>VLOOKUP($A80,'Data Vlaue (Cr)'!$C:$FB,2)</f>
        <v>250</v>
      </c>
      <c r="C80" s="75">
        <f>VLOOKUP($A80,'Data Vlaue (Cr)'!$C:$FB,8)</f>
        <v>2851.7</v>
      </c>
      <c r="D80" s="75">
        <f>VLOOKUP($A80,'Data Vlaue (Cr)'!$C:$FB,4)</f>
        <v>2871</v>
      </c>
      <c r="E80" s="75">
        <f>VLOOKUP($A80,'Data Vlaue (Cr)'!$C:$FB,5)</f>
        <v>2843.1</v>
      </c>
      <c r="F80" s="75">
        <f t="shared" si="6"/>
        <v>19.300000000000182</v>
      </c>
      <c r="G80" s="75">
        <f t="shared" si="7"/>
        <v>0.97178683385580245</v>
      </c>
      <c r="H80" s="75">
        <f>VLOOKUP($A80,'Data Vlaue (Cr)'!$C:$FB,99)</f>
        <v>5099</v>
      </c>
      <c r="I80" s="75">
        <f>VLOOKUP($A80,'Data Vlaue (Cr)'!$C:$FB,100)</f>
        <v>5007</v>
      </c>
      <c r="J80" s="75">
        <f t="shared" si="8"/>
        <v>92</v>
      </c>
      <c r="K80" s="75">
        <f t="shared" si="9"/>
        <v>1.804275348107472</v>
      </c>
      <c r="L80" s="75">
        <f>VLOOKUP($A80,'Data Vlaue (Cr)'!$C:$FB,67)</f>
        <v>498</v>
      </c>
      <c r="M80" s="75">
        <f>VLOOKUP($A80,'Data Vlaue (Cr)'!$C:$FB,68)</f>
        <v>1012</v>
      </c>
      <c r="N80" s="75">
        <f t="shared" si="10"/>
        <v>-514</v>
      </c>
      <c r="O80" s="75">
        <f t="shared" si="11"/>
        <v>-103.21285140562249</v>
      </c>
      <c r="P80" s="75">
        <f>VLOOKUP($A80,'Data Vlaue (Cr)'!$C:$FB,119)</f>
        <v>1.04</v>
      </c>
      <c r="Q80" s="75">
        <f>VLOOKUP($A80,'Data Vlaue (Cr)'!$C:$FB,122)*100</f>
        <v>-3.6999999999999997</v>
      </c>
      <c r="R80" s="75">
        <f>VLOOKUP($A80,'Data Vlaue (Cr)'!$C:$FB,125)</f>
        <v>0.5</v>
      </c>
      <c r="S80" s="75">
        <f>VLOOKUP($A80,'Data Vlaue (Cr)'!$C:$FB,128)*100</f>
        <v>-45.65</v>
      </c>
    </row>
    <row r="81" spans="1:19" x14ac:dyDescent="0.25">
      <c r="A81" s="96" t="str">
        <f>'Data Vlaue (Cr)'!C72</f>
        <v>HAL</v>
      </c>
      <c r="B81" s="75">
        <f>VLOOKUP($A81,'Data Vlaue (Cr)'!$C:$FB,2)</f>
        <v>150</v>
      </c>
      <c r="C81" s="75">
        <f>VLOOKUP($A81,'Data Vlaue (Cr)'!$C:$FB,8)</f>
        <v>4397.8999999999996</v>
      </c>
      <c r="D81" s="75">
        <f>VLOOKUP($A81,'Data Vlaue (Cr)'!$C:$FB,4)</f>
        <v>4417.5</v>
      </c>
      <c r="E81" s="75">
        <f>VLOOKUP($A81,'Data Vlaue (Cr)'!$C:$FB,5)</f>
        <v>4411.7</v>
      </c>
      <c r="F81" s="75">
        <f t="shared" si="6"/>
        <v>19.600000000000364</v>
      </c>
      <c r="G81" s="75">
        <f t="shared" si="7"/>
        <v>0.13129598189021352</v>
      </c>
      <c r="H81" s="75">
        <f>VLOOKUP($A81,'Data Vlaue (Cr)'!$C:$FB,99)</f>
        <v>6960</v>
      </c>
      <c r="I81" s="75">
        <f>VLOOKUP($A81,'Data Vlaue (Cr)'!$C:$FB,100)</f>
        <v>6821</v>
      </c>
      <c r="J81" s="75">
        <f t="shared" si="8"/>
        <v>139</v>
      </c>
      <c r="K81" s="75">
        <f t="shared" si="9"/>
        <v>1.9971264367816093</v>
      </c>
      <c r="L81" s="75">
        <f>VLOOKUP($A81,'Data Vlaue (Cr)'!$C:$FB,67)</f>
        <v>1756</v>
      </c>
      <c r="M81" s="75">
        <f>VLOOKUP($A81,'Data Vlaue (Cr)'!$C:$FB,68)</f>
        <v>2659</v>
      </c>
      <c r="N81" s="75">
        <f t="shared" si="10"/>
        <v>-903</v>
      </c>
      <c r="O81" s="75">
        <f t="shared" si="11"/>
        <v>-51.423690205011383</v>
      </c>
      <c r="P81" s="75">
        <f>VLOOKUP($A81,'Data Vlaue (Cr)'!$C:$FB,119)</f>
        <v>0.7</v>
      </c>
      <c r="Q81" s="75">
        <f>VLOOKUP($A81,'Data Vlaue (Cr)'!$C:$FB,122)*100</f>
        <v>-1.41</v>
      </c>
      <c r="R81" s="75">
        <f>VLOOKUP($A81,'Data Vlaue (Cr)'!$C:$FB,125)</f>
        <v>0.52</v>
      </c>
      <c r="S81" s="75">
        <f>VLOOKUP($A81,'Data Vlaue (Cr)'!$C:$FB,128)*100</f>
        <v>44.440000000000005</v>
      </c>
    </row>
    <row r="82" spans="1:19" x14ac:dyDescent="0.25">
      <c r="A82" s="96" t="str">
        <f>'Data Vlaue (Cr)'!C73</f>
        <v>HAVELLS</v>
      </c>
      <c r="B82" s="75">
        <f>VLOOKUP($A82,'Data Vlaue (Cr)'!$C:$FB,2)</f>
        <v>500</v>
      </c>
      <c r="C82" s="75">
        <f>VLOOKUP($A82,'Data Vlaue (Cr)'!$C:$FB,8)</f>
        <v>1417.5</v>
      </c>
      <c r="D82" s="75">
        <f>VLOOKUP($A82,'Data Vlaue (Cr)'!$C:$FB,4)</f>
        <v>1424.8</v>
      </c>
      <c r="E82" s="75">
        <f>VLOOKUP($A82,'Data Vlaue (Cr)'!$C:$FB,5)</f>
        <v>1432.5</v>
      </c>
      <c r="F82" s="75">
        <f t="shared" si="6"/>
        <v>7.2999999999999545</v>
      </c>
      <c r="G82" s="75">
        <f t="shared" si="7"/>
        <v>-0.54042672655811663</v>
      </c>
      <c r="H82" s="75">
        <f>VLOOKUP($A82,'Data Vlaue (Cr)'!$C:$FB,99)</f>
        <v>1516</v>
      </c>
      <c r="I82" s="75">
        <f>VLOOKUP($A82,'Data Vlaue (Cr)'!$C:$FB,100)</f>
        <v>1466</v>
      </c>
      <c r="J82" s="75">
        <f t="shared" si="8"/>
        <v>50</v>
      </c>
      <c r="K82" s="75">
        <f t="shared" si="9"/>
        <v>3.2981530343007917</v>
      </c>
      <c r="L82" s="75">
        <f>VLOOKUP($A82,'Data Vlaue (Cr)'!$C:$FB,67)</f>
        <v>275</v>
      </c>
      <c r="M82" s="75">
        <f>VLOOKUP($A82,'Data Vlaue (Cr)'!$C:$FB,68)</f>
        <v>358</v>
      </c>
      <c r="N82" s="75">
        <f t="shared" si="10"/>
        <v>-83</v>
      </c>
      <c r="O82" s="75">
        <f t="shared" si="11"/>
        <v>-30.181818181818183</v>
      </c>
      <c r="P82" s="75">
        <f>VLOOKUP($A82,'Data Vlaue (Cr)'!$C:$FB,119)</f>
        <v>1.1100000000000001</v>
      </c>
      <c r="Q82" s="75">
        <f>VLOOKUP($A82,'Data Vlaue (Cr)'!$C:$FB,122)*100</f>
        <v>-6.72</v>
      </c>
      <c r="R82" s="75">
        <f>VLOOKUP($A82,'Data Vlaue (Cr)'!$C:$FB,125)</f>
        <v>0.45</v>
      </c>
      <c r="S82" s="75">
        <f>VLOOKUP($A82,'Data Vlaue (Cr)'!$C:$FB,128)*100</f>
        <v>-28.57</v>
      </c>
    </row>
    <row r="83" spans="1:19" x14ac:dyDescent="0.25">
      <c r="A83" s="96" t="str">
        <f>'Data Vlaue (Cr)'!C74</f>
        <v>HCLTECH</v>
      </c>
      <c r="B83" s="75">
        <f>VLOOKUP($A83,'Data Vlaue (Cr)'!$C:$FB,2)</f>
        <v>350</v>
      </c>
      <c r="C83" s="75">
        <f>VLOOKUP($A83,'Data Vlaue (Cr)'!$C:$FB,8)</f>
        <v>1634.5</v>
      </c>
      <c r="D83" s="75">
        <f>VLOOKUP($A83,'Data Vlaue (Cr)'!$C:$FB,4)</f>
        <v>1628.5</v>
      </c>
      <c r="E83" s="75">
        <f>VLOOKUP($A83,'Data Vlaue (Cr)'!$C:$FB,5)</f>
        <v>1618.3</v>
      </c>
      <c r="F83" s="75">
        <f t="shared" si="6"/>
        <v>-6</v>
      </c>
      <c r="G83" s="75">
        <f t="shared" si="7"/>
        <v>0.62634326066933044</v>
      </c>
      <c r="H83" s="75">
        <f>VLOOKUP($A83,'Data Vlaue (Cr)'!$C:$FB,99)</f>
        <v>3557</v>
      </c>
      <c r="I83" s="75">
        <f>VLOOKUP($A83,'Data Vlaue (Cr)'!$C:$FB,100)</f>
        <v>3389</v>
      </c>
      <c r="J83" s="75">
        <f t="shared" si="8"/>
        <v>168</v>
      </c>
      <c r="K83" s="75">
        <f t="shared" si="9"/>
        <v>4.7230812482429014</v>
      </c>
      <c r="L83" s="75">
        <f>VLOOKUP($A83,'Data Vlaue (Cr)'!$C:$FB,67)</f>
        <v>1236</v>
      </c>
      <c r="M83" s="75">
        <f>VLOOKUP($A83,'Data Vlaue (Cr)'!$C:$FB,68)</f>
        <v>1117</v>
      </c>
      <c r="N83" s="75">
        <f t="shared" si="10"/>
        <v>119</v>
      </c>
      <c r="O83" s="75">
        <f t="shared" si="11"/>
        <v>9.6278317152103554</v>
      </c>
      <c r="P83" s="75">
        <f>VLOOKUP($A83,'Data Vlaue (Cr)'!$C:$FB,119)</f>
        <v>0.61</v>
      </c>
      <c r="Q83" s="75">
        <f>VLOOKUP($A83,'Data Vlaue (Cr)'!$C:$FB,122)*100</f>
        <v>-12.86</v>
      </c>
      <c r="R83" s="75">
        <f>VLOOKUP($A83,'Data Vlaue (Cr)'!$C:$FB,125)</f>
        <v>0.4</v>
      </c>
      <c r="S83" s="75">
        <f>VLOOKUP($A83,'Data Vlaue (Cr)'!$C:$FB,128)*100</f>
        <v>-25.929999999999996</v>
      </c>
    </row>
    <row r="84" spans="1:19" x14ac:dyDescent="0.25">
      <c r="A84" s="96" t="str">
        <f>'Data Vlaue (Cr)'!C75</f>
        <v>HDFCAMC</v>
      </c>
      <c r="B84" s="75">
        <f>VLOOKUP($A84,'Data Vlaue (Cr)'!$C:$FB,2)</f>
        <v>300</v>
      </c>
      <c r="C84" s="75">
        <f>VLOOKUP($A84,'Data Vlaue (Cr)'!$C:$FB,8)</f>
        <v>2648.2</v>
      </c>
      <c r="D84" s="75">
        <f>VLOOKUP($A84,'Data Vlaue (Cr)'!$C:$FB,4)</f>
        <v>2663.1</v>
      </c>
      <c r="E84" s="75">
        <f>VLOOKUP($A84,'Data Vlaue (Cr)'!$C:$FB,5)</f>
        <v>2687.2</v>
      </c>
      <c r="F84" s="75">
        <f t="shared" si="6"/>
        <v>14.900000000000091</v>
      </c>
      <c r="G84" s="75">
        <f t="shared" si="7"/>
        <v>-0.9049603845142844</v>
      </c>
      <c r="H84" s="75">
        <f>VLOOKUP($A84,'Data Vlaue (Cr)'!$C:$FB,99)</f>
        <v>2096</v>
      </c>
      <c r="I84" s="75">
        <f>VLOOKUP($A84,'Data Vlaue (Cr)'!$C:$FB,100)</f>
        <v>2045</v>
      </c>
      <c r="J84" s="75">
        <f t="shared" si="8"/>
        <v>51</v>
      </c>
      <c r="K84" s="75">
        <f t="shared" si="9"/>
        <v>2.4332061068702289</v>
      </c>
      <c r="L84" s="75">
        <f>VLOOKUP($A84,'Data Vlaue (Cr)'!$C:$FB,67)</f>
        <v>468</v>
      </c>
      <c r="M84" s="75">
        <f>VLOOKUP($A84,'Data Vlaue (Cr)'!$C:$FB,68)</f>
        <v>844</v>
      </c>
      <c r="N84" s="75">
        <f t="shared" si="10"/>
        <v>-376</v>
      </c>
      <c r="O84" s="75">
        <f t="shared" si="11"/>
        <v>-80.341880341880341</v>
      </c>
      <c r="P84" s="75">
        <f>VLOOKUP($A84,'Data Vlaue (Cr)'!$C:$FB,119)</f>
        <v>0.73</v>
      </c>
      <c r="Q84" s="75">
        <f>VLOOKUP($A84,'Data Vlaue (Cr)'!$C:$FB,122)*100</f>
        <v>-1.35</v>
      </c>
      <c r="R84" s="75">
        <f>VLOOKUP($A84,'Data Vlaue (Cr)'!$C:$FB,125)</f>
        <v>0.42</v>
      </c>
      <c r="S84" s="75">
        <f>VLOOKUP($A84,'Data Vlaue (Cr)'!$C:$FB,128)*100</f>
        <v>-2.33</v>
      </c>
    </row>
    <row r="85" spans="1:19" x14ac:dyDescent="0.25">
      <c r="A85" s="96" t="str">
        <f>'Data Vlaue (Cr)'!C76</f>
        <v>HDFCBANK</v>
      </c>
      <c r="B85" s="75">
        <f>VLOOKUP($A85,'Data Vlaue (Cr)'!$C:$FB,2)</f>
        <v>550</v>
      </c>
      <c r="C85" s="75">
        <f>VLOOKUP($A85,'Data Vlaue (Cr)'!$C:$FB,8)</f>
        <v>991.15</v>
      </c>
      <c r="D85" s="75">
        <f>VLOOKUP($A85,'Data Vlaue (Cr)'!$C:$FB,4)</f>
        <v>995.35</v>
      </c>
      <c r="E85" s="75">
        <f>VLOOKUP($A85,'Data Vlaue (Cr)'!$C:$FB,5)</f>
        <v>997.4</v>
      </c>
      <c r="F85" s="75">
        <f t="shared" si="6"/>
        <v>4.2000000000000455</v>
      </c>
      <c r="G85" s="75">
        <f t="shared" si="7"/>
        <v>-0.20595770332043545</v>
      </c>
      <c r="H85" s="75">
        <f>VLOOKUP($A85,'Data Vlaue (Cr)'!$C:$FB,99)</f>
        <v>25790</v>
      </c>
      <c r="I85" s="75">
        <f>VLOOKUP($A85,'Data Vlaue (Cr)'!$C:$FB,100)</f>
        <v>25462</v>
      </c>
      <c r="J85" s="75">
        <f t="shared" si="8"/>
        <v>328</v>
      </c>
      <c r="K85" s="75">
        <f t="shared" si="9"/>
        <v>1.2718107793718494</v>
      </c>
      <c r="L85" s="75">
        <f>VLOOKUP($A85,'Data Vlaue (Cr)'!$C:$FB,67)</f>
        <v>3217</v>
      </c>
      <c r="M85" s="75">
        <f>VLOOKUP($A85,'Data Vlaue (Cr)'!$C:$FB,68)</f>
        <v>6496</v>
      </c>
      <c r="N85" s="75">
        <f t="shared" si="10"/>
        <v>-3279</v>
      </c>
      <c r="O85" s="75">
        <f t="shared" si="11"/>
        <v>-101.92726142368667</v>
      </c>
      <c r="P85" s="75">
        <f>VLOOKUP($A85,'Data Vlaue (Cr)'!$C:$FB,119)</f>
        <v>0.86</v>
      </c>
      <c r="Q85" s="75">
        <f>VLOOKUP($A85,'Data Vlaue (Cr)'!$C:$FB,122)*100</f>
        <v>-3.37</v>
      </c>
      <c r="R85" s="75">
        <f>VLOOKUP($A85,'Data Vlaue (Cr)'!$C:$FB,125)</f>
        <v>0.63</v>
      </c>
      <c r="S85" s="75">
        <f>VLOOKUP($A85,'Data Vlaue (Cr)'!$C:$FB,128)*100</f>
        <v>5</v>
      </c>
    </row>
    <row r="86" spans="1:19" x14ac:dyDescent="0.25">
      <c r="A86" s="96" t="str">
        <f>'Data Vlaue (Cr)'!C77</f>
        <v>HDFCLIFE</v>
      </c>
      <c r="B86" s="75">
        <f>VLOOKUP($A86,'Data Vlaue (Cr)'!$C:$FB,2)</f>
        <v>1100</v>
      </c>
      <c r="C86" s="75">
        <f>VLOOKUP($A86,'Data Vlaue (Cr)'!$C:$FB,8)</f>
        <v>750.1</v>
      </c>
      <c r="D86" s="75">
        <f>VLOOKUP($A86,'Data Vlaue (Cr)'!$C:$FB,4)</f>
        <v>753.85</v>
      </c>
      <c r="E86" s="75">
        <f>VLOOKUP($A86,'Data Vlaue (Cr)'!$C:$FB,5)</f>
        <v>754.15</v>
      </c>
      <c r="F86" s="75">
        <f t="shared" si="6"/>
        <v>3.75</v>
      </c>
      <c r="G86" s="75">
        <f t="shared" si="7"/>
        <v>-3.9795715327976981E-2</v>
      </c>
      <c r="H86" s="75">
        <f>VLOOKUP($A86,'Data Vlaue (Cr)'!$C:$FB,99)</f>
        <v>3475</v>
      </c>
      <c r="I86" s="75">
        <f>VLOOKUP($A86,'Data Vlaue (Cr)'!$C:$FB,100)</f>
        <v>3338</v>
      </c>
      <c r="J86" s="75">
        <f t="shared" si="8"/>
        <v>137</v>
      </c>
      <c r="K86" s="75">
        <f t="shared" si="9"/>
        <v>3.942446043165468</v>
      </c>
      <c r="L86" s="75">
        <f>VLOOKUP($A86,'Data Vlaue (Cr)'!$C:$FB,67)</f>
        <v>549</v>
      </c>
      <c r="M86" s="75">
        <f>VLOOKUP($A86,'Data Vlaue (Cr)'!$C:$FB,68)</f>
        <v>1007</v>
      </c>
      <c r="N86" s="75">
        <f t="shared" si="10"/>
        <v>-458</v>
      </c>
      <c r="O86" s="75">
        <f t="shared" si="11"/>
        <v>-83.424408014571952</v>
      </c>
      <c r="P86" s="75">
        <f>VLOOKUP($A86,'Data Vlaue (Cr)'!$C:$FB,119)</f>
        <v>0.65</v>
      </c>
      <c r="Q86" s="75">
        <f>VLOOKUP($A86,'Data Vlaue (Cr)'!$C:$FB,122)*100</f>
        <v>-10.96</v>
      </c>
      <c r="R86" s="75">
        <f>VLOOKUP($A86,'Data Vlaue (Cr)'!$C:$FB,125)</f>
        <v>0.44</v>
      </c>
      <c r="S86" s="75">
        <f>VLOOKUP($A86,'Data Vlaue (Cr)'!$C:$FB,128)*100</f>
        <v>-6.38</v>
      </c>
    </row>
    <row r="87" spans="1:19" x14ac:dyDescent="0.25">
      <c r="A87" s="96" t="str">
        <f>'Data Vlaue (Cr)'!C78</f>
        <v>HEROMOTOCO</v>
      </c>
      <c r="B87" s="75">
        <f>VLOOKUP($A87,'Data Vlaue (Cr)'!$C:$FB,2)</f>
        <v>150</v>
      </c>
      <c r="C87" s="75">
        <f>VLOOKUP($A87,'Data Vlaue (Cr)'!$C:$FB,8)</f>
        <v>5841.5</v>
      </c>
      <c r="D87" s="75">
        <f>VLOOKUP($A87,'Data Vlaue (Cr)'!$C:$FB,4)</f>
        <v>5860.5</v>
      </c>
      <c r="E87" s="75">
        <f>VLOOKUP($A87,'Data Vlaue (Cr)'!$C:$FB,5)</f>
        <v>5793</v>
      </c>
      <c r="F87" s="75">
        <f t="shared" si="6"/>
        <v>19</v>
      </c>
      <c r="G87" s="75">
        <f t="shared" si="7"/>
        <v>1.1517788584591757</v>
      </c>
      <c r="H87" s="75">
        <f>VLOOKUP($A87,'Data Vlaue (Cr)'!$C:$FB,99)</f>
        <v>4867</v>
      </c>
      <c r="I87" s="75">
        <f>VLOOKUP($A87,'Data Vlaue (Cr)'!$C:$FB,100)</f>
        <v>4825</v>
      </c>
      <c r="J87" s="75">
        <f t="shared" si="8"/>
        <v>42</v>
      </c>
      <c r="K87" s="75">
        <f t="shared" si="9"/>
        <v>0.8629545921512225</v>
      </c>
      <c r="L87" s="75">
        <f>VLOOKUP($A87,'Data Vlaue (Cr)'!$C:$FB,67)</f>
        <v>3604</v>
      </c>
      <c r="M87" s="75">
        <f>VLOOKUP($A87,'Data Vlaue (Cr)'!$C:$FB,68)</f>
        <v>4035</v>
      </c>
      <c r="N87" s="75">
        <f t="shared" si="10"/>
        <v>-431</v>
      </c>
      <c r="O87" s="75">
        <f t="shared" si="11"/>
        <v>-11.958934517203108</v>
      </c>
      <c r="P87" s="75">
        <f>VLOOKUP($A87,'Data Vlaue (Cr)'!$C:$FB,119)</f>
        <v>0.7</v>
      </c>
      <c r="Q87" s="75">
        <f>VLOOKUP($A87,'Data Vlaue (Cr)'!$C:$FB,122)*100</f>
        <v>6.0600000000000005</v>
      </c>
      <c r="R87" s="75">
        <f>VLOOKUP($A87,'Data Vlaue (Cr)'!$C:$FB,125)</f>
        <v>0.46</v>
      </c>
      <c r="S87" s="75">
        <f>VLOOKUP($A87,'Data Vlaue (Cr)'!$C:$FB,128)*100</f>
        <v>24.32</v>
      </c>
    </row>
    <row r="88" spans="1:19" x14ac:dyDescent="0.25">
      <c r="A88" s="96" t="str">
        <f>'Data Vlaue (Cr)'!C79</f>
        <v>HINDALCO</v>
      </c>
      <c r="B88" s="75">
        <f>VLOOKUP($A88,'Data Vlaue (Cr)'!$C:$FB,2)</f>
        <v>700</v>
      </c>
      <c r="C88" s="75">
        <f>VLOOKUP($A88,'Data Vlaue (Cr)'!$C:$FB,8)</f>
        <v>894.95</v>
      </c>
      <c r="D88" s="75">
        <f>VLOOKUP($A88,'Data Vlaue (Cr)'!$C:$FB,4)</f>
        <v>898.55</v>
      </c>
      <c r="E88" s="75">
        <f>VLOOKUP($A88,'Data Vlaue (Cr)'!$C:$FB,5)</f>
        <v>890.2</v>
      </c>
      <c r="F88" s="75">
        <f t="shared" si="6"/>
        <v>3.5999999999999091</v>
      </c>
      <c r="G88" s="75">
        <f t="shared" si="7"/>
        <v>0.92927494296365354</v>
      </c>
      <c r="H88" s="75">
        <f>VLOOKUP($A88,'Data Vlaue (Cr)'!$C:$FB,99)</f>
        <v>7603</v>
      </c>
      <c r="I88" s="75">
        <f>VLOOKUP($A88,'Data Vlaue (Cr)'!$C:$FB,100)</f>
        <v>7598</v>
      </c>
      <c r="J88" s="75">
        <f t="shared" si="8"/>
        <v>5</v>
      </c>
      <c r="K88" s="75">
        <f t="shared" si="9"/>
        <v>6.576351440220965E-2</v>
      </c>
      <c r="L88" s="75">
        <f>VLOOKUP($A88,'Data Vlaue (Cr)'!$C:$FB,67)</f>
        <v>2269</v>
      </c>
      <c r="M88" s="75">
        <f>VLOOKUP($A88,'Data Vlaue (Cr)'!$C:$FB,68)</f>
        <v>3627</v>
      </c>
      <c r="N88" s="75">
        <f t="shared" si="10"/>
        <v>-1358</v>
      </c>
      <c r="O88" s="75">
        <f t="shared" si="11"/>
        <v>-59.850154252974875</v>
      </c>
      <c r="P88" s="75">
        <f>VLOOKUP($A88,'Data Vlaue (Cr)'!$C:$FB,119)</f>
        <v>0.93</v>
      </c>
      <c r="Q88" s="75">
        <f>VLOOKUP($A88,'Data Vlaue (Cr)'!$C:$FB,122)*100</f>
        <v>1.0900000000000001</v>
      </c>
      <c r="R88" s="75">
        <f>VLOOKUP($A88,'Data Vlaue (Cr)'!$C:$FB,125)</f>
        <v>0.67</v>
      </c>
      <c r="S88" s="75">
        <f>VLOOKUP($A88,'Data Vlaue (Cr)'!$C:$FB,128)*100</f>
        <v>55.81</v>
      </c>
    </row>
    <row r="89" spans="1:19" x14ac:dyDescent="0.25">
      <c r="A89" s="96" t="str">
        <f>'Data Vlaue (Cr)'!C80</f>
        <v>HINDPETRO</v>
      </c>
      <c r="B89" s="75">
        <f>VLOOKUP($A89,'Data Vlaue (Cr)'!$C:$FB,2)</f>
        <v>2025</v>
      </c>
      <c r="C89" s="75">
        <f>VLOOKUP($A89,'Data Vlaue (Cr)'!$C:$FB,8)</f>
        <v>498.6</v>
      </c>
      <c r="D89" s="75">
        <f>VLOOKUP($A89,'Data Vlaue (Cr)'!$C:$FB,4)</f>
        <v>500.45</v>
      </c>
      <c r="E89" s="75">
        <f>VLOOKUP($A89,'Data Vlaue (Cr)'!$C:$FB,5)</f>
        <v>501.1</v>
      </c>
      <c r="F89" s="75">
        <f t="shared" si="6"/>
        <v>1.8499999999999659</v>
      </c>
      <c r="G89" s="75">
        <f t="shared" si="7"/>
        <v>-0.12988310520532204</v>
      </c>
      <c r="H89" s="75">
        <f>VLOOKUP($A89,'Data Vlaue (Cr)'!$C:$FB,99)</f>
        <v>2764</v>
      </c>
      <c r="I89" s="75">
        <f>VLOOKUP($A89,'Data Vlaue (Cr)'!$C:$FB,100)</f>
        <v>2738</v>
      </c>
      <c r="J89" s="75">
        <f t="shared" si="8"/>
        <v>26</v>
      </c>
      <c r="K89" s="75">
        <f t="shared" si="9"/>
        <v>0.94066570188133147</v>
      </c>
      <c r="L89" s="75">
        <f>VLOOKUP($A89,'Data Vlaue (Cr)'!$C:$FB,67)</f>
        <v>1989</v>
      </c>
      <c r="M89" s="75">
        <f>VLOOKUP($A89,'Data Vlaue (Cr)'!$C:$FB,68)</f>
        <v>4857</v>
      </c>
      <c r="N89" s="75">
        <f t="shared" si="10"/>
        <v>-2868</v>
      </c>
      <c r="O89" s="75">
        <f t="shared" si="11"/>
        <v>-144.19306184012066</v>
      </c>
      <c r="P89" s="75">
        <f>VLOOKUP($A89,'Data Vlaue (Cr)'!$C:$FB,119)</f>
        <v>0.77</v>
      </c>
      <c r="Q89" s="75">
        <f>VLOOKUP($A89,'Data Vlaue (Cr)'!$C:$FB,122)*100</f>
        <v>-4.9399999999999995</v>
      </c>
      <c r="R89" s="75">
        <f>VLOOKUP($A89,'Data Vlaue (Cr)'!$C:$FB,125)</f>
        <v>0.6</v>
      </c>
      <c r="S89" s="75">
        <f>VLOOKUP($A89,'Data Vlaue (Cr)'!$C:$FB,128)*100</f>
        <v>53.849999999999994</v>
      </c>
    </row>
    <row r="90" spans="1:19" x14ac:dyDescent="0.25">
      <c r="A90" s="96" t="str">
        <f>'Data Vlaue (Cr)'!C81</f>
        <v>HINDUNILVR</v>
      </c>
      <c r="B90" s="75">
        <f>VLOOKUP($A90,'Data Vlaue (Cr)'!$C:$FB,2)</f>
        <v>300</v>
      </c>
      <c r="C90" s="75">
        <f>VLOOKUP($A90,'Data Vlaue (Cr)'!$C:$FB,8)</f>
        <v>2323</v>
      </c>
      <c r="D90" s="75">
        <f>VLOOKUP($A90,'Data Vlaue (Cr)'!$C:$FB,4)</f>
        <v>2331.1999999999998</v>
      </c>
      <c r="E90" s="75">
        <f>VLOOKUP($A90,'Data Vlaue (Cr)'!$C:$FB,5)</f>
        <v>2324.4</v>
      </c>
      <c r="F90" s="75">
        <f t="shared" si="6"/>
        <v>8.1999999999998181</v>
      </c>
      <c r="G90" s="75">
        <f t="shared" si="7"/>
        <v>0.29169526424158065</v>
      </c>
      <c r="H90" s="75">
        <f>VLOOKUP($A90,'Data Vlaue (Cr)'!$C:$FB,99)</f>
        <v>4540</v>
      </c>
      <c r="I90" s="75">
        <f>VLOOKUP($A90,'Data Vlaue (Cr)'!$C:$FB,100)</f>
        <v>4320</v>
      </c>
      <c r="J90" s="75">
        <f t="shared" si="8"/>
        <v>220</v>
      </c>
      <c r="K90" s="75">
        <f t="shared" si="9"/>
        <v>4.8458149779735686</v>
      </c>
      <c r="L90" s="75">
        <f>VLOOKUP($A90,'Data Vlaue (Cr)'!$C:$FB,67)</f>
        <v>1825</v>
      </c>
      <c r="M90" s="75">
        <f>VLOOKUP($A90,'Data Vlaue (Cr)'!$C:$FB,68)</f>
        <v>2494</v>
      </c>
      <c r="N90" s="75">
        <f t="shared" si="10"/>
        <v>-669</v>
      </c>
      <c r="O90" s="75">
        <f t="shared" si="11"/>
        <v>-36.657534246575338</v>
      </c>
      <c r="P90" s="75">
        <f>VLOOKUP($A90,'Data Vlaue (Cr)'!$C:$FB,119)</f>
        <v>0.69</v>
      </c>
      <c r="Q90" s="75">
        <f>VLOOKUP($A90,'Data Vlaue (Cr)'!$C:$FB,122)*100</f>
        <v>-10.39</v>
      </c>
      <c r="R90" s="75">
        <f>VLOOKUP($A90,'Data Vlaue (Cr)'!$C:$FB,125)</f>
        <v>0.57999999999999996</v>
      </c>
      <c r="S90" s="75">
        <f>VLOOKUP($A90,'Data Vlaue (Cr)'!$C:$FB,128)*100</f>
        <v>28.89</v>
      </c>
    </row>
    <row r="91" spans="1:19" x14ac:dyDescent="0.25">
      <c r="A91" s="96" t="str">
        <f>'Data Vlaue (Cr)'!C82</f>
        <v>HINDZINC</v>
      </c>
      <c r="B91" s="75">
        <f>VLOOKUP($A91,'Data Vlaue (Cr)'!$C:$FB,2)</f>
        <v>1225</v>
      </c>
      <c r="C91" s="75">
        <f>VLOOKUP($A91,'Data Vlaue (Cr)'!$C:$FB,8)</f>
        <v>611.95000000000005</v>
      </c>
      <c r="D91" s="75">
        <f>VLOOKUP($A91,'Data Vlaue (Cr)'!$C:$FB,4)</f>
        <v>615.35</v>
      </c>
      <c r="E91" s="75">
        <f>VLOOKUP($A91,'Data Vlaue (Cr)'!$C:$FB,5)</f>
        <v>616.29999999999995</v>
      </c>
      <c r="F91" s="75">
        <f t="shared" si="6"/>
        <v>3.3999999999999773</v>
      </c>
      <c r="G91" s="75">
        <f t="shared" si="7"/>
        <v>-0.15438368408221853</v>
      </c>
      <c r="H91" s="75">
        <f>VLOOKUP($A91,'Data Vlaue (Cr)'!$C:$FB,99)</f>
        <v>5669</v>
      </c>
      <c r="I91" s="75">
        <f>VLOOKUP($A91,'Data Vlaue (Cr)'!$C:$FB,100)</f>
        <v>5681</v>
      </c>
      <c r="J91" s="75">
        <f t="shared" si="8"/>
        <v>-12</v>
      </c>
      <c r="K91" s="75">
        <f t="shared" si="9"/>
        <v>-0.21167754454048332</v>
      </c>
      <c r="L91" s="75">
        <f>VLOOKUP($A91,'Data Vlaue (Cr)'!$C:$FB,67)</f>
        <v>2583</v>
      </c>
      <c r="M91" s="75">
        <f>VLOOKUP($A91,'Data Vlaue (Cr)'!$C:$FB,68)</f>
        <v>5654</v>
      </c>
      <c r="N91" s="75">
        <f t="shared" si="10"/>
        <v>-3071</v>
      </c>
      <c r="O91" s="75">
        <f t="shared" si="11"/>
        <v>-118.892760356175</v>
      </c>
      <c r="P91" s="75">
        <f>VLOOKUP($A91,'Data Vlaue (Cr)'!$C:$FB,119)</f>
        <v>0.63</v>
      </c>
      <c r="Q91" s="75">
        <f>VLOOKUP($A91,'Data Vlaue (Cr)'!$C:$FB,122)*100</f>
        <v>0</v>
      </c>
      <c r="R91" s="75">
        <f>VLOOKUP($A91,'Data Vlaue (Cr)'!$C:$FB,125)</f>
        <v>0.61</v>
      </c>
      <c r="S91" s="75">
        <f>VLOOKUP($A91,'Data Vlaue (Cr)'!$C:$FB,128)*100</f>
        <v>-8.9599999999999991</v>
      </c>
    </row>
    <row r="92" spans="1:19" x14ac:dyDescent="0.25">
      <c r="A92" s="96" t="str">
        <f>'Data Vlaue (Cr)'!C83</f>
        <v>HUDCO</v>
      </c>
      <c r="B92" s="75">
        <f>VLOOKUP($A92,'Data Vlaue (Cr)'!$C:$FB,2)</f>
        <v>2775</v>
      </c>
      <c r="C92" s="75">
        <f>VLOOKUP($A92,'Data Vlaue (Cr)'!$C:$FB,8)</f>
        <v>227.58</v>
      </c>
      <c r="D92" s="75">
        <f>VLOOKUP($A92,'Data Vlaue (Cr)'!$C:$FB,4)</f>
        <v>229.16</v>
      </c>
      <c r="E92" s="75">
        <f>VLOOKUP($A92,'Data Vlaue (Cr)'!$C:$FB,5)</f>
        <v>229.37</v>
      </c>
      <c r="F92" s="75">
        <f t="shared" si="6"/>
        <v>1.5799999999999841</v>
      </c>
      <c r="G92" s="75">
        <f t="shared" si="7"/>
        <v>-9.1639029499043442E-2</v>
      </c>
      <c r="H92" s="75">
        <f>VLOOKUP($A92,'Data Vlaue (Cr)'!$C:$FB,99)</f>
        <v>1459</v>
      </c>
      <c r="I92" s="75">
        <f>VLOOKUP($A92,'Data Vlaue (Cr)'!$C:$FB,100)</f>
        <v>1464</v>
      </c>
      <c r="J92" s="75">
        <f t="shared" si="8"/>
        <v>-5</v>
      </c>
      <c r="K92" s="75">
        <f t="shared" si="9"/>
        <v>-0.3427004797806717</v>
      </c>
      <c r="L92" s="75">
        <f>VLOOKUP($A92,'Data Vlaue (Cr)'!$C:$FB,67)</f>
        <v>384</v>
      </c>
      <c r="M92" s="75">
        <f>VLOOKUP($A92,'Data Vlaue (Cr)'!$C:$FB,68)</f>
        <v>848</v>
      </c>
      <c r="N92" s="75">
        <f t="shared" si="10"/>
        <v>-464</v>
      </c>
      <c r="O92" s="75">
        <f t="shared" si="11"/>
        <v>-120.83333333333333</v>
      </c>
      <c r="P92" s="75">
        <f>VLOOKUP($A92,'Data Vlaue (Cr)'!$C:$FB,119)</f>
        <v>0.9</v>
      </c>
      <c r="Q92" s="75">
        <f>VLOOKUP($A92,'Data Vlaue (Cr)'!$C:$FB,122)*100</f>
        <v>-1.0999999999999999</v>
      </c>
      <c r="R92" s="75">
        <f>VLOOKUP($A92,'Data Vlaue (Cr)'!$C:$FB,125)</f>
        <v>0.42</v>
      </c>
      <c r="S92" s="75">
        <f>VLOOKUP($A92,'Data Vlaue (Cr)'!$C:$FB,128)*100</f>
        <v>13.51</v>
      </c>
    </row>
    <row r="93" spans="1:19" x14ac:dyDescent="0.25">
      <c r="A93" s="96" t="str">
        <f>'Data Vlaue (Cr)'!C84</f>
        <v>ICICIBANK</v>
      </c>
      <c r="B93" s="75">
        <f>VLOOKUP($A93,'Data Vlaue (Cr)'!$C:$FB,2)</f>
        <v>700</v>
      </c>
      <c r="C93" s="75">
        <f>VLOOKUP($A93,'Data Vlaue (Cr)'!$C:$FB,8)</f>
        <v>1338</v>
      </c>
      <c r="D93" s="75">
        <f>VLOOKUP($A93,'Data Vlaue (Cr)'!$C:$FB,4)</f>
        <v>1344.7</v>
      </c>
      <c r="E93" s="75">
        <f>VLOOKUP($A93,'Data Vlaue (Cr)'!$C:$FB,5)</f>
        <v>1350.6</v>
      </c>
      <c r="F93" s="75">
        <f t="shared" si="6"/>
        <v>6.7000000000000455</v>
      </c>
      <c r="G93" s="75">
        <f t="shared" si="7"/>
        <v>-0.43875957462630055</v>
      </c>
      <c r="H93" s="75">
        <f>VLOOKUP($A93,'Data Vlaue (Cr)'!$C:$FB,99)</f>
        <v>22398</v>
      </c>
      <c r="I93" s="75">
        <f>VLOOKUP($A93,'Data Vlaue (Cr)'!$C:$FB,100)</f>
        <v>21755</v>
      </c>
      <c r="J93" s="75">
        <f t="shared" si="8"/>
        <v>643</v>
      </c>
      <c r="K93" s="75">
        <f t="shared" si="9"/>
        <v>2.8707920350031251</v>
      </c>
      <c r="L93" s="75">
        <f>VLOOKUP($A93,'Data Vlaue (Cr)'!$C:$FB,67)</f>
        <v>3387</v>
      </c>
      <c r="M93" s="75">
        <f>VLOOKUP($A93,'Data Vlaue (Cr)'!$C:$FB,68)</f>
        <v>6877</v>
      </c>
      <c r="N93" s="75">
        <f t="shared" si="10"/>
        <v>-3490</v>
      </c>
      <c r="O93" s="75">
        <f t="shared" si="11"/>
        <v>-103.04103926778861</v>
      </c>
      <c r="P93" s="75">
        <f>VLOOKUP($A93,'Data Vlaue (Cr)'!$C:$FB,119)</f>
        <v>0.82</v>
      </c>
      <c r="Q93" s="75">
        <f>VLOOKUP($A93,'Data Vlaue (Cr)'!$C:$FB,122)*100</f>
        <v>-4.6500000000000004</v>
      </c>
      <c r="R93" s="75">
        <f>VLOOKUP($A93,'Data Vlaue (Cr)'!$C:$FB,125)</f>
        <v>0.52</v>
      </c>
      <c r="S93" s="75">
        <f>VLOOKUP($A93,'Data Vlaue (Cr)'!$C:$FB,128)*100</f>
        <v>-13.33</v>
      </c>
    </row>
    <row r="94" spans="1:19" x14ac:dyDescent="0.25">
      <c r="A94" s="96" t="str">
        <f>'Data Vlaue (Cr)'!C85</f>
        <v>ICICIGI</v>
      </c>
      <c r="B94" s="75">
        <f>VLOOKUP($A94,'Data Vlaue (Cr)'!$C:$FB,2)</f>
        <v>325</v>
      </c>
      <c r="C94" s="75">
        <f>VLOOKUP($A94,'Data Vlaue (Cr)'!$C:$FB,8)</f>
        <v>1956.9</v>
      </c>
      <c r="D94" s="75">
        <f>VLOOKUP($A94,'Data Vlaue (Cr)'!$C:$FB,4)</f>
        <v>1961.2</v>
      </c>
      <c r="E94" s="75">
        <f>VLOOKUP($A94,'Data Vlaue (Cr)'!$C:$FB,5)</f>
        <v>1972.1</v>
      </c>
      <c r="F94" s="75">
        <f t="shared" si="6"/>
        <v>4.2999999999999545</v>
      </c>
      <c r="G94" s="75">
        <f t="shared" si="7"/>
        <v>-0.55578217417906706</v>
      </c>
      <c r="H94" s="75">
        <f>VLOOKUP($A94,'Data Vlaue (Cr)'!$C:$FB,99)</f>
        <v>1211</v>
      </c>
      <c r="I94" s="75">
        <f>VLOOKUP($A94,'Data Vlaue (Cr)'!$C:$FB,100)</f>
        <v>1164</v>
      </c>
      <c r="J94" s="75">
        <f t="shared" si="8"/>
        <v>47</v>
      </c>
      <c r="K94" s="75">
        <f t="shared" si="9"/>
        <v>3.8810900082576385</v>
      </c>
      <c r="L94" s="75">
        <f>VLOOKUP($A94,'Data Vlaue (Cr)'!$C:$FB,67)</f>
        <v>165</v>
      </c>
      <c r="M94" s="75">
        <f>VLOOKUP($A94,'Data Vlaue (Cr)'!$C:$FB,68)</f>
        <v>218</v>
      </c>
      <c r="N94" s="75">
        <f t="shared" si="10"/>
        <v>-53</v>
      </c>
      <c r="O94" s="75">
        <f t="shared" si="11"/>
        <v>-32.121212121212125</v>
      </c>
      <c r="P94" s="75">
        <f>VLOOKUP($A94,'Data Vlaue (Cr)'!$C:$FB,119)</f>
        <v>1.37</v>
      </c>
      <c r="Q94" s="75">
        <f>VLOOKUP($A94,'Data Vlaue (Cr)'!$C:$FB,122)*100</f>
        <v>7.03</v>
      </c>
      <c r="R94" s="75">
        <f>VLOOKUP($A94,'Data Vlaue (Cr)'!$C:$FB,125)</f>
        <v>0.89</v>
      </c>
      <c r="S94" s="75">
        <f>VLOOKUP($A94,'Data Vlaue (Cr)'!$C:$FB,128)*100</f>
        <v>-23.93</v>
      </c>
    </row>
    <row r="95" spans="1:19" x14ac:dyDescent="0.25">
      <c r="A95" s="96" t="str">
        <f>'Data Vlaue (Cr)'!C86</f>
        <v>ICICIPRULI</v>
      </c>
      <c r="B95" s="75">
        <f>VLOOKUP($A95,'Data Vlaue (Cr)'!$C:$FB,2)</f>
        <v>925</v>
      </c>
      <c r="C95" s="75">
        <f>VLOOKUP($A95,'Data Vlaue (Cr)'!$C:$FB,8)</f>
        <v>674.3</v>
      </c>
      <c r="D95" s="75">
        <f>VLOOKUP($A95,'Data Vlaue (Cr)'!$C:$FB,4)</f>
        <v>678.75</v>
      </c>
      <c r="E95" s="75">
        <f>VLOOKUP($A95,'Data Vlaue (Cr)'!$C:$FB,5)</f>
        <v>671.1</v>
      </c>
      <c r="F95" s="75">
        <f t="shared" si="6"/>
        <v>4.4500000000000455</v>
      </c>
      <c r="G95" s="75">
        <f t="shared" si="7"/>
        <v>1.1270718232044166</v>
      </c>
      <c r="H95" s="75">
        <f>VLOOKUP($A95,'Data Vlaue (Cr)'!$C:$FB,99)</f>
        <v>1400</v>
      </c>
      <c r="I95" s="75">
        <f>VLOOKUP($A95,'Data Vlaue (Cr)'!$C:$FB,100)</f>
        <v>1368</v>
      </c>
      <c r="J95" s="75">
        <f t="shared" si="8"/>
        <v>32</v>
      </c>
      <c r="K95" s="75">
        <f t="shared" si="9"/>
        <v>2.2857142857142856</v>
      </c>
      <c r="L95" s="75">
        <f>VLOOKUP($A95,'Data Vlaue (Cr)'!$C:$FB,67)</f>
        <v>210</v>
      </c>
      <c r="M95" s="75">
        <f>VLOOKUP($A95,'Data Vlaue (Cr)'!$C:$FB,68)</f>
        <v>549</v>
      </c>
      <c r="N95" s="75">
        <f t="shared" si="10"/>
        <v>-339</v>
      </c>
      <c r="O95" s="75">
        <f t="shared" si="11"/>
        <v>-161.42857142857144</v>
      </c>
      <c r="P95" s="75">
        <f>VLOOKUP($A95,'Data Vlaue (Cr)'!$C:$FB,119)</f>
        <v>1.06</v>
      </c>
      <c r="Q95" s="75">
        <f>VLOOKUP($A95,'Data Vlaue (Cr)'!$C:$FB,122)*100</f>
        <v>12.770000000000001</v>
      </c>
      <c r="R95" s="75">
        <f>VLOOKUP($A95,'Data Vlaue (Cr)'!$C:$FB,125)</f>
        <v>0.72</v>
      </c>
      <c r="S95" s="75">
        <f>VLOOKUP($A95,'Data Vlaue (Cr)'!$C:$FB,128)*100</f>
        <v>80</v>
      </c>
    </row>
    <row r="96" spans="1:19" x14ac:dyDescent="0.25">
      <c r="A96" s="96" t="str">
        <f>'Data Vlaue (Cr)'!C87</f>
        <v>IDEA</v>
      </c>
      <c r="B96" s="75">
        <f>VLOOKUP($A96,'Data Vlaue (Cr)'!$C:$FB,2)</f>
        <v>40000</v>
      </c>
      <c r="C96" s="75">
        <f>VLOOKUP($A96,'Data Vlaue (Cr)'!$C:$FB,8)</f>
        <v>11.6</v>
      </c>
      <c r="D96" s="75">
        <f>VLOOKUP($A96,'Data Vlaue (Cr)'!$C:$FB,4)</f>
        <v>11.71</v>
      </c>
      <c r="E96" s="75">
        <f>VLOOKUP($A96,'Data Vlaue (Cr)'!$C:$FB,5)</f>
        <v>10.83</v>
      </c>
      <c r="F96" s="75">
        <f t="shared" si="6"/>
        <v>0.11000000000000121</v>
      </c>
      <c r="G96" s="75">
        <f t="shared" si="7"/>
        <v>7.5149444918872819</v>
      </c>
      <c r="H96" s="75">
        <f>VLOOKUP($A96,'Data Vlaue (Cr)'!$C:$FB,99)</f>
        <v>12902</v>
      </c>
      <c r="I96" s="75">
        <f>VLOOKUP($A96,'Data Vlaue (Cr)'!$C:$FB,100)</f>
        <v>12287</v>
      </c>
      <c r="J96" s="75">
        <f t="shared" si="8"/>
        <v>615</v>
      </c>
      <c r="K96" s="75">
        <f t="shared" si="9"/>
        <v>4.7667028367694932</v>
      </c>
      <c r="L96" s="75">
        <f>VLOOKUP($A96,'Data Vlaue (Cr)'!$C:$FB,67)</f>
        <v>6555</v>
      </c>
      <c r="M96" s="75">
        <f>VLOOKUP($A96,'Data Vlaue (Cr)'!$C:$FB,68)</f>
        <v>11748</v>
      </c>
      <c r="N96" s="75">
        <f t="shared" si="10"/>
        <v>-5193</v>
      </c>
      <c r="O96" s="75">
        <f t="shared" si="11"/>
        <v>-79.221967963386732</v>
      </c>
      <c r="P96" s="75">
        <f>VLOOKUP($A96,'Data Vlaue (Cr)'!$C:$FB,119)</f>
        <v>0.61</v>
      </c>
      <c r="Q96" s="75">
        <f>VLOOKUP($A96,'Data Vlaue (Cr)'!$C:$FB,122)*100</f>
        <v>8.93</v>
      </c>
      <c r="R96" s="75">
        <f>VLOOKUP($A96,'Data Vlaue (Cr)'!$C:$FB,125)</f>
        <v>0.47</v>
      </c>
      <c r="S96" s="75">
        <f>VLOOKUP($A96,'Data Vlaue (Cr)'!$C:$FB,128)*100</f>
        <v>-12.959999999999999</v>
      </c>
    </row>
    <row r="97" spans="1:19" x14ac:dyDescent="0.25">
      <c r="A97" s="96" t="str">
        <f>'Data Vlaue (Cr)'!C88</f>
        <v>IDFCFIRSTB</v>
      </c>
      <c r="B97" s="75">
        <f>VLOOKUP($A97,'Data Vlaue (Cr)'!$C:$FB,2)</f>
        <v>9275</v>
      </c>
      <c r="C97" s="75">
        <f>VLOOKUP($A97,'Data Vlaue (Cr)'!$C:$FB,8)</f>
        <v>85.61</v>
      </c>
      <c r="D97" s="75">
        <f>VLOOKUP($A97,'Data Vlaue (Cr)'!$C:$FB,4)</f>
        <v>86.15</v>
      </c>
      <c r="E97" s="75">
        <f>VLOOKUP($A97,'Data Vlaue (Cr)'!$C:$FB,5)</f>
        <v>85.9</v>
      </c>
      <c r="F97" s="75">
        <f t="shared" si="6"/>
        <v>0.54000000000000625</v>
      </c>
      <c r="G97" s="75">
        <f t="shared" si="7"/>
        <v>0.2901915264074289</v>
      </c>
      <c r="H97" s="75">
        <f>VLOOKUP($A97,'Data Vlaue (Cr)'!$C:$FB,99)</f>
        <v>3857</v>
      </c>
      <c r="I97" s="75">
        <f>VLOOKUP($A97,'Data Vlaue (Cr)'!$C:$FB,100)</f>
        <v>3840</v>
      </c>
      <c r="J97" s="75">
        <f t="shared" si="8"/>
        <v>17</v>
      </c>
      <c r="K97" s="75">
        <f t="shared" si="9"/>
        <v>0.44075706507648432</v>
      </c>
      <c r="L97" s="75">
        <f>VLOOKUP($A97,'Data Vlaue (Cr)'!$C:$FB,67)</f>
        <v>788</v>
      </c>
      <c r="M97" s="75">
        <f>VLOOKUP($A97,'Data Vlaue (Cr)'!$C:$FB,68)</f>
        <v>1570</v>
      </c>
      <c r="N97" s="75">
        <f t="shared" si="10"/>
        <v>-782</v>
      </c>
      <c r="O97" s="75">
        <f t="shared" si="11"/>
        <v>-99.238578680203048</v>
      </c>
      <c r="P97" s="75">
        <f>VLOOKUP($A97,'Data Vlaue (Cr)'!$C:$FB,119)</f>
        <v>0.65</v>
      </c>
      <c r="Q97" s="75">
        <f>VLOOKUP($A97,'Data Vlaue (Cr)'!$C:$FB,122)*100</f>
        <v>-1.52</v>
      </c>
      <c r="R97" s="75">
        <f>VLOOKUP($A97,'Data Vlaue (Cr)'!$C:$FB,125)</f>
        <v>0.53</v>
      </c>
      <c r="S97" s="75">
        <f>VLOOKUP($A97,'Data Vlaue (Cr)'!$C:$FB,128)*100</f>
        <v>-3.64</v>
      </c>
    </row>
    <row r="98" spans="1:19" x14ac:dyDescent="0.25">
      <c r="A98" s="96" t="str">
        <f>'Data Vlaue (Cr)'!C89</f>
        <v>IEX</v>
      </c>
      <c r="B98" s="75">
        <f>VLOOKUP($A98,'Data Vlaue (Cr)'!$C:$FB,2)</f>
        <v>3750</v>
      </c>
      <c r="C98" s="75">
        <f>VLOOKUP($A98,'Data Vlaue (Cr)'!$C:$FB,8)</f>
        <v>133.38999999999999</v>
      </c>
      <c r="D98" s="75">
        <f>VLOOKUP($A98,'Data Vlaue (Cr)'!$C:$FB,4)</f>
        <v>133.53</v>
      </c>
      <c r="E98" s="75">
        <f>VLOOKUP($A98,'Data Vlaue (Cr)'!$C:$FB,5)</f>
        <v>134.57</v>
      </c>
      <c r="F98" s="75">
        <f t="shared" si="6"/>
        <v>0.14000000000001478</v>
      </c>
      <c r="G98" s="75">
        <f t="shared" si="7"/>
        <v>-0.77885119448812401</v>
      </c>
      <c r="H98" s="75">
        <f>VLOOKUP($A98,'Data Vlaue (Cr)'!$C:$FB,99)</f>
        <v>1579</v>
      </c>
      <c r="I98" s="75">
        <f>VLOOKUP($A98,'Data Vlaue (Cr)'!$C:$FB,100)</f>
        <v>1522</v>
      </c>
      <c r="J98" s="75">
        <f t="shared" si="8"/>
        <v>57</v>
      </c>
      <c r="K98" s="75">
        <f t="shared" si="9"/>
        <v>3.6098796706776439</v>
      </c>
      <c r="L98" s="75">
        <f>VLOOKUP($A98,'Data Vlaue (Cr)'!$C:$FB,67)</f>
        <v>345</v>
      </c>
      <c r="M98" s="75">
        <f>VLOOKUP($A98,'Data Vlaue (Cr)'!$C:$FB,68)</f>
        <v>545</v>
      </c>
      <c r="N98" s="75">
        <f t="shared" si="10"/>
        <v>-200</v>
      </c>
      <c r="O98" s="75">
        <f t="shared" si="11"/>
        <v>-57.971014492753625</v>
      </c>
      <c r="P98" s="75">
        <f>VLOOKUP($A98,'Data Vlaue (Cr)'!$C:$FB,119)</f>
        <v>0.72</v>
      </c>
      <c r="Q98" s="75">
        <f>VLOOKUP($A98,'Data Vlaue (Cr)'!$C:$FB,122)*100</f>
        <v>-7.6899999999999995</v>
      </c>
      <c r="R98" s="75">
        <f>VLOOKUP($A98,'Data Vlaue (Cr)'!$C:$FB,125)</f>
        <v>0.34</v>
      </c>
      <c r="S98" s="75">
        <f>VLOOKUP($A98,'Data Vlaue (Cr)'!$C:$FB,128)*100</f>
        <v>-8.1100000000000012</v>
      </c>
    </row>
    <row r="99" spans="1:19" x14ac:dyDescent="0.25">
      <c r="A99" s="96" t="str">
        <f>'Data Vlaue (Cr)'!C90</f>
        <v>IIFL</v>
      </c>
      <c r="B99" s="75">
        <f>VLOOKUP($A99,'Data Vlaue (Cr)'!$C:$FB,2)</f>
        <v>1650</v>
      </c>
      <c r="C99" s="75">
        <f>VLOOKUP($A99,'Data Vlaue (Cr)'!$C:$FB,8)</f>
        <v>620.45000000000005</v>
      </c>
      <c r="D99" s="75">
        <f>VLOOKUP($A99,'Data Vlaue (Cr)'!$C:$FB,4)</f>
        <v>621.6</v>
      </c>
      <c r="E99" s="75">
        <f>VLOOKUP($A99,'Data Vlaue (Cr)'!$C:$FB,5)</f>
        <v>611.35</v>
      </c>
      <c r="F99" s="75">
        <f t="shared" si="6"/>
        <v>1.1499999999999773</v>
      </c>
      <c r="G99" s="75">
        <f t="shared" si="7"/>
        <v>1.648970398970399</v>
      </c>
      <c r="H99" s="75">
        <f>VLOOKUP($A99,'Data Vlaue (Cr)'!$C:$FB,99)</f>
        <v>1219</v>
      </c>
      <c r="I99" s="75">
        <f>VLOOKUP($A99,'Data Vlaue (Cr)'!$C:$FB,100)</f>
        <v>1197</v>
      </c>
      <c r="J99" s="75">
        <f t="shared" si="8"/>
        <v>22</v>
      </c>
      <c r="K99" s="75">
        <f t="shared" si="9"/>
        <v>1.8047579983593112</v>
      </c>
      <c r="L99" s="75">
        <f>VLOOKUP($A99,'Data Vlaue (Cr)'!$C:$FB,67)</f>
        <v>707</v>
      </c>
      <c r="M99" s="75">
        <f>VLOOKUP($A99,'Data Vlaue (Cr)'!$C:$FB,68)</f>
        <v>855</v>
      </c>
      <c r="N99" s="75">
        <f t="shared" si="10"/>
        <v>-148</v>
      </c>
      <c r="O99" s="75">
        <f t="shared" si="11"/>
        <v>-20.933521923620933</v>
      </c>
      <c r="P99" s="75">
        <f>VLOOKUP($A99,'Data Vlaue (Cr)'!$C:$FB,119)</f>
        <v>0.98</v>
      </c>
      <c r="Q99" s="75">
        <f>VLOOKUP($A99,'Data Vlaue (Cr)'!$C:$FB,122)*100</f>
        <v>22.5</v>
      </c>
      <c r="R99" s="75">
        <f>VLOOKUP($A99,'Data Vlaue (Cr)'!$C:$FB,125)</f>
        <v>0.51</v>
      </c>
      <c r="S99" s="75">
        <f>VLOOKUP($A99,'Data Vlaue (Cr)'!$C:$FB,128)*100</f>
        <v>75.86</v>
      </c>
    </row>
    <row r="100" spans="1:19" x14ac:dyDescent="0.25">
      <c r="A100" s="96" t="str">
        <f>'Data Vlaue (Cr)'!C91</f>
        <v>INDHOTEL</v>
      </c>
      <c r="B100" s="75">
        <f>VLOOKUP($A100,'Data Vlaue (Cr)'!$C:$FB,2)</f>
        <v>1000</v>
      </c>
      <c r="C100" s="75">
        <f>VLOOKUP($A100,'Data Vlaue (Cr)'!$C:$FB,8)</f>
        <v>738.6</v>
      </c>
      <c r="D100" s="75">
        <f>VLOOKUP($A100,'Data Vlaue (Cr)'!$C:$FB,4)</f>
        <v>742.05</v>
      </c>
      <c r="E100" s="75">
        <f>VLOOKUP($A100,'Data Vlaue (Cr)'!$C:$FB,5)</f>
        <v>741.35</v>
      </c>
      <c r="F100" s="75">
        <f t="shared" si="6"/>
        <v>3.4499999999999318</v>
      </c>
      <c r="G100" s="75">
        <f t="shared" si="7"/>
        <v>9.4333265952419892E-2</v>
      </c>
      <c r="H100" s="75">
        <f>VLOOKUP($A100,'Data Vlaue (Cr)'!$C:$FB,99)</f>
        <v>2596</v>
      </c>
      <c r="I100" s="75">
        <f>VLOOKUP($A100,'Data Vlaue (Cr)'!$C:$FB,100)</f>
        <v>2515</v>
      </c>
      <c r="J100" s="75">
        <f t="shared" si="8"/>
        <v>81</v>
      </c>
      <c r="K100" s="75">
        <f t="shared" si="9"/>
        <v>3.1201848998459165</v>
      </c>
      <c r="L100" s="75">
        <f>VLOOKUP($A100,'Data Vlaue (Cr)'!$C:$FB,67)</f>
        <v>565</v>
      </c>
      <c r="M100" s="75">
        <f>VLOOKUP($A100,'Data Vlaue (Cr)'!$C:$FB,68)</f>
        <v>874</v>
      </c>
      <c r="N100" s="75">
        <f t="shared" si="10"/>
        <v>-309</v>
      </c>
      <c r="O100" s="75">
        <f t="shared" si="11"/>
        <v>-54.690265486725664</v>
      </c>
      <c r="P100" s="75">
        <f>VLOOKUP($A100,'Data Vlaue (Cr)'!$C:$FB,119)</f>
        <v>0.77</v>
      </c>
      <c r="Q100" s="75">
        <f>VLOOKUP($A100,'Data Vlaue (Cr)'!$C:$FB,122)*100</f>
        <v>-3.75</v>
      </c>
      <c r="R100" s="75">
        <f>VLOOKUP($A100,'Data Vlaue (Cr)'!$C:$FB,125)</f>
        <v>0.43</v>
      </c>
      <c r="S100" s="75">
        <f>VLOOKUP($A100,'Data Vlaue (Cr)'!$C:$FB,128)*100</f>
        <v>-14.000000000000002</v>
      </c>
    </row>
    <row r="101" spans="1:19" x14ac:dyDescent="0.25">
      <c r="A101" s="96" t="str">
        <f>'Data Vlaue (Cr)'!C92</f>
        <v>INDIANB</v>
      </c>
      <c r="B101" s="75">
        <f>VLOOKUP($A101,'Data Vlaue (Cr)'!$C:$FB,2)</f>
        <v>1000</v>
      </c>
      <c r="C101" s="75">
        <f>VLOOKUP($A101,'Data Vlaue (Cr)'!$C:$FB,8)</f>
        <v>832.6</v>
      </c>
      <c r="D101" s="75">
        <f>VLOOKUP($A101,'Data Vlaue (Cr)'!$C:$FB,4)</f>
        <v>838.2</v>
      </c>
      <c r="E101" s="75">
        <f>VLOOKUP($A101,'Data Vlaue (Cr)'!$C:$FB,5)</f>
        <v>839.4</v>
      </c>
      <c r="F101" s="75">
        <f t="shared" si="6"/>
        <v>5.6000000000000227</v>
      </c>
      <c r="G101" s="75">
        <f t="shared" si="7"/>
        <v>-0.1431639226914736</v>
      </c>
      <c r="H101" s="75">
        <f>VLOOKUP($A101,'Data Vlaue (Cr)'!$C:$FB,99)</f>
        <v>1316</v>
      </c>
      <c r="I101" s="75">
        <f>VLOOKUP($A101,'Data Vlaue (Cr)'!$C:$FB,100)</f>
        <v>1311</v>
      </c>
      <c r="J101" s="75">
        <f t="shared" si="8"/>
        <v>5</v>
      </c>
      <c r="K101" s="75">
        <f t="shared" si="9"/>
        <v>0.37993920972644379</v>
      </c>
      <c r="L101" s="75">
        <f>VLOOKUP($A101,'Data Vlaue (Cr)'!$C:$FB,67)</f>
        <v>873</v>
      </c>
      <c r="M101" s="75">
        <f>VLOOKUP($A101,'Data Vlaue (Cr)'!$C:$FB,68)</f>
        <v>2060</v>
      </c>
      <c r="N101" s="75">
        <f t="shared" si="10"/>
        <v>-1187</v>
      </c>
      <c r="O101" s="75">
        <f t="shared" si="11"/>
        <v>-135.96792668957619</v>
      </c>
      <c r="P101" s="75">
        <f>VLOOKUP($A101,'Data Vlaue (Cr)'!$C:$FB,119)</f>
        <v>0.79</v>
      </c>
      <c r="Q101" s="75">
        <f>VLOOKUP($A101,'Data Vlaue (Cr)'!$C:$FB,122)*100</f>
        <v>-7.06</v>
      </c>
      <c r="R101" s="75">
        <f>VLOOKUP($A101,'Data Vlaue (Cr)'!$C:$FB,125)</f>
        <v>0.38</v>
      </c>
      <c r="S101" s="75">
        <f>VLOOKUP($A101,'Data Vlaue (Cr)'!$C:$FB,128)*100</f>
        <v>18.75</v>
      </c>
    </row>
    <row r="102" spans="1:19" x14ac:dyDescent="0.25">
      <c r="A102" s="96" t="str">
        <f>'Data Vlaue (Cr)'!C93</f>
        <v>INDIAVIX</v>
      </c>
      <c r="B102" s="75">
        <f>VLOOKUP($A102,'Data Vlaue (Cr)'!$C:$FB,2)</f>
        <v>1</v>
      </c>
      <c r="C102" s="75">
        <f>VLOOKUP($A102,'Data Vlaue (Cr)'!$C:$FB,8)</f>
        <v>9.19</v>
      </c>
      <c r="D102" s="75">
        <f>VLOOKUP($A102,'Data Vlaue (Cr)'!$C:$FB,4)</f>
        <v>9.19</v>
      </c>
      <c r="E102" s="75">
        <f>VLOOKUP($A102,'Data Vlaue (Cr)'!$C:$FB,5)</f>
        <v>9.4700000000000006</v>
      </c>
      <c r="F102" s="75">
        <f t="shared" si="6"/>
        <v>0</v>
      </c>
      <c r="G102" s="75">
        <f t="shared" si="7"/>
        <v>-3.0467899891186199</v>
      </c>
      <c r="H102" s="75">
        <f>VLOOKUP($A102,'Data Vlaue (Cr)'!$C:$FB,99)</f>
        <v>0</v>
      </c>
      <c r="I102" s="75">
        <f>VLOOKUP($A102,'Data Vlaue (Cr)'!$C:$FB,100)</f>
        <v>0</v>
      </c>
      <c r="J102" s="75">
        <f t="shared" si="8"/>
        <v>0</v>
      </c>
      <c r="K102" s="75" t="e">
        <f t="shared" si="9"/>
        <v>#DIV/0!</v>
      </c>
      <c r="L102" s="75">
        <f>VLOOKUP($A102,'Data Vlaue (Cr)'!$C:$FB,67)</f>
        <v>0</v>
      </c>
      <c r="M102" s="75">
        <f>VLOOKUP($A102,'Data Vlaue (Cr)'!$C:$FB,68)</f>
        <v>0</v>
      </c>
      <c r="N102" s="75">
        <f t="shared" si="10"/>
        <v>0</v>
      </c>
      <c r="O102" s="75" t="e">
        <f t="shared" si="11"/>
        <v>#DIV/0!</v>
      </c>
      <c r="P102" s="75">
        <f>VLOOKUP($A102,'Data Vlaue (Cr)'!$C:$FB,119)</f>
        <v>0</v>
      </c>
      <c r="Q102" s="75">
        <f>VLOOKUP($A102,'Data Vlaue (Cr)'!$C:$FB,122)*100</f>
        <v>0</v>
      </c>
      <c r="R102" s="75">
        <f>VLOOKUP($A102,'Data Vlaue (Cr)'!$C:$FB,125)</f>
        <v>0</v>
      </c>
      <c r="S102" s="75">
        <f>VLOOKUP($A102,'Data Vlaue (Cr)'!$C:$FB,128)*100</f>
        <v>0</v>
      </c>
    </row>
    <row r="103" spans="1:19" x14ac:dyDescent="0.25">
      <c r="A103" s="96" t="str">
        <f>'Data Vlaue (Cr)'!C94</f>
        <v>INDIGO</v>
      </c>
      <c r="B103" s="75">
        <f>VLOOKUP($A103,'Data Vlaue (Cr)'!$C:$FB,2)</f>
        <v>150</v>
      </c>
      <c r="C103" s="75">
        <f>VLOOKUP($A103,'Data Vlaue (Cr)'!$C:$FB,8)</f>
        <v>5110.5</v>
      </c>
      <c r="D103" s="75">
        <f>VLOOKUP($A103,'Data Vlaue (Cr)'!$C:$FB,4)</f>
        <v>5141.5</v>
      </c>
      <c r="E103" s="75">
        <f>VLOOKUP($A103,'Data Vlaue (Cr)'!$C:$FB,5)</f>
        <v>5077.5</v>
      </c>
      <c r="F103" s="75">
        <f t="shared" si="6"/>
        <v>31</v>
      </c>
      <c r="G103" s="75">
        <f t="shared" si="7"/>
        <v>1.2447729261888554</v>
      </c>
      <c r="H103" s="75">
        <f>VLOOKUP($A103,'Data Vlaue (Cr)'!$C:$FB,99)</f>
        <v>7950</v>
      </c>
      <c r="I103" s="75">
        <f>VLOOKUP($A103,'Data Vlaue (Cr)'!$C:$FB,100)</f>
        <v>7762</v>
      </c>
      <c r="J103" s="75">
        <f t="shared" si="8"/>
        <v>188</v>
      </c>
      <c r="K103" s="75">
        <f t="shared" si="9"/>
        <v>2.3647798742138364</v>
      </c>
      <c r="L103" s="75">
        <f>VLOOKUP($A103,'Data Vlaue (Cr)'!$C:$FB,67)</f>
        <v>5805</v>
      </c>
      <c r="M103" s="75">
        <f>VLOOKUP($A103,'Data Vlaue (Cr)'!$C:$FB,68)</f>
        <v>3963</v>
      </c>
      <c r="N103" s="75">
        <f t="shared" si="10"/>
        <v>1842</v>
      </c>
      <c r="O103" s="75">
        <f t="shared" si="11"/>
        <v>31.731266149870802</v>
      </c>
      <c r="P103" s="75">
        <f>VLOOKUP($A103,'Data Vlaue (Cr)'!$C:$FB,119)</f>
        <v>0.91</v>
      </c>
      <c r="Q103" s="75">
        <f>VLOOKUP($A103,'Data Vlaue (Cr)'!$C:$FB,122)*100</f>
        <v>-6.1899999999999995</v>
      </c>
      <c r="R103" s="75">
        <f>VLOOKUP($A103,'Data Vlaue (Cr)'!$C:$FB,125)</f>
        <v>0.49</v>
      </c>
      <c r="S103" s="75">
        <f>VLOOKUP($A103,'Data Vlaue (Cr)'!$C:$FB,128)*100</f>
        <v>-37.97</v>
      </c>
    </row>
    <row r="104" spans="1:19" x14ac:dyDescent="0.25">
      <c r="A104" s="96" t="str">
        <f>'Data Vlaue (Cr)'!C95</f>
        <v>INDUSINDBK</v>
      </c>
      <c r="B104" s="75">
        <f>VLOOKUP($A104,'Data Vlaue (Cr)'!$C:$FB,2)</f>
        <v>700</v>
      </c>
      <c r="C104" s="75">
        <f>VLOOKUP($A104,'Data Vlaue (Cr)'!$C:$FB,8)</f>
        <v>890.2</v>
      </c>
      <c r="D104" s="75">
        <f>VLOOKUP($A104,'Data Vlaue (Cr)'!$C:$FB,4)</f>
        <v>893.65</v>
      </c>
      <c r="E104" s="75">
        <f>VLOOKUP($A104,'Data Vlaue (Cr)'!$C:$FB,5)</f>
        <v>867.45</v>
      </c>
      <c r="F104" s="75">
        <f t="shared" si="6"/>
        <v>3.4499999999999318</v>
      </c>
      <c r="G104" s="75">
        <f t="shared" si="7"/>
        <v>2.9317965646505826</v>
      </c>
      <c r="H104" s="75">
        <f>VLOOKUP($A104,'Data Vlaue (Cr)'!$C:$FB,99)</f>
        <v>5744</v>
      </c>
      <c r="I104" s="75">
        <f>VLOOKUP($A104,'Data Vlaue (Cr)'!$C:$FB,100)</f>
        <v>5425</v>
      </c>
      <c r="J104" s="75">
        <f t="shared" si="8"/>
        <v>319</v>
      </c>
      <c r="K104" s="75">
        <f t="shared" si="9"/>
        <v>5.5536211699164344</v>
      </c>
      <c r="L104" s="75">
        <f>VLOOKUP($A104,'Data Vlaue (Cr)'!$C:$FB,67)</f>
        <v>3614</v>
      </c>
      <c r="M104" s="75">
        <f>VLOOKUP($A104,'Data Vlaue (Cr)'!$C:$FB,68)</f>
        <v>3946</v>
      </c>
      <c r="N104" s="75">
        <f t="shared" si="10"/>
        <v>-332</v>
      </c>
      <c r="O104" s="75">
        <f t="shared" si="11"/>
        <v>-9.1864969562811289</v>
      </c>
      <c r="P104" s="75">
        <f>VLOOKUP($A104,'Data Vlaue (Cr)'!$C:$FB,119)</f>
        <v>0.9</v>
      </c>
      <c r="Q104" s="75">
        <f>VLOOKUP($A104,'Data Vlaue (Cr)'!$C:$FB,122)*100</f>
        <v>28.57</v>
      </c>
      <c r="R104" s="75">
        <f>VLOOKUP($A104,'Data Vlaue (Cr)'!$C:$FB,125)</f>
        <v>0.55000000000000004</v>
      </c>
      <c r="S104" s="75">
        <f>VLOOKUP($A104,'Data Vlaue (Cr)'!$C:$FB,128)*100</f>
        <v>-12.7</v>
      </c>
    </row>
    <row r="105" spans="1:19" x14ac:dyDescent="0.25">
      <c r="A105" s="96" t="str">
        <f>'Data Vlaue (Cr)'!C96</f>
        <v>INDUSTOWER</v>
      </c>
      <c r="B105" s="75">
        <f>VLOOKUP($A105,'Data Vlaue (Cr)'!$C:$FB,2)</f>
        <v>1700</v>
      </c>
      <c r="C105" s="75">
        <f>VLOOKUP($A105,'Data Vlaue (Cr)'!$C:$FB,8)</f>
        <v>435.8</v>
      </c>
      <c r="D105" s="75">
        <f>VLOOKUP($A105,'Data Vlaue (Cr)'!$C:$FB,4)</f>
        <v>438.8</v>
      </c>
      <c r="E105" s="75">
        <f>VLOOKUP($A105,'Data Vlaue (Cr)'!$C:$FB,5)</f>
        <v>421.2</v>
      </c>
      <c r="F105" s="75">
        <f t="shared" si="6"/>
        <v>3</v>
      </c>
      <c r="G105" s="75">
        <f t="shared" si="7"/>
        <v>4.0109389243391114</v>
      </c>
      <c r="H105" s="75">
        <f>VLOOKUP($A105,'Data Vlaue (Cr)'!$C:$FB,99)</f>
        <v>5554</v>
      </c>
      <c r="I105" s="75">
        <f>VLOOKUP($A105,'Data Vlaue (Cr)'!$C:$FB,100)</f>
        <v>5432</v>
      </c>
      <c r="J105" s="75">
        <f t="shared" si="8"/>
        <v>122</v>
      </c>
      <c r="K105" s="75">
        <f t="shared" si="9"/>
        <v>2.1966150522146202</v>
      </c>
      <c r="L105" s="75">
        <f>VLOOKUP($A105,'Data Vlaue (Cr)'!$C:$FB,67)</f>
        <v>7441</v>
      </c>
      <c r="M105" s="75">
        <f>VLOOKUP($A105,'Data Vlaue (Cr)'!$C:$FB,68)</f>
        <v>11663</v>
      </c>
      <c r="N105" s="75">
        <f t="shared" si="10"/>
        <v>-4222</v>
      </c>
      <c r="O105" s="75">
        <f t="shared" si="11"/>
        <v>-56.739685526138963</v>
      </c>
      <c r="P105" s="75">
        <f>VLOOKUP($A105,'Data Vlaue (Cr)'!$C:$FB,119)</f>
        <v>0.76</v>
      </c>
      <c r="Q105" s="75">
        <f>VLOOKUP($A105,'Data Vlaue (Cr)'!$C:$FB,122)*100</f>
        <v>26.669999999999998</v>
      </c>
      <c r="R105" s="75">
        <f>VLOOKUP($A105,'Data Vlaue (Cr)'!$C:$FB,125)</f>
        <v>0.42</v>
      </c>
      <c r="S105" s="75">
        <f>VLOOKUP($A105,'Data Vlaue (Cr)'!$C:$FB,128)*100</f>
        <v>-19.23</v>
      </c>
    </row>
    <row r="106" spans="1:19" x14ac:dyDescent="0.25">
      <c r="A106" s="96" t="str">
        <f>'Data Vlaue (Cr)'!C97</f>
        <v>INFY</v>
      </c>
      <c r="B106" s="75">
        <f>VLOOKUP($A106,'Data Vlaue (Cr)'!$C:$FB,2)</f>
        <v>400</v>
      </c>
      <c r="C106" s="75">
        <f>VLOOKUP($A106,'Data Vlaue (Cr)'!$C:$FB,8)</f>
        <v>1629.8</v>
      </c>
      <c r="D106" s="75">
        <f>VLOOKUP($A106,'Data Vlaue (Cr)'!$C:$FB,4)</f>
        <v>1637.3</v>
      </c>
      <c r="E106" s="75">
        <f>VLOOKUP($A106,'Data Vlaue (Cr)'!$C:$FB,5)</f>
        <v>1625.3</v>
      </c>
      <c r="F106" s="75">
        <f t="shared" si="6"/>
        <v>7.5</v>
      </c>
      <c r="G106" s="75">
        <f t="shared" si="7"/>
        <v>0.73291394368777862</v>
      </c>
      <c r="H106" s="75">
        <f>VLOOKUP($A106,'Data Vlaue (Cr)'!$C:$FB,99)</f>
        <v>15013</v>
      </c>
      <c r="I106" s="75">
        <f>VLOOKUP($A106,'Data Vlaue (Cr)'!$C:$FB,100)</f>
        <v>14727</v>
      </c>
      <c r="J106" s="75">
        <f t="shared" si="8"/>
        <v>286</v>
      </c>
      <c r="K106" s="75">
        <f t="shared" si="9"/>
        <v>1.9050156531006459</v>
      </c>
      <c r="L106" s="75">
        <f>VLOOKUP($A106,'Data Vlaue (Cr)'!$C:$FB,67)</f>
        <v>3640</v>
      </c>
      <c r="M106" s="75">
        <f>VLOOKUP($A106,'Data Vlaue (Cr)'!$C:$FB,68)</f>
        <v>4957</v>
      </c>
      <c r="N106" s="75">
        <f t="shared" si="10"/>
        <v>-1317</v>
      </c>
      <c r="O106" s="75">
        <f t="shared" si="11"/>
        <v>-36.181318681318679</v>
      </c>
      <c r="P106" s="75">
        <f>VLOOKUP($A106,'Data Vlaue (Cr)'!$C:$FB,119)</f>
        <v>0.79</v>
      </c>
      <c r="Q106" s="75">
        <f>VLOOKUP($A106,'Data Vlaue (Cr)'!$C:$FB,122)*100</f>
        <v>-3.66</v>
      </c>
      <c r="R106" s="75">
        <f>VLOOKUP($A106,'Data Vlaue (Cr)'!$C:$FB,125)</f>
        <v>0.44</v>
      </c>
      <c r="S106" s="75">
        <f>VLOOKUP($A106,'Data Vlaue (Cr)'!$C:$FB,128)*100</f>
        <v>-13.73</v>
      </c>
    </row>
    <row r="107" spans="1:19" x14ac:dyDescent="0.25">
      <c r="A107" s="96" t="str">
        <f>'Data Vlaue (Cr)'!C98</f>
        <v>INOXWIND</v>
      </c>
      <c r="B107" s="75">
        <f>VLOOKUP($A107,'Data Vlaue (Cr)'!$C:$FB,2)</f>
        <v>3575</v>
      </c>
      <c r="C107" s="75">
        <f>VLOOKUP($A107,'Data Vlaue (Cr)'!$C:$FB,8)</f>
        <v>122.85</v>
      </c>
      <c r="D107" s="75">
        <f>VLOOKUP($A107,'Data Vlaue (Cr)'!$C:$FB,4)</f>
        <v>123.68</v>
      </c>
      <c r="E107" s="75">
        <f>VLOOKUP($A107,'Data Vlaue (Cr)'!$C:$FB,5)</f>
        <v>124.36</v>
      </c>
      <c r="F107" s="75">
        <f t="shared" si="6"/>
        <v>0.83000000000001251</v>
      </c>
      <c r="G107" s="75">
        <f t="shared" si="7"/>
        <v>-0.54980595084087369</v>
      </c>
      <c r="H107" s="75">
        <f>VLOOKUP($A107,'Data Vlaue (Cr)'!$C:$FB,99)</f>
        <v>1523</v>
      </c>
      <c r="I107" s="75">
        <f>VLOOKUP($A107,'Data Vlaue (Cr)'!$C:$FB,100)</f>
        <v>1498</v>
      </c>
      <c r="J107" s="75">
        <f t="shared" si="8"/>
        <v>25</v>
      </c>
      <c r="K107" s="75">
        <f t="shared" si="9"/>
        <v>1.6414970453053186</v>
      </c>
      <c r="L107" s="75">
        <f>VLOOKUP($A107,'Data Vlaue (Cr)'!$C:$FB,67)</f>
        <v>157</v>
      </c>
      <c r="M107" s="75">
        <f>VLOOKUP($A107,'Data Vlaue (Cr)'!$C:$FB,68)</f>
        <v>481</v>
      </c>
      <c r="N107" s="75">
        <f t="shared" si="10"/>
        <v>-324</v>
      </c>
      <c r="O107" s="75">
        <f t="shared" si="11"/>
        <v>-206.36942675159236</v>
      </c>
      <c r="P107" s="75">
        <f>VLOOKUP($A107,'Data Vlaue (Cr)'!$C:$FB,119)</f>
        <v>0.78</v>
      </c>
      <c r="Q107" s="75">
        <f>VLOOKUP($A107,'Data Vlaue (Cr)'!$C:$FB,122)*100</f>
        <v>-3.6999999999999997</v>
      </c>
      <c r="R107" s="75">
        <f>VLOOKUP($A107,'Data Vlaue (Cr)'!$C:$FB,125)</f>
        <v>0.38</v>
      </c>
      <c r="S107" s="75">
        <f>VLOOKUP($A107,'Data Vlaue (Cr)'!$C:$FB,128)*100</f>
        <v>-13.639999999999999</v>
      </c>
    </row>
    <row r="108" spans="1:19" x14ac:dyDescent="0.25">
      <c r="A108" s="96" t="str">
        <f>'Data Vlaue (Cr)'!C99</f>
        <v>IOC</v>
      </c>
      <c r="B108" s="75">
        <f>VLOOKUP($A108,'Data Vlaue (Cr)'!$C:$FB,2)</f>
        <v>4875</v>
      </c>
      <c r="C108" s="75">
        <f>VLOOKUP($A108,'Data Vlaue (Cr)'!$C:$FB,8)</f>
        <v>165.88</v>
      </c>
      <c r="D108" s="75">
        <f>VLOOKUP($A108,'Data Vlaue (Cr)'!$C:$FB,4)</f>
        <v>166.99</v>
      </c>
      <c r="E108" s="75">
        <f>VLOOKUP($A108,'Data Vlaue (Cr)'!$C:$FB,5)</f>
        <v>167.58</v>
      </c>
      <c r="F108" s="75">
        <f t="shared" si="6"/>
        <v>1.1100000000000136</v>
      </c>
      <c r="G108" s="75">
        <f t="shared" si="7"/>
        <v>-0.35331456973471664</v>
      </c>
      <c r="H108" s="75">
        <f>VLOOKUP($A108,'Data Vlaue (Cr)'!$C:$FB,99)</f>
        <v>2729</v>
      </c>
      <c r="I108" s="75">
        <f>VLOOKUP($A108,'Data Vlaue (Cr)'!$C:$FB,100)</f>
        <v>2560</v>
      </c>
      <c r="J108" s="75">
        <f t="shared" si="8"/>
        <v>169</v>
      </c>
      <c r="K108" s="75">
        <f t="shared" si="9"/>
        <v>6.1927445950897768</v>
      </c>
      <c r="L108" s="75">
        <f>VLOOKUP($A108,'Data Vlaue (Cr)'!$C:$FB,67)</f>
        <v>1530</v>
      </c>
      <c r="M108" s="75">
        <f>VLOOKUP($A108,'Data Vlaue (Cr)'!$C:$FB,68)</f>
        <v>2602</v>
      </c>
      <c r="N108" s="75">
        <f t="shared" si="10"/>
        <v>-1072</v>
      </c>
      <c r="O108" s="75">
        <f t="shared" si="11"/>
        <v>-70.065359477124176</v>
      </c>
      <c r="P108" s="75">
        <f>VLOOKUP($A108,'Data Vlaue (Cr)'!$C:$FB,119)</f>
        <v>0.68</v>
      </c>
      <c r="Q108" s="75">
        <f>VLOOKUP($A108,'Data Vlaue (Cr)'!$C:$FB,122)*100</f>
        <v>-5.56</v>
      </c>
      <c r="R108" s="75">
        <f>VLOOKUP($A108,'Data Vlaue (Cr)'!$C:$FB,125)</f>
        <v>0.41</v>
      </c>
      <c r="S108" s="75">
        <f>VLOOKUP($A108,'Data Vlaue (Cr)'!$C:$FB,128)*100</f>
        <v>-14.580000000000002</v>
      </c>
    </row>
    <row r="109" spans="1:19" x14ac:dyDescent="0.25">
      <c r="A109" s="96" t="str">
        <f>'Data Vlaue (Cr)'!C100</f>
        <v>IRCTC</v>
      </c>
      <c r="B109" s="75">
        <f>VLOOKUP($A109,'Data Vlaue (Cr)'!$C:$FB,2)</f>
        <v>875</v>
      </c>
      <c r="C109" s="75">
        <f>VLOOKUP($A109,'Data Vlaue (Cr)'!$C:$FB,8)</f>
        <v>685.65</v>
      </c>
      <c r="D109" s="75">
        <f>VLOOKUP($A109,'Data Vlaue (Cr)'!$C:$FB,4)</f>
        <v>688.75</v>
      </c>
      <c r="E109" s="75">
        <f>VLOOKUP($A109,'Data Vlaue (Cr)'!$C:$FB,5)</f>
        <v>688.45</v>
      </c>
      <c r="F109" s="75">
        <f t="shared" si="6"/>
        <v>3.1000000000000227</v>
      </c>
      <c r="G109" s="75">
        <f t="shared" si="7"/>
        <v>4.3557168784022431E-2</v>
      </c>
      <c r="H109" s="75">
        <f>VLOOKUP($A109,'Data Vlaue (Cr)'!$C:$FB,99)</f>
        <v>3070</v>
      </c>
      <c r="I109" s="75">
        <f>VLOOKUP($A109,'Data Vlaue (Cr)'!$C:$FB,100)</f>
        <v>3047</v>
      </c>
      <c r="J109" s="75">
        <f t="shared" si="8"/>
        <v>23</v>
      </c>
      <c r="K109" s="75">
        <f t="shared" si="9"/>
        <v>0.749185667752443</v>
      </c>
      <c r="L109" s="75">
        <f>VLOOKUP($A109,'Data Vlaue (Cr)'!$C:$FB,67)</f>
        <v>787</v>
      </c>
      <c r="M109" s="75">
        <f>VLOOKUP($A109,'Data Vlaue (Cr)'!$C:$FB,68)</f>
        <v>1285</v>
      </c>
      <c r="N109" s="75">
        <f t="shared" si="10"/>
        <v>-498</v>
      </c>
      <c r="O109" s="75">
        <f t="shared" si="11"/>
        <v>-63.278271918678527</v>
      </c>
      <c r="P109" s="75">
        <f>VLOOKUP($A109,'Data Vlaue (Cr)'!$C:$FB,119)</f>
        <v>0.49</v>
      </c>
      <c r="Q109" s="75">
        <f>VLOOKUP($A109,'Data Vlaue (Cr)'!$C:$FB,122)*100</f>
        <v>-2</v>
      </c>
      <c r="R109" s="75">
        <f>VLOOKUP($A109,'Data Vlaue (Cr)'!$C:$FB,125)</f>
        <v>0.28000000000000003</v>
      </c>
      <c r="S109" s="75">
        <f>VLOOKUP($A109,'Data Vlaue (Cr)'!$C:$FB,128)*100</f>
        <v>-3.45</v>
      </c>
    </row>
    <row r="110" spans="1:19" x14ac:dyDescent="0.25">
      <c r="A110" s="96" t="str">
        <f>'Data Vlaue (Cr)'!C101</f>
        <v>IREDA</v>
      </c>
      <c r="B110" s="75">
        <f>VLOOKUP($A110,'Data Vlaue (Cr)'!$C:$FB,2)</f>
        <v>3450</v>
      </c>
      <c r="C110" s="75">
        <f>VLOOKUP($A110,'Data Vlaue (Cr)'!$C:$FB,8)</f>
        <v>139.36000000000001</v>
      </c>
      <c r="D110" s="75">
        <f>VLOOKUP($A110,'Data Vlaue (Cr)'!$C:$FB,4)</f>
        <v>139.15</v>
      </c>
      <c r="E110" s="75">
        <f>VLOOKUP($A110,'Data Vlaue (Cr)'!$C:$FB,5)</f>
        <v>140.62</v>
      </c>
      <c r="F110" s="75">
        <f t="shared" si="6"/>
        <v>-0.21000000000000796</v>
      </c>
      <c r="G110" s="75">
        <f t="shared" si="7"/>
        <v>-1.0564139417894349</v>
      </c>
      <c r="H110" s="75">
        <f>VLOOKUP($A110,'Data Vlaue (Cr)'!$C:$FB,99)</f>
        <v>1259</v>
      </c>
      <c r="I110" s="75">
        <f>VLOOKUP($A110,'Data Vlaue (Cr)'!$C:$FB,100)</f>
        <v>1189</v>
      </c>
      <c r="J110" s="75">
        <f t="shared" si="8"/>
        <v>70</v>
      </c>
      <c r="K110" s="75">
        <f t="shared" si="9"/>
        <v>5.5599682287529779</v>
      </c>
      <c r="L110" s="75">
        <f>VLOOKUP($A110,'Data Vlaue (Cr)'!$C:$FB,67)</f>
        <v>513</v>
      </c>
      <c r="M110" s="75">
        <f>VLOOKUP($A110,'Data Vlaue (Cr)'!$C:$FB,68)</f>
        <v>573</v>
      </c>
      <c r="N110" s="75">
        <f t="shared" si="10"/>
        <v>-60</v>
      </c>
      <c r="O110" s="75">
        <f t="shared" si="11"/>
        <v>-11.695906432748536</v>
      </c>
      <c r="P110" s="75">
        <f>VLOOKUP($A110,'Data Vlaue (Cr)'!$C:$FB,119)</f>
        <v>0.6</v>
      </c>
      <c r="Q110" s="75">
        <f>VLOOKUP($A110,'Data Vlaue (Cr)'!$C:$FB,122)*100</f>
        <v>-6.25</v>
      </c>
      <c r="R110" s="75">
        <f>VLOOKUP($A110,'Data Vlaue (Cr)'!$C:$FB,125)</f>
        <v>0.21</v>
      </c>
      <c r="S110" s="75">
        <f>VLOOKUP($A110,'Data Vlaue (Cr)'!$C:$FB,128)*100</f>
        <v>-30</v>
      </c>
    </row>
    <row r="111" spans="1:19" x14ac:dyDescent="0.25">
      <c r="A111" s="96" t="str">
        <f>'Data Vlaue (Cr)'!C102</f>
        <v>IRFC</v>
      </c>
      <c r="B111" s="75">
        <f>VLOOKUP($A111,'Data Vlaue (Cr)'!$C:$FB,2)</f>
        <v>4250</v>
      </c>
      <c r="C111" s="75">
        <f>VLOOKUP($A111,'Data Vlaue (Cr)'!$C:$FB,8)</f>
        <v>125.79</v>
      </c>
      <c r="D111" s="75">
        <f>VLOOKUP($A111,'Data Vlaue (Cr)'!$C:$FB,4)</f>
        <v>126.52</v>
      </c>
      <c r="E111" s="75">
        <f>VLOOKUP($A111,'Data Vlaue (Cr)'!$C:$FB,5)</f>
        <v>124.85</v>
      </c>
      <c r="F111" s="75">
        <f t="shared" si="6"/>
        <v>0.72999999999998977</v>
      </c>
      <c r="G111" s="75">
        <f t="shared" si="7"/>
        <v>1.3199494151122366</v>
      </c>
      <c r="H111" s="75">
        <f>VLOOKUP($A111,'Data Vlaue (Cr)'!$C:$FB,99)</f>
        <v>2096</v>
      </c>
      <c r="I111" s="75">
        <f>VLOOKUP($A111,'Data Vlaue (Cr)'!$C:$FB,100)</f>
        <v>2089</v>
      </c>
      <c r="J111" s="75">
        <f t="shared" si="8"/>
        <v>7</v>
      </c>
      <c r="K111" s="75">
        <f t="shared" si="9"/>
        <v>0.33396946564885494</v>
      </c>
      <c r="L111" s="75">
        <f>VLOOKUP($A111,'Data Vlaue (Cr)'!$C:$FB,67)</f>
        <v>831</v>
      </c>
      <c r="M111" s="75">
        <f>VLOOKUP($A111,'Data Vlaue (Cr)'!$C:$FB,68)</f>
        <v>1404</v>
      </c>
      <c r="N111" s="75">
        <f t="shared" si="10"/>
        <v>-573</v>
      </c>
      <c r="O111" s="75">
        <f t="shared" si="11"/>
        <v>-68.953068592057761</v>
      </c>
      <c r="P111" s="75">
        <f>VLOOKUP($A111,'Data Vlaue (Cr)'!$C:$FB,119)</f>
        <v>0.42</v>
      </c>
      <c r="Q111" s="75">
        <f>VLOOKUP($A111,'Data Vlaue (Cr)'!$C:$FB,122)*100</f>
        <v>2.44</v>
      </c>
      <c r="R111" s="75">
        <f>VLOOKUP($A111,'Data Vlaue (Cr)'!$C:$FB,125)</f>
        <v>0.28000000000000003</v>
      </c>
      <c r="S111" s="75">
        <f>VLOOKUP($A111,'Data Vlaue (Cr)'!$C:$FB,128)*100</f>
        <v>-3.45</v>
      </c>
    </row>
    <row r="112" spans="1:19" x14ac:dyDescent="0.25">
      <c r="A112" s="96" t="str">
        <f>'Data Vlaue (Cr)'!C103</f>
        <v>ITC</v>
      </c>
      <c r="B112" s="75">
        <f>VLOOKUP($A112,'Data Vlaue (Cr)'!$C:$FB,2)</f>
        <v>1600</v>
      </c>
      <c r="C112" s="75">
        <f>VLOOKUP($A112,'Data Vlaue (Cr)'!$C:$FB,8)</f>
        <v>363.85</v>
      </c>
      <c r="D112" s="75">
        <f>VLOOKUP($A112,'Data Vlaue (Cr)'!$C:$FB,4)</f>
        <v>366.1</v>
      </c>
      <c r="E112" s="75">
        <f>VLOOKUP($A112,'Data Vlaue (Cr)'!$C:$FB,5)</f>
        <v>405.4</v>
      </c>
      <c r="F112" s="75">
        <f t="shared" si="6"/>
        <v>2.25</v>
      </c>
      <c r="G112" s="75">
        <f t="shared" si="7"/>
        <v>-10.734771920240359</v>
      </c>
      <c r="H112" s="75">
        <f>VLOOKUP($A112,'Data Vlaue (Cr)'!$C:$FB,99)</f>
        <v>18083</v>
      </c>
      <c r="I112" s="75">
        <f>VLOOKUP($A112,'Data Vlaue (Cr)'!$C:$FB,100)</f>
        <v>8808</v>
      </c>
      <c r="J112" s="75">
        <f t="shared" si="8"/>
        <v>9275</v>
      </c>
      <c r="K112" s="75">
        <f t="shared" si="9"/>
        <v>51.291268041807228</v>
      </c>
      <c r="L112" s="75">
        <f>VLOOKUP($A112,'Data Vlaue (Cr)'!$C:$FB,67)</f>
        <v>62089</v>
      </c>
      <c r="M112" s="75">
        <f>VLOOKUP($A112,'Data Vlaue (Cr)'!$C:$FB,68)</f>
        <v>2664</v>
      </c>
      <c r="N112" s="75">
        <f t="shared" si="10"/>
        <v>59425</v>
      </c>
      <c r="O112" s="75">
        <f t="shared" si="11"/>
        <v>95.709384915202364</v>
      </c>
      <c r="P112" s="75">
        <f>VLOOKUP($A112,'Data Vlaue (Cr)'!$C:$FB,119)</f>
        <v>0.51</v>
      </c>
      <c r="Q112" s="75">
        <f>VLOOKUP($A112,'Data Vlaue (Cr)'!$C:$FB,122)*100</f>
        <v>-15</v>
      </c>
      <c r="R112" s="75">
        <f>VLOOKUP($A112,'Data Vlaue (Cr)'!$C:$FB,125)</f>
        <v>0.88</v>
      </c>
      <c r="S112" s="75">
        <f>VLOOKUP($A112,'Data Vlaue (Cr)'!$C:$FB,128)*100</f>
        <v>120</v>
      </c>
    </row>
    <row r="113" spans="1:19" x14ac:dyDescent="0.25">
      <c r="A113" s="96" t="str">
        <f>'Data Vlaue (Cr)'!C104</f>
        <v>JINDALSTEL</v>
      </c>
      <c r="B113" s="75">
        <f>VLOOKUP($A113,'Data Vlaue (Cr)'!$C:$FB,2)</f>
        <v>625</v>
      </c>
      <c r="C113" s="75">
        <f>VLOOKUP($A113,'Data Vlaue (Cr)'!$C:$FB,8)</f>
        <v>1068.4000000000001</v>
      </c>
      <c r="D113" s="75">
        <f>VLOOKUP($A113,'Data Vlaue (Cr)'!$C:$FB,4)</f>
        <v>1072.4000000000001</v>
      </c>
      <c r="E113" s="75">
        <f>VLOOKUP($A113,'Data Vlaue (Cr)'!$C:$FB,5)</f>
        <v>1057.4000000000001</v>
      </c>
      <c r="F113" s="75">
        <f t="shared" si="6"/>
        <v>4</v>
      </c>
      <c r="G113" s="75">
        <f t="shared" si="7"/>
        <v>1.3987318164863856</v>
      </c>
      <c r="H113" s="75">
        <f>VLOOKUP($A113,'Data Vlaue (Cr)'!$C:$FB,99)</f>
        <v>2180</v>
      </c>
      <c r="I113" s="75">
        <f>VLOOKUP($A113,'Data Vlaue (Cr)'!$C:$FB,100)</f>
        <v>2168</v>
      </c>
      <c r="J113" s="75">
        <f t="shared" si="8"/>
        <v>12</v>
      </c>
      <c r="K113" s="75">
        <f t="shared" si="9"/>
        <v>0.55045871559633031</v>
      </c>
      <c r="L113" s="75">
        <f>VLOOKUP($A113,'Data Vlaue (Cr)'!$C:$FB,67)</f>
        <v>1563</v>
      </c>
      <c r="M113" s="75">
        <f>VLOOKUP($A113,'Data Vlaue (Cr)'!$C:$FB,68)</f>
        <v>4154</v>
      </c>
      <c r="N113" s="75">
        <f t="shared" si="10"/>
        <v>-2591</v>
      </c>
      <c r="O113" s="75">
        <f t="shared" si="11"/>
        <v>-165.77095329494563</v>
      </c>
      <c r="P113" s="75">
        <f>VLOOKUP($A113,'Data Vlaue (Cr)'!$C:$FB,119)</f>
        <v>0.88</v>
      </c>
      <c r="Q113" s="75">
        <f>VLOOKUP($A113,'Data Vlaue (Cr)'!$C:$FB,122)*100</f>
        <v>18.920000000000002</v>
      </c>
      <c r="R113" s="75">
        <f>VLOOKUP($A113,'Data Vlaue (Cr)'!$C:$FB,125)</f>
        <v>0.52</v>
      </c>
      <c r="S113" s="75">
        <f>VLOOKUP($A113,'Data Vlaue (Cr)'!$C:$FB,128)*100</f>
        <v>40.54</v>
      </c>
    </row>
    <row r="114" spans="1:19" x14ac:dyDescent="0.25">
      <c r="A114" s="96" t="str">
        <f>'Data Vlaue (Cr)'!C105</f>
        <v>JIOFIN</v>
      </c>
      <c r="B114" s="75">
        <f>VLOOKUP($A114,'Data Vlaue (Cr)'!$C:$FB,2)</f>
        <v>2350</v>
      </c>
      <c r="C114" s="75">
        <f>VLOOKUP($A114,'Data Vlaue (Cr)'!$C:$FB,8)</f>
        <v>295.7</v>
      </c>
      <c r="D114" s="75">
        <f>VLOOKUP($A114,'Data Vlaue (Cr)'!$C:$FB,4)</f>
        <v>297.7</v>
      </c>
      <c r="E114" s="75">
        <f>VLOOKUP($A114,'Data Vlaue (Cr)'!$C:$FB,5)</f>
        <v>296.89999999999998</v>
      </c>
      <c r="F114" s="75">
        <f t="shared" si="6"/>
        <v>2</v>
      </c>
      <c r="G114" s="75">
        <f t="shared" si="7"/>
        <v>0.26872690628149526</v>
      </c>
      <c r="H114" s="75">
        <f>VLOOKUP($A114,'Data Vlaue (Cr)'!$C:$FB,99)</f>
        <v>6862</v>
      </c>
      <c r="I114" s="75">
        <f>VLOOKUP($A114,'Data Vlaue (Cr)'!$C:$FB,100)</f>
        <v>6772</v>
      </c>
      <c r="J114" s="75">
        <f t="shared" si="8"/>
        <v>90</v>
      </c>
      <c r="K114" s="75">
        <f t="shared" si="9"/>
        <v>1.3115709705625183</v>
      </c>
      <c r="L114" s="75">
        <f>VLOOKUP($A114,'Data Vlaue (Cr)'!$C:$FB,67)</f>
        <v>865</v>
      </c>
      <c r="M114" s="75">
        <f>VLOOKUP($A114,'Data Vlaue (Cr)'!$C:$FB,68)</f>
        <v>1604</v>
      </c>
      <c r="N114" s="75">
        <f t="shared" si="10"/>
        <v>-739</v>
      </c>
      <c r="O114" s="75">
        <f t="shared" si="11"/>
        <v>-85.433526011560687</v>
      </c>
      <c r="P114" s="75">
        <f>VLOOKUP($A114,'Data Vlaue (Cr)'!$C:$FB,119)</f>
        <v>0.9</v>
      </c>
      <c r="Q114" s="75">
        <f>VLOOKUP($A114,'Data Vlaue (Cr)'!$C:$FB,122)*100</f>
        <v>-3.2300000000000004</v>
      </c>
      <c r="R114" s="75">
        <f>VLOOKUP($A114,'Data Vlaue (Cr)'!$C:$FB,125)</f>
        <v>0.37</v>
      </c>
      <c r="S114" s="75">
        <f>VLOOKUP($A114,'Data Vlaue (Cr)'!$C:$FB,128)*100</f>
        <v>-19.57</v>
      </c>
    </row>
    <row r="115" spans="1:19" x14ac:dyDescent="0.25">
      <c r="A115" s="96" t="str">
        <f>'Data Vlaue (Cr)'!C106</f>
        <v>JSWENERGY</v>
      </c>
      <c r="B115" s="75">
        <f>VLOOKUP($A115,'Data Vlaue (Cr)'!$C:$FB,2)</f>
        <v>1000</v>
      </c>
      <c r="C115" s="75">
        <f>VLOOKUP($A115,'Data Vlaue (Cr)'!$C:$FB,8)</f>
        <v>502</v>
      </c>
      <c r="D115" s="75">
        <f>VLOOKUP($A115,'Data Vlaue (Cr)'!$C:$FB,4)</f>
        <v>505.05</v>
      </c>
      <c r="E115" s="75">
        <f>VLOOKUP($A115,'Data Vlaue (Cr)'!$C:$FB,5)</f>
        <v>484.3</v>
      </c>
      <c r="F115" s="75">
        <f t="shared" si="6"/>
        <v>3.0500000000000114</v>
      </c>
      <c r="G115" s="75">
        <f t="shared" si="7"/>
        <v>4.1085041085041079</v>
      </c>
      <c r="H115" s="75">
        <f>VLOOKUP($A115,'Data Vlaue (Cr)'!$C:$FB,99)</f>
        <v>2789</v>
      </c>
      <c r="I115" s="75">
        <f>VLOOKUP($A115,'Data Vlaue (Cr)'!$C:$FB,100)</f>
        <v>2672</v>
      </c>
      <c r="J115" s="75">
        <f t="shared" si="8"/>
        <v>117</v>
      </c>
      <c r="K115" s="75">
        <f t="shared" si="9"/>
        <v>4.1950519899605592</v>
      </c>
      <c r="L115" s="75">
        <f>VLOOKUP($A115,'Data Vlaue (Cr)'!$C:$FB,67)</f>
        <v>2042</v>
      </c>
      <c r="M115" s="75">
        <f>VLOOKUP($A115,'Data Vlaue (Cr)'!$C:$FB,68)</f>
        <v>621</v>
      </c>
      <c r="N115" s="75">
        <f t="shared" si="10"/>
        <v>1421</v>
      </c>
      <c r="O115" s="75">
        <f t="shared" si="11"/>
        <v>69.588638589618029</v>
      </c>
      <c r="P115" s="75">
        <f>VLOOKUP($A115,'Data Vlaue (Cr)'!$C:$FB,119)</f>
        <v>1.1100000000000001</v>
      </c>
      <c r="Q115" s="75">
        <f>VLOOKUP($A115,'Data Vlaue (Cr)'!$C:$FB,122)*100</f>
        <v>3.74</v>
      </c>
      <c r="R115" s="75">
        <f>VLOOKUP($A115,'Data Vlaue (Cr)'!$C:$FB,125)</f>
        <v>0.33</v>
      </c>
      <c r="S115" s="75">
        <f>VLOOKUP($A115,'Data Vlaue (Cr)'!$C:$FB,128)*100</f>
        <v>-21.43</v>
      </c>
    </row>
    <row r="116" spans="1:19" x14ac:dyDescent="0.25">
      <c r="A116" s="96" t="str">
        <f>'Data Vlaue (Cr)'!C107</f>
        <v>JSWSTEEL</v>
      </c>
      <c r="B116" s="75">
        <f>VLOOKUP($A116,'Data Vlaue (Cr)'!$C:$FB,2)</f>
        <v>675</v>
      </c>
      <c r="C116" s="75">
        <f>VLOOKUP($A116,'Data Vlaue (Cr)'!$C:$FB,8)</f>
        <v>1171.5</v>
      </c>
      <c r="D116" s="75">
        <f>VLOOKUP($A116,'Data Vlaue (Cr)'!$C:$FB,4)</f>
        <v>1178</v>
      </c>
      <c r="E116" s="75">
        <f>VLOOKUP($A116,'Data Vlaue (Cr)'!$C:$FB,5)</f>
        <v>1172.3</v>
      </c>
      <c r="F116" s="75">
        <f t="shared" si="6"/>
        <v>6.5</v>
      </c>
      <c r="G116" s="75">
        <f t="shared" si="7"/>
        <v>0.48387096774193933</v>
      </c>
      <c r="H116" s="75">
        <f>VLOOKUP($A116,'Data Vlaue (Cr)'!$C:$FB,99)</f>
        <v>7808</v>
      </c>
      <c r="I116" s="75">
        <f>VLOOKUP($A116,'Data Vlaue (Cr)'!$C:$FB,100)</f>
        <v>7781</v>
      </c>
      <c r="J116" s="75">
        <f t="shared" si="8"/>
        <v>27</v>
      </c>
      <c r="K116" s="75">
        <f t="shared" si="9"/>
        <v>0.34579918032786883</v>
      </c>
      <c r="L116" s="75">
        <f>VLOOKUP($A116,'Data Vlaue (Cr)'!$C:$FB,67)</f>
        <v>2937</v>
      </c>
      <c r="M116" s="75">
        <f>VLOOKUP($A116,'Data Vlaue (Cr)'!$C:$FB,68)</f>
        <v>10151</v>
      </c>
      <c r="N116" s="75">
        <f t="shared" si="10"/>
        <v>-7214</v>
      </c>
      <c r="O116" s="75">
        <f t="shared" si="11"/>
        <v>-245.62478719782089</v>
      </c>
      <c r="P116" s="75">
        <f>VLOOKUP($A116,'Data Vlaue (Cr)'!$C:$FB,119)</f>
        <v>0.96</v>
      </c>
      <c r="Q116" s="75">
        <f>VLOOKUP($A116,'Data Vlaue (Cr)'!$C:$FB,122)*100</f>
        <v>7.870000000000001</v>
      </c>
      <c r="R116" s="75">
        <f>VLOOKUP($A116,'Data Vlaue (Cr)'!$C:$FB,125)</f>
        <v>1.05</v>
      </c>
      <c r="S116" s="75">
        <f>VLOOKUP($A116,'Data Vlaue (Cr)'!$C:$FB,128)*100</f>
        <v>118.75</v>
      </c>
    </row>
    <row r="117" spans="1:19" x14ac:dyDescent="0.25">
      <c r="A117" s="96" t="str">
        <f>'Data Vlaue (Cr)'!C108</f>
        <v>JUBLFOOD</v>
      </c>
      <c r="B117" s="75">
        <f>VLOOKUP($A117,'Data Vlaue (Cr)'!$C:$FB,2)</f>
        <v>1250</v>
      </c>
      <c r="C117" s="75">
        <f>VLOOKUP($A117,'Data Vlaue (Cr)'!$C:$FB,8)</f>
        <v>553.15</v>
      </c>
      <c r="D117" s="75">
        <f>VLOOKUP($A117,'Data Vlaue (Cr)'!$C:$FB,4)</f>
        <v>551.70000000000005</v>
      </c>
      <c r="E117" s="75">
        <f>VLOOKUP($A117,'Data Vlaue (Cr)'!$C:$FB,5)</f>
        <v>557.25</v>
      </c>
      <c r="F117" s="75">
        <f t="shared" si="6"/>
        <v>-1.4499999999999318</v>
      </c>
      <c r="G117" s="75">
        <f t="shared" si="7"/>
        <v>-1.0059815116911281</v>
      </c>
      <c r="H117" s="75">
        <f>VLOOKUP($A117,'Data Vlaue (Cr)'!$C:$FB,99)</f>
        <v>2120</v>
      </c>
      <c r="I117" s="75">
        <f>VLOOKUP($A117,'Data Vlaue (Cr)'!$C:$FB,100)</f>
        <v>2027</v>
      </c>
      <c r="J117" s="75">
        <f t="shared" si="8"/>
        <v>93</v>
      </c>
      <c r="K117" s="75">
        <f t="shared" si="9"/>
        <v>4.3867924528301883</v>
      </c>
      <c r="L117" s="75">
        <f>VLOOKUP($A117,'Data Vlaue (Cr)'!$C:$FB,67)</f>
        <v>474</v>
      </c>
      <c r="M117" s="75">
        <f>VLOOKUP($A117,'Data Vlaue (Cr)'!$C:$FB,68)</f>
        <v>841</v>
      </c>
      <c r="N117" s="75">
        <f t="shared" si="10"/>
        <v>-367</v>
      </c>
      <c r="O117" s="75">
        <f t="shared" si="11"/>
        <v>-77.426160337552744</v>
      </c>
      <c r="P117" s="75">
        <f>VLOOKUP($A117,'Data Vlaue (Cr)'!$C:$FB,119)</f>
        <v>0.72</v>
      </c>
      <c r="Q117" s="75">
        <f>VLOOKUP($A117,'Data Vlaue (Cr)'!$C:$FB,122)*100</f>
        <v>1.41</v>
      </c>
      <c r="R117" s="75">
        <f>VLOOKUP($A117,'Data Vlaue (Cr)'!$C:$FB,125)</f>
        <v>0.8</v>
      </c>
      <c r="S117" s="75">
        <f>VLOOKUP($A117,'Data Vlaue (Cr)'!$C:$FB,128)*100</f>
        <v>50.94</v>
      </c>
    </row>
    <row r="118" spans="1:19" x14ac:dyDescent="0.25">
      <c r="A118" s="96" t="str">
        <f>'Data Vlaue (Cr)'!C109</f>
        <v>KALYANKJIL</v>
      </c>
      <c r="B118" s="75">
        <f>VLOOKUP($A118,'Data Vlaue (Cr)'!$C:$FB,2)</f>
        <v>1175</v>
      </c>
      <c r="C118" s="75">
        <f>VLOOKUP($A118,'Data Vlaue (Cr)'!$C:$FB,8)</f>
        <v>484.2</v>
      </c>
      <c r="D118" s="75">
        <f>VLOOKUP($A118,'Data Vlaue (Cr)'!$C:$FB,4)</f>
        <v>487.55</v>
      </c>
      <c r="E118" s="75">
        <f>VLOOKUP($A118,'Data Vlaue (Cr)'!$C:$FB,5)</f>
        <v>488.4</v>
      </c>
      <c r="F118" s="75">
        <f t="shared" si="6"/>
        <v>3.3500000000000227</v>
      </c>
      <c r="G118" s="75">
        <f t="shared" si="7"/>
        <v>-0.17434109322120109</v>
      </c>
      <c r="H118" s="75">
        <f>VLOOKUP($A118,'Data Vlaue (Cr)'!$C:$FB,99)</f>
        <v>2022</v>
      </c>
      <c r="I118" s="75">
        <f>VLOOKUP($A118,'Data Vlaue (Cr)'!$C:$FB,100)</f>
        <v>1999</v>
      </c>
      <c r="J118" s="75">
        <f t="shared" si="8"/>
        <v>23</v>
      </c>
      <c r="K118" s="75">
        <f t="shared" si="9"/>
        <v>1.1374876360039565</v>
      </c>
      <c r="L118" s="75">
        <f>VLOOKUP($A118,'Data Vlaue (Cr)'!$C:$FB,67)</f>
        <v>158</v>
      </c>
      <c r="M118" s="75">
        <f>VLOOKUP($A118,'Data Vlaue (Cr)'!$C:$FB,68)</f>
        <v>341</v>
      </c>
      <c r="N118" s="75">
        <f t="shared" si="10"/>
        <v>-183</v>
      </c>
      <c r="O118" s="75">
        <f t="shared" si="11"/>
        <v>-115.82278481012658</v>
      </c>
      <c r="P118" s="75">
        <f>VLOOKUP($A118,'Data Vlaue (Cr)'!$C:$FB,119)</f>
        <v>0.67</v>
      </c>
      <c r="Q118" s="75">
        <f>VLOOKUP($A118,'Data Vlaue (Cr)'!$C:$FB,122)*100</f>
        <v>-5.63</v>
      </c>
      <c r="R118" s="75">
        <f>VLOOKUP($A118,'Data Vlaue (Cr)'!$C:$FB,125)</f>
        <v>0.34</v>
      </c>
      <c r="S118" s="75">
        <f>VLOOKUP($A118,'Data Vlaue (Cr)'!$C:$FB,128)*100</f>
        <v>-29.17</v>
      </c>
    </row>
    <row r="119" spans="1:19" x14ac:dyDescent="0.25">
      <c r="A119" s="96" t="str">
        <f>'Data Vlaue (Cr)'!C110</f>
        <v>KAYNES</v>
      </c>
      <c r="B119" s="75">
        <f>VLOOKUP($A119,'Data Vlaue (Cr)'!$C:$FB,2)</f>
        <v>100</v>
      </c>
      <c r="C119" s="75">
        <f>VLOOKUP($A119,'Data Vlaue (Cr)'!$C:$FB,8)</f>
        <v>3943.5</v>
      </c>
      <c r="D119" s="75">
        <f>VLOOKUP($A119,'Data Vlaue (Cr)'!$C:$FB,4)</f>
        <v>3958.4</v>
      </c>
      <c r="E119" s="75">
        <f>VLOOKUP($A119,'Data Vlaue (Cr)'!$C:$FB,5)</f>
        <v>4036.5</v>
      </c>
      <c r="F119" s="75">
        <f t="shared" si="6"/>
        <v>14.900000000000091</v>
      </c>
      <c r="G119" s="75">
        <f t="shared" si="7"/>
        <v>-1.9730194017784939</v>
      </c>
      <c r="H119" s="75">
        <f>VLOOKUP($A119,'Data Vlaue (Cr)'!$C:$FB,99)</f>
        <v>2389</v>
      </c>
      <c r="I119" s="75">
        <f>VLOOKUP($A119,'Data Vlaue (Cr)'!$C:$FB,100)</f>
        <v>2195</v>
      </c>
      <c r="J119" s="75">
        <f t="shared" si="8"/>
        <v>194</v>
      </c>
      <c r="K119" s="75">
        <f t="shared" si="9"/>
        <v>8.1205525324403514</v>
      </c>
      <c r="L119" s="75">
        <f>VLOOKUP($A119,'Data Vlaue (Cr)'!$C:$FB,67)</f>
        <v>1257</v>
      </c>
      <c r="M119" s="75">
        <f>VLOOKUP($A119,'Data Vlaue (Cr)'!$C:$FB,68)</f>
        <v>1669</v>
      </c>
      <c r="N119" s="75">
        <f t="shared" si="10"/>
        <v>-412</v>
      </c>
      <c r="O119" s="75">
        <f t="shared" si="11"/>
        <v>-32.776451869530625</v>
      </c>
      <c r="P119" s="75">
        <f>VLOOKUP($A119,'Data Vlaue (Cr)'!$C:$FB,119)</f>
        <v>0.52</v>
      </c>
      <c r="Q119" s="75">
        <f>VLOOKUP($A119,'Data Vlaue (Cr)'!$C:$FB,122)*100</f>
        <v>-5.45</v>
      </c>
      <c r="R119" s="75">
        <f>VLOOKUP($A119,'Data Vlaue (Cr)'!$C:$FB,125)</f>
        <v>0.57999999999999996</v>
      </c>
      <c r="S119" s="75">
        <f>VLOOKUP($A119,'Data Vlaue (Cr)'!$C:$FB,128)*100</f>
        <v>16</v>
      </c>
    </row>
    <row r="120" spans="1:19" x14ac:dyDescent="0.25">
      <c r="A120" s="96" t="str">
        <f>'Data Vlaue (Cr)'!C111</f>
        <v>KEI</v>
      </c>
      <c r="B120" s="75">
        <f>VLOOKUP($A120,'Data Vlaue (Cr)'!$C:$FB,2)</f>
        <v>175</v>
      </c>
      <c r="C120" s="75">
        <f>VLOOKUP($A120,'Data Vlaue (Cr)'!$C:$FB,8)</f>
        <v>4514.5</v>
      </c>
      <c r="D120" s="75">
        <f>VLOOKUP($A120,'Data Vlaue (Cr)'!$C:$FB,4)</f>
        <v>4536.3</v>
      </c>
      <c r="E120" s="75">
        <f>VLOOKUP($A120,'Data Vlaue (Cr)'!$C:$FB,5)</f>
        <v>4485.8999999999996</v>
      </c>
      <c r="F120" s="75">
        <f t="shared" si="6"/>
        <v>21.800000000000182</v>
      </c>
      <c r="G120" s="75">
        <f t="shared" si="7"/>
        <v>1.1110376297864017</v>
      </c>
      <c r="H120" s="75">
        <f>VLOOKUP($A120,'Data Vlaue (Cr)'!$C:$FB,99)</f>
        <v>653</v>
      </c>
      <c r="I120" s="75">
        <f>VLOOKUP($A120,'Data Vlaue (Cr)'!$C:$FB,100)</f>
        <v>606</v>
      </c>
      <c r="J120" s="75">
        <f t="shared" si="8"/>
        <v>47</v>
      </c>
      <c r="K120" s="75">
        <f t="shared" si="9"/>
        <v>7.1975497702909648</v>
      </c>
      <c r="L120" s="75">
        <f>VLOOKUP($A120,'Data Vlaue (Cr)'!$C:$FB,67)</f>
        <v>485</v>
      </c>
      <c r="M120" s="75">
        <f>VLOOKUP($A120,'Data Vlaue (Cr)'!$C:$FB,68)</f>
        <v>658</v>
      </c>
      <c r="N120" s="75">
        <f t="shared" si="10"/>
        <v>-173</v>
      </c>
      <c r="O120" s="75">
        <f t="shared" si="11"/>
        <v>-35.670103092783506</v>
      </c>
      <c r="P120" s="75">
        <f>VLOOKUP($A120,'Data Vlaue (Cr)'!$C:$FB,119)</f>
        <v>0.69</v>
      </c>
      <c r="Q120" s="75">
        <f>VLOOKUP($A120,'Data Vlaue (Cr)'!$C:$FB,122)*100</f>
        <v>35.29</v>
      </c>
      <c r="R120" s="75">
        <f>VLOOKUP($A120,'Data Vlaue (Cr)'!$C:$FB,125)</f>
        <v>0.34</v>
      </c>
      <c r="S120" s="75">
        <f>VLOOKUP($A120,'Data Vlaue (Cr)'!$C:$FB,128)*100</f>
        <v>13.33</v>
      </c>
    </row>
    <row r="121" spans="1:19" x14ac:dyDescent="0.25">
      <c r="A121" s="96" t="str">
        <f>'Data Vlaue (Cr)'!C112</f>
        <v>KFINTECH</v>
      </c>
      <c r="B121" s="75">
        <f>VLOOKUP($A121,'Data Vlaue (Cr)'!$C:$FB,2)</f>
        <v>500</v>
      </c>
      <c r="C121" s="75">
        <f>VLOOKUP($A121,'Data Vlaue (Cr)'!$C:$FB,8)</f>
        <v>1076.7</v>
      </c>
      <c r="D121" s="75">
        <f>VLOOKUP($A121,'Data Vlaue (Cr)'!$C:$FB,4)</f>
        <v>1078.5999999999999</v>
      </c>
      <c r="E121" s="75">
        <f>VLOOKUP($A121,'Data Vlaue (Cr)'!$C:$FB,5)</f>
        <v>1078.9000000000001</v>
      </c>
      <c r="F121" s="75">
        <f t="shared" si="6"/>
        <v>1.8999999999998636</v>
      </c>
      <c r="G121" s="75">
        <f t="shared" si="7"/>
        <v>-2.7813832746169283E-2</v>
      </c>
      <c r="H121" s="75">
        <f>VLOOKUP($A121,'Data Vlaue (Cr)'!$C:$FB,99)</f>
        <v>488</v>
      </c>
      <c r="I121" s="75">
        <f>VLOOKUP($A121,'Data Vlaue (Cr)'!$C:$FB,100)</f>
        <v>471</v>
      </c>
      <c r="J121" s="75">
        <f t="shared" si="8"/>
        <v>17</v>
      </c>
      <c r="K121" s="75">
        <f t="shared" si="9"/>
        <v>3.4836065573770489</v>
      </c>
      <c r="L121" s="75">
        <f>VLOOKUP($A121,'Data Vlaue (Cr)'!$C:$FB,67)</f>
        <v>175</v>
      </c>
      <c r="M121" s="75">
        <f>VLOOKUP($A121,'Data Vlaue (Cr)'!$C:$FB,68)</f>
        <v>183</v>
      </c>
      <c r="N121" s="75">
        <f t="shared" si="10"/>
        <v>-8</v>
      </c>
      <c r="O121" s="75">
        <f t="shared" si="11"/>
        <v>-4.5714285714285712</v>
      </c>
      <c r="P121" s="75">
        <f>VLOOKUP($A121,'Data Vlaue (Cr)'!$C:$FB,119)</f>
        <v>0.74</v>
      </c>
      <c r="Q121" s="75">
        <f>VLOOKUP($A121,'Data Vlaue (Cr)'!$C:$FB,122)*100</f>
        <v>0</v>
      </c>
      <c r="R121" s="75">
        <f>VLOOKUP($A121,'Data Vlaue (Cr)'!$C:$FB,125)</f>
        <v>0.33</v>
      </c>
      <c r="S121" s="75">
        <f>VLOOKUP($A121,'Data Vlaue (Cr)'!$C:$FB,128)*100</f>
        <v>-43.1</v>
      </c>
    </row>
    <row r="122" spans="1:19" x14ac:dyDescent="0.25">
      <c r="A122" s="96" t="str">
        <f>'Data Vlaue (Cr)'!C113</f>
        <v>KOTAKBANK</v>
      </c>
      <c r="B122" s="75">
        <f>VLOOKUP($A122,'Data Vlaue (Cr)'!$C:$FB,2)</f>
        <v>400</v>
      </c>
      <c r="C122" s="75">
        <f>VLOOKUP($A122,'Data Vlaue (Cr)'!$C:$FB,8)</f>
        <v>2217.8000000000002</v>
      </c>
      <c r="D122" s="75">
        <f>VLOOKUP($A122,'Data Vlaue (Cr)'!$C:$FB,4)</f>
        <v>2226.3000000000002</v>
      </c>
      <c r="E122" s="75">
        <f>VLOOKUP($A122,'Data Vlaue (Cr)'!$C:$FB,5)</f>
        <v>2209.1999999999998</v>
      </c>
      <c r="F122" s="75">
        <f t="shared" si="6"/>
        <v>8.5</v>
      </c>
      <c r="G122" s="75">
        <f t="shared" si="7"/>
        <v>0.76809055383373137</v>
      </c>
      <c r="H122" s="75">
        <f>VLOOKUP($A122,'Data Vlaue (Cr)'!$C:$FB,99)</f>
        <v>10444</v>
      </c>
      <c r="I122" s="75">
        <f>VLOOKUP($A122,'Data Vlaue (Cr)'!$C:$FB,100)</f>
        <v>10194</v>
      </c>
      <c r="J122" s="75">
        <f t="shared" si="8"/>
        <v>250</v>
      </c>
      <c r="K122" s="75">
        <f t="shared" si="9"/>
        <v>2.3937188816545385</v>
      </c>
      <c r="L122" s="75">
        <f>VLOOKUP($A122,'Data Vlaue (Cr)'!$C:$FB,67)</f>
        <v>3198</v>
      </c>
      <c r="M122" s="75">
        <f>VLOOKUP($A122,'Data Vlaue (Cr)'!$C:$FB,68)</f>
        <v>5176</v>
      </c>
      <c r="N122" s="75">
        <f t="shared" si="10"/>
        <v>-1978</v>
      </c>
      <c r="O122" s="75">
        <f t="shared" si="11"/>
        <v>-61.851156973108189</v>
      </c>
      <c r="P122" s="75">
        <f>VLOOKUP($A122,'Data Vlaue (Cr)'!$C:$FB,119)</f>
        <v>0.8</v>
      </c>
      <c r="Q122" s="75">
        <f>VLOOKUP($A122,'Data Vlaue (Cr)'!$C:$FB,122)*100</f>
        <v>0</v>
      </c>
      <c r="R122" s="75">
        <f>VLOOKUP($A122,'Data Vlaue (Cr)'!$C:$FB,125)</f>
        <v>0.48</v>
      </c>
      <c r="S122" s="75">
        <f>VLOOKUP($A122,'Data Vlaue (Cr)'!$C:$FB,128)*100</f>
        <v>2.13</v>
      </c>
    </row>
    <row r="123" spans="1:19" x14ac:dyDescent="0.25">
      <c r="A123" s="96" t="str">
        <f>'Data Vlaue (Cr)'!C114</f>
        <v>KPITTECH</v>
      </c>
      <c r="B123" s="75">
        <f>VLOOKUP($A123,'Data Vlaue (Cr)'!$C:$FB,2)</f>
        <v>425</v>
      </c>
      <c r="C123" s="75">
        <f>VLOOKUP($A123,'Data Vlaue (Cr)'!$C:$FB,8)</f>
        <v>1163.2</v>
      </c>
      <c r="D123" s="75">
        <f>VLOOKUP($A123,'Data Vlaue (Cr)'!$C:$FB,4)</f>
        <v>1165.2</v>
      </c>
      <c r="E123" s="75">
        <f>VLOOKUP($A123,'Data Vlaue (Cr)'!$C:$FB,5)</f>
        <v>1177.5</v>
      </c>
      <c r="F123" s="75">
        <f t="shared" si="6"/>
        <v>2</v>
      </c>
      <c r="G123" s="75">
        <f t="shared" si="7"/>
        <v>-1.0556127703398519</v>
      </c>
      <c r="H123" s="75">
        <f>VLOOKUP($A123,'Data Vlaue (Cr)'!$C:$FB,99)</f>
        <v>619</v>
      </c>
      <c r="I123" s="75">
        <f>VLOOKUP($A123,'Data Vlaue (Cr)'!$C:$FB,100)</f>
        <v>582</v>
      </c>
      <c r="J123" s="75">
        <f t="shared" si="8"/>
        <v>37</v>
      </c>
      <c r="K123" s="75">
        <f t="shared" si="9"/>
        <v>5.9773828756058158</v>
      </c>
      <c r="L123" s="75">
        <f>VLOOKUP($A123,'Data Vlaue (Cr)'!$C:$FB,67)</f>
        <v>180</v>
      </c>
      <c r="M123" s="75">
        <f>VLOOKUP($A123,'Data Vlaue (Cr)'!$C:$FB,68)</f>
        <v>223</v>
      </c>
      <c r="N123" s="75">
        <f t="shared" si="10"/>
        <v>-43</v>
      </c>
      <c r="O123" s="75">
        <f t="shared" si="11"/>
        <v>-23.888888888888889</v>
      </c>
      <c r="P123" s="75">
        <f>VLOOKUP($A123,'Data Vlaue (Cr)'!$C:$FB,119)</f>
        <v>0.88</v>
      </c>
      <c r="Q123" s="75">
        <f>VLOOKUP($A123,'Data Vlaue (Cr)'!$C:$FB,122)*100</f>
        <v>-12</v>
      </c>
      <c r="R123" s="75">
        <f>VLOOKUP($A123,'Data Vlaue (Cr)'!$C:$FB,125)</f>
        <v>0.47</v>
      </c>
      <c r="S123" s="75">
        <f>VLOOKUP($A123,'Data Vlaue (Cr)'!$C:$FB,128)*100</f>
        <v>-21.67</v>
      </c>
    </row>
    <row r="124" spans="1:19" x14ac:dyDescent="0.25">
      <c r="A124" s="96" t="str">
        <f>'Data Vlaue (Cr)'!C115</f>
        <v>LAURUSLABS</v>
      </c>
      <c r="B124" s="75">
        <f>VLOOKUP($A124,'Data Vlaue (Cr)'!$C:$FB,2)</f>
        <v>850</v>
      </c>
      <c r="C124" s="75">
        <f>VLOOKUP($A124,'Data Vlaue (Cr)'!$C:$FB,8)</f>
        <v>1110.4000000000001</v>
      </c>
      <c r="D124" s="75">
        <f>VLOOKUP($A124,'Data Vlaue (Cr)'!$C:$FB,4)</f>
        <v>1115.8</v>
      </c>
      <c r="E124" s="75">
        <f>VLOOKUP($A124,'Data Vlaue (Cr)'!$C:$FB,5)</f>
        <v>1114.9000000000001</v>
      </c>
      <c r="F124" s="75">
        <f t="shared" si="6"/>
        <v>5.3999999999998636</v>
      </c>
      <c r="G124" s="75">
        <f t="shared" si="7"/>
        <v>8.0659616418700814E-2</v>
      </c>
      <c r="H124" s="75">
        <f>VLOOKUP($A124,'Data Vlaue (Cr)'!$C:$FB,99)</f>
        <v>2709</v>
      </c>
      <c r="I124" s="75">
        <f>VLOOKUP($A124,'Data Vlaue (Cr)'!$C:$FB,100)</f>
        <v>2627</v>
      </c>
      <c r="J124" s="75">
        <f t="shared" si="8"/>
        <v>82</v>
      </c>
      <c r="K124" s="75">
        <f t="shared" si="9"/>
        <v>3.0269472129937247</v>
      </c>
      <c r="L124" s="75">
        <f>VLOOKUP($A124,'Data Vlaue (Cr)'!$C:$FB,67)</f>
        <v>899</v>
      </c>
      <c r="M124" s="75">
        <f>VLOOKUP($A124,'Data Vlaue (Cr)'!$C:$FB,68)</f>
        <v>2067</v>
      </c>
      <c r="N124" s="75">
        <f t="shared" si="10"/>
        <v>-1168</v>
      </c>
      <c r="O124" s="75">
        <f t="shared" si="11"/>
        <v>-129.92213570634036</v>
      </c>
      <c r="P124" s="75">
        <f>VLOOKUP($A124,'Data Vlaue (Cr)'!$C:$FB,119)</f>
        <v>0.75</v>
      </c>
      <c r="Q124" s="75">
        <f>VLOOKUP($A124,'Data Vlaue (Cr)'!$C:$FB,122)*100</f>
        <v>-1.32</v>
      </c>
      <c r="R124" s="75">
        <f>VLOOKUP($A124,'Data Vlaue (Cr)'!$C:$FB,125)</f>
        <v>0.62</v>
      </c>
      <c r="S124" s="75">
        <f>VLOOKUP($A124,'Data Vlaue (Cr)'!$C:$FB,128)*100</f>
        <v>1.6400000000000001</v>
      </c>
    </row>
    <row r="125" spans="1:19" x14ac:dyDescent="0.25">
      <c r="A125" s="96" t="str">
        <f>'Data Vlaue (Cr)'!C116</f>
        <v>LICHSGFIN</v>
      </c>
      <c r="B125" s="75">
        <f>VLOOKUP($A125,'Data Vlaue (Cr)'!$C:$FB,2)</f>
        <v>1000</v>
      </c>
      <c r="C125" s="75">
        <f>VLOOKUP($A125,'Data Vlaue (Cr)'!$C:$FB,8)</f>
        <v>535.85</v>
      </c>
      <c r="D125" s="75">
        <f>VLOOKUP($A125,'Data Vlaue (Cr)'!$C:$FB,4)</f>
        <v>538.15</v>
      </c>
      <c r="E125" s="75">
        <f>VLOOKUP($A125,'Data Vlaue (Cr)'!$C:$FB,5)</f>
        <v>541.6</v>
      </c>
      <c r="F125" s="75">
        <f t="shared" si="6"/>
        <v>2.2999999999999545</v>
      </c>
      <c r="G125" s="75">
        <f t="shared" si="7"/>
        <v>-0.64108519929388563</v>
      </c>
      <c r="H125" s="75">
        <f>VLOOKUP($A125,'Data Vlaue (Cr)'!$C:$FB,99)</f>
        <v>2502</v>
      </c>
      <c r="I125" s="75">
        <f>VLOOKUP($A125,'Data Vlaue (Cr)'!$C:$FB,100)</f>
        <v>2461</v>
      </c>
      <c r="J125" s="75">
        <f t="shared" si="8"/>
        <v>41</v>
      </c>
      <c r="K125" s="75">
        <f t="shared" si="9"/>
        <v>1.6386890487609911</v>
      </c>
      <c r="L125" s="75">
        <f>VLOOKUP($A125,'Data Vlaue (Cr)'!$C:$FB,67)</f>
        <v>311</v>
      </c>
      <c r="M125" s="75">
        <f>VLOOKUP($A125,'Data Vlaue (Cr)'!$C:$FB,68)</f>
        <v>673</v>
      </c>
      <c r="N125" s="75">
        <f t="shared" si="10"/>
        <v>-362</v>
      </c>
      <c r="O125" s="75">
        <f t="shared" si="11"/>
        <v>-116.39871382636655</v>
      </c>
      <c r="P125" s="75">
        <f>VLOOKUP($A125,'Data Vlaue (Cr)'!$C:$FB,119)</f>
        <v>1.1299999999999999</v>
      </c>
      <c r="Q125" s="75">
        <f>VLOOKUP($A125,'Data Vlaue (Cr)'!$C:$FB,122)*100</f>
        <v>-3.42</v>
      </c>
      <c r="R125" s="75">
        <f>VLOOKUP($A125,'Data Vlaue (Cr)'!$C:$FB,125)</f>
        <v>0.51</v>
      </c>
      <c r="S125" s="75">
        <f>VLOOKUP($A125,'Data Vlaue (Cr)'!$C:$FB,128)*100</f>
        <v>-30.14</v>
      </c>
    </row>
    <row r="126" spans="1:19" x14ac:dyDescent="0.25">
      <c r="A126" s="96" t="str">
        <f>'Data Vlaue (Cr)'!C117</f>
        <v>LICI</v>
      </c>
      <c r="B126" s="75">
        <f>VLOOKUP($A126,'Data Vlaue (Cr)'!$C:$FB,2)</f>
        <v>700</v>
      </c>
      <c r="C126" s="75">
        <f>VLOOKUP($A126,'Data Vlaue (Cr)'!$C:$FB,8)</f>
        <v>852.8</v>
      </c>
      <c r="D126" s="75">
        <f>VLOOKUP($A126,'Data Vlaue (Cr)'!$C:$FB,4)</f>
        <v>858.45</v>
      </c>
      <c r="E126" s="75">
        <f>VLOOKUP($A126,'Data Vlaue (Cr)'!$C:$FB,5)</f>
        <v>858.9</v>
      </c>
      <c r="F126" s="75">
        <f t="shared" si="6"/>
        <v>5.6500000000000909</v>
      </c>
      <c r="G126" s="75">
        <f t="shared" si="7"/>
        <v>-5.2420059409392712E-2</v>
      </c>
      <c r="H126" s="75">
        <f>VLOOKUP($A126,'Data Vlaue (Cr)'!$C:$FB,99)</f>
        <v>1453</v>
      </c>
      <c r="I126" s="75">
        <f>VLOOKUP($A126,'Data Vlaue (Cr)'!$C:$FB,100)</f>
        <v>1433</v>
      </c>
      <c r="J126" s="75">
        <f t="shared" si="8"/>
        <v>20</v>
      </c>
      <c r="K126" s="75">
        <f t="shared" si="9"/>
        <v>1.3764624913971095</v>
      </c>
      <c r="L126" s="75">
        <f>VLOOKUP($A126,'Data Vlaue (Cr)'!$C:$FB,67)</f>
        <v>183</v>
      </c>
      <c r="M126" s="75">
        <f>VLOOKUP($A126,'Data Vlaue (Cr)'!$C:$FB,68)</f>
        <v>520</v>
      </c>
      <c r="N126" s="75">
        <f t="shared" si="10"/>
        <v>-337</v>
      </c>
      <c r="O126" s="75">
        <f t="shared" si="11"/>
        <v>-184.15300546448088</v>
      </c>
      <c r="P126" s="75">
        <f>VLOOKUP($A126,'Data Vlaue (Cr)'!$C:$FB,119)</f>
        <v>0.74</v>
      </c>
      <c r="Q126" s="75">
        <f>VLOOKUP($A126,'Data Vlaue (Cr)'!$C:$FB,122)*100</f>
        <v>-1.3299999999999998</v>
      </c>
      <c r="R126" s="75">
        <f>VLOOKUP($A126,'Data Vlaue (Cr)'!$C:$FB,125)</f>
        <v>0.43</v>
      </c>
      <c r="S126" s="75">
        <f>VLOOKUP($A126,'Data Vlaue (Cr)'!$C:$FB,128)*100</f>
        <v>-29.509999999999998</v>
      </c>
    </row>
    <row r="127" spans="1:19" x14ac:dyDescent="0.25">
      <c r="A127" s="96" t="str">
        <f>'Data Vlaue (Cr)'!C118</f>
        <v>LODHA</v>
      </c>
      <c r="B127" s="75">
        <f>VLOOKUP($A127,'Data Vlaue (Cr)'!$C:$FB,2)</f>
        <v>450</v>
      </c>
      <c r="C127" s="75">
        <f>VLOOKUP($A127,'Data Vlaue (Cr)'!$C:$FB,8)</f>
        <v>1072.8</v>
      </c>
      <c r="D127" s="75">
        <f>VLOOKUP($A127,'Data Vlaue (Cr)'!$C:$FB,4)</f>
        <v>1078.4000000000001</v>
      </c>
      <c r="E127" s="75">
        <f>VLOOKUP($A127,'Data Vlaue (Cr)'!$C:$FB,5)</f>
        <v>1068</v>
      </c>
      <c r="F127" s="75">
        <f t="shared" si="6"/>
        <v>5.6000000000001364</v>
      </c>
      <c r="G127" s="75">
        <f t="shared" si="7"/>
        <v>0.96439169139466707</v>
      </c>
      <c r="H127" s="75">
        <f>VLOOKUP($A127,'Data Vlaue (Cr)'!$C:$FB,99)</f>
        <v>1634</v>
      </c>
      <c r="I127" s="75">
        <f>VLOOKUP($A127,'Data Vlaue (Cr)'!$C:$FB,100)</f>
        <v>1615</v>
      </c>
      <c r="J127" s="75">
        <f t="shared" si="8"/>
        <v>19</v>
      </c>
      <c r="K127" s="75">
        <f t="shared" si="9"/>
        <v>1.1627906976744187</v>
      </c>
      <c r="L127" s="75">
        <f>VLOOKUP($A127,'Data Vlaue (Cr)'!$C:$FB,67)</f>
        <v>213</v>
      </c>
      <c r="M127" s="75">
        <f>VLOOKUP($A127,'Data Vlaue (Cr)'!$C:$FB,68)</f>
        <v>233</v>
      </c>
      <c r="N127" s="75">
        <f t="shared" si="10"/>
        <v>-20</v>
      </c>
      <c r="O127" s="75">
        <f t="shared" si="11"/>
        <v>-9.3896713615023462</v>
      </c>
      <c r="P127" s="75">
        <f>VLOOKUP($A127,'Data Vlaue (Cr)'!$C:$FB,119)</f>
        <v>1.02</v>
      </c>
      <c r="Q127" s="75">
        <f>VLOOKUP($A127,'Data Vlaue (Cr)'!$C:$FB,122)*100</f>
        <v>-4.67</v>
      </c>
      <c r="R127" s="75">
        <f>VLOOKUP($A127,'Data Vlaue (Cr)'!$C:$FB,125)</f>
        <v>0.4</v>
      </c>
      <c r="S127" s="75">
        <f>VLOOKUP($A127,'Data Vlaue (Cr)'!$C:$FB,128)*100</f>
        <v>-13.04</v>
      </c>
    </row>
    <row r="128" spans="1:19" x14ac:dyDescent="0.25">
      <c r="A128" s="96" t="str">
        <f>'Data Vlaue (Cr)'!C119</f>
        <v>LT</v>
      </c>
      <c r="B128" s="75">
        <f>VLOOKUP($A128,'Data Vlaue (Cr)'!$C:$FB,2)</f>
        <v>175</v>
      </c>
      <c r="C128" s="75">
        <f>VLOOKUP($A128,'Data Vlaue (Cr)'!$C:$FB,8)</f>
        <v>4140.3999999999996</v>
      </c>
      <c r="D128" s="75">
        <f>VLOOKUP($A128,'Data Vlaue (Cr)'!$C:$FB,4)</f>
        <v>4156.8</v>
      </c>
      <c r="E128" s="75">
        <f>VLOOKUP($A128,'Data Vlaue (Cr)'!$C:$FB,5)</f>
        <v>4107.5</v>
      </c>
      <c r="F128" s="75">
        <f t="shared" si="6"/>
        <v>16.400000000000546</v>
      </c>
      <c r="G128" s="75">
        <f t="shared" si="7"/>
        <v>1.1860084680523524</v>
      </c>
      <c r="H128" s="75">
        <f>VLOOKUP($A128,'Data Vlaue (Cr)'!$C:$FB,99)</f>
        <v>7636</v>
      </c>
      <c r="I128" s="75">
        <f>VLOOKUP($A128,'Data Vlaue (Cr)'!$C:$FB,100)</f>
        <v>7257</v>
      </c>
      <c r="J128" s="75">
        <f t="shared" si="8"/>
        <v>379</v>
      </c>
      <c r="K128" s="75">
        <f t="shared" si="9"/>
        <v>4.9633315872184394</v>
      </c>
      <c r="L128" s="75">
        <f>VLOOKUP($A128,'Data Vlaue (Cr)'!$C:$FB,67)</f>
        <v>3942</v>
      </c>
      <c r="M128" s="75">
        <f>VLOOKUP($A128,'Data Vlaue (Cr)'!$C:$FB,68)</f>
        <v>2849</v>
      </c>
      <c r="N128" s="75">
        <f t="shared" si="10"/>
        <v>1093</v>
      </c>
      <c r="O128" s="75">
        <f t="shared" si="11"/>
        <v>27.727042110603755</v>
      </c>
      <c r="P128" s="75">
        <f>VLOOKUP($A128,'Data Vlaue (Cr)'!$C:$FB,119)</f>
        <v>0.71</v>
      </c>
      <c r="Q128" s="75">
        <f>VLOOKUP($A128,'Data Vlaue (Cr)'!$C:$FB,122)*100</f>
        <v>-2.74</v>
      </c>
      <c r="R128" s="75">
        <f>VLOOKUP($A128,'Data Vlaue (Cr)'!$C:$FB,125)</f>
        <v>0.46</v>
      </c>
      <c r="S128" s="75">
        <f>VLOOKUP($A128,'Data Vlaue (Cr)'!$C:$FB,128)*100</f>
        <v>-16.36</v>
      </c>
    </row>
    <row r="129" spans="1:19" x14ac:dyDescent="0.25">
      <c r="A129" s="96" t="str">
        <f>'Data Vlaue (Cr)'!C120</f>
        <v>LTF</v>
      </c>
      <c r="B129" s="75">
        <f>VLOOKUP($A129,'Data Vlaue (Cr)'!$C:$FB,2)</f>
        <v>2250</v>
      </c>
      <c r="C129" s="75">
        <f>VLOOKUP($A129,'Data Vlaue (Cr)'!$C:$FB,8)</f>
        <v>317.25</v>
      </c>
      <c r="D129" s="75">
        <f>VLOOKUP($A129,'Data Vlaue (Cr)'!$C:$FB,4)</f>
        <v>318.75</v>
      </c>
      <c r="E129" s="75">
        <f>VLOOKUP($A129,'Data Vlaue (Cr)'!$C:$FB,5)</f>
        <v>316.25</v>
      </c>
      <c r="F129" s="75">
        <f t="shared" si="6"/>
        <v>1.5</v>
      </c>
      <c r="G129" s="75">
        <f t="shared" si="7"/>
        <v>0.78431372549019607</v>
      </c>
      <c r="H129" s="75">
        <f>VLOOKUP($A129,'Data Vlaue (Cr)'!$C:$FB,99)</f>
        <v>2351</v>
      </c>
      <c r="I129" s="75">
        <f>VLOOKUP($A129,'Data Vlaue (Cr)'!$C:$FB,100)</f>
        <v>2323</v>
      </c>
      <c r="J129" s="75">
        <f t="shared" si="8"/>
        <v>28</v>
      </c>
      <c r="K129" s="75">
        <f t="shared" si="9"/>
        <v>1.1909825606125053</v>
      </c>
      <c r="L129" s="75">
        <f>VLOOKUP($A129,'Data Vlaue (Cr)'!$C:$FB,67)</f>
        <v>1911</v>
      </c>
      <c r="M129" s="75">
        <f>VLOOKUP($A129,'Data Vlaue (Cr)'!$C:$FB,68)</f>
        <v>3385</v>
      </c>
      <c r="N129" s="75">
        <f t="shared" si="10"/>
        <v>-1474</v>
      </c>
      <c r="O129" s="75">
        <f t="shared" si="11"/>
        <v>-77.132391418105712</v>
      </c>
      <c r="P129" s="75">
        <f>VLOOKUP($A129,'Data Vlaue (Cr)'!$C:$FB,119)</f>
        <v>0.73</v>
      </c>
      <c r="Q129" s="75">
        <f>VLOOKUP($A129,'Data Vlaue (Cr)'!$C:$FB,122)*100</f>
        <v>5.8000000000000007</v>
      </c>
      <c r="R129" s="75">
        <f>VLOOKUP($A129,'Data Vlaue (Cr)'!$C:$FB,125)</f>
        <v>0.39</v>
      </c>
      <c r="S129" s="75">
        <f>VLOOKUP($A129,'Data Vlaue (Cr)'!$C:$FB,128)*100</f>
        <v>5.41</v>
      </c>
    </row>
    <row r="130" spans="1:19" x14ac:dyDescent="0.25">
      <c r="A130" s="96" t="str">
        <f>'Data Vlaue (Cr)'!C121</f>
        <v>LTIM</v>
      </c>
      <c r="B130" s="75">
        <f>VLOOKUP($A130,'Data Vlaue (Cr)'!$C:$FB,2)</f>
        <v>150</v>
      </c>
      <c r="C130" s="75">
        <f>VLOOKUP($A130,'Data Vlaue (Cr)'!$C:$FB,8)</f>
        <v>6112</v>
      </c>
      <c r="D130" s="75">
        <f>VLOOKUP($A130,'Data Vlaue (Cr)'!$C:$FB,4)</f>
        <v>6128</v>
      </c>
      <c r="E130" s="75">
        <f>VLOOKUP($A130,'Data Vlaue (Cr)'!$C:$FB,5)</f>
        <v>6081</v>
      </c>
      <c r="F130" s="75">
        <f t="shared" si="6"/>
        <v>16</v>
      </c>
      <c r="G130" s="75">
        <f t="shared" si="7"/>
        <v>0.76697127937336818</v>
      </c>
      <c r="H130" s="75">
        <f>VLOOKUP($A130,'Data Vlaue (Cr)'!$C:$FB,99)</f>
        <v>1819</v>
      </c>
      <c r="I130" s="75">
        <f>VLOOKUP($A130,'Data Vlaue (Cr)'!$C:$FB,100)</f>
        <v>1742</v>
      </c>
      <c r="J130" s="75">
        <f t="shared" si="8"/>
        <v>77</v>
      </c>
      <c r="K130" s="75">
        <f t="shared" si="9"/>
        <v>4.2330951072017591</v>
      </c>
      <c r="L130" s="75">
        <f>VLOOKUP($A130,'Data Vlaue (Cr)'!$C:$FB,67)</f>
        <v>590</v>
      </c>
      <c r="M130" s="75">
        <f>VLOOKUP($A130,'Data Vlaue (Cr)'!$C:$FB,68)</f>
        <v>653</v>
      </c>
      <c r="N130" s="75">
        <f t="shared" si="10"/>
        <v>-63</v>
      </c>
      <c r="O130" s="75">
        <f t="shared" si="11"/>
        <v>-10.677966101694915</v>
      </c>
      <c r="P130" s="75">
        <f>VLOOKUP($A130,'Data Vlaue (Cr)'!$C:$FB,119)</f>
        <v>0.87</v>
      </c>
      <c r="Q130" s="75">
        <f>VLOOKUP($A130,'Data Vlaue (Cr)'!$C:$FB,122)*100</f>
        <v>-15.53</v>
      </c>
      <c r="R130" s="75">
        <f>VLOOKUP($A130,'Data Vlaue (Cr)'!$C:$FB,125)</f>
        <v>0.5</v>
      </c>
      <c r="S130" s="75">
        <f>VLOOKUP($A130,'Data Vlaue (Cr)'!$C:$FB,128)*100</f>
        <v>-20.630000000000003</v>
      </c>
    </row>
    <row r="131" spans="1:19" x14ac:dyDescent="0.25">
      <c r="A131" s="96" t="str">
        <f>'Data Vlaue (Cr)'!C122</f>
        <v>LUPIN</v>
      </c>
      <c r="B131" s="75">
        <f>VLOOKUP($A131,'Data Vlaue (Cr)'!$C:$FB,2)</f>
        <v>425</v>
      </c>
      <c r="C131" s="75">
        <f>VLOOKUP($A131,'Data Vlaue (Cr)'!$C:$FB,8)</f>
        <v>2102.8000000000002</v>
      </c>
      <c r="D131" s="75">
        <f>VLOOKUP($A131,'Data Vlaue (Cr)'!$C:$FB,4)</f>
        <v>2112</v>
      </c>
      <c r="E131" s="75">
        <f>VLOOKUP($A131,'Data Vlaue (Cr)'!$C:$FB,5)</f>
        <v>2115.3000000000002</v>
      </c>
      <c r="F131" s="75">
        <f t="shared" si="6"/>
        <v>9.1999999999998181</v>
      </c>
      <c r="G131" s="75">
        <f t="shared" si="7"/>
        <v>-0.1562500000000086</v>
      </c>
      <c r="H131" s="75">
        <f>VLOOKUP($A131,'Data Vlaue (Cr)'!$C:$FB,99)</f>
        <v>1906</v>
      </c>
      <c r="I131" s="75">
        <f>VLOOKUP($A131,'Data Vlaue (Cr)'!$C:$FB,100)</f>
        <v>1879</v>
      </c>
      <c r="J131" s="75">
        <f t="shared" si="8"/>
        <v>27</v>
      </c>
      <c r="K131" s="75">
        <f t="shared" si="9"/>
        <v>1.4165792235047219</v>
      </c>
      <c r="L131" s="75">
        <f>VLOOKUP($A131,'Data Vlaue (Cr)'!$C:$FB,67)</f>
        <v>468</v>
      </c>
      <c r="M131" s="75">
        <f>VLOOKUP($A131,'Data Vlaue (Cr)'!$C:$FB,68)</f>
        <v>707</v>
      </c>
      <c r="N131" s="75">
        <f t="shared" si="10"/>
        <v>-239</v>
      </c>
      <c r="O131" s="75">
        <f t="shared" si="11"/>
        <v>-51.068376068376068</v>
      </c>
      <c r="P131" s="75">
        <f>VLOOKUP($A131,'Data Vlaue (Cr)'!$C:$FB,119)</f>
        <v>0.86</v>
      </c>
      <c r="Q131" s="75">
        <f>VLOOKUP($A131,'Data Vlaue (Cr)'!$C:$FB,122)*100</f>
        <v>-4.4400000000000004</v>
      </c>
      <c r="R131" s="75">
        <f>VLOOKUP($A131,'Data Vlaue (Cr)'!$C:$FB,125)</f>
        <v>0.5</v>
      </c>
      <c r="S131" s="75">
        <f>VLOOKUP($A131,'Data Vlaue (Cr)'!$C:$FB,128)*100</f>
        <v>-5.66</v>
      </c>
    </row>
    <row r="132" spans="1:19" x14ac:dyDescent="0.25">
      <c r="A132" s="96" t="str">
        <f>'Data Vlaue (Cr)'!C123</f>
        <v>M&amp;M</v>
      </c>
      <c r="B132" s="75">
        <f>VLOOKUP($A132,'Data Vlaue (Cr)'!$C:$FB,2)</f>
        <v>200</v>
      </c>
      <c r="C132" s="75">
        <f>VLOOKUP($A132,'Data Vlaue (Cr)'!$C:$FB,8)</f>
        <v>3761</v>
      </c>
      <c r="D132" s="75">
        <f>VLOOKUP($A132,'Data Vlaue (Cr)'!$C:$FB,4)</f>
        <v>3783.5</v>
      </c>
      <c r="E132" s="75">
        <f>VLOOKUP($A132,'Data Vlaue (Cr)'!$C:$FB,5)</f>
        <v>3733.4</v>
      </c>
      <c r="F132" s="75">
        <f t="shared" si="6"/>
        <v>22.5</v>
      </c>
      <c r="G132" s="75">
        <f t="shared" si="7"/>
        <v>1.3241707413770294</v>
      </c>
      <c r="H132" s="75">
        <f>VLOOKUP($A132,'Data Vlaue (Cr)'!$C:$FB,99)</f>
        <v>8536</v>
      </c>
      <c r="I132" s="75">
        <f>VLOOKUP($A132,'Data Vlaue (Cr)'!$C:$FB,100)</f>
        <v>8289</v>
      </c>
      <c r="J132" s="75">
        <f t="shared" si="8"/>
        <v>247</v>
      </c>
      <c r="K132" s="75">
        <f t="shared" si="9"/>
        <v>2.8936269915651356</v>
      </c>
      <c r="L132" s="75">
        <f>VLOOKUP($A132,'Data Vlaue (Cr)'!$C:$FB,67)</f>
        <v>6801</v>
      </c>
      <c r="M132" s="75">
        <f>VLOOKUP($A132,'Data Vlaue (Cr)'!$C:$FB,68)</f>
        <v>4591</v>
      </c>
      <c r="N132" s="75">
        <f t="shared" si="10"/>
        <v>2210</v>
      </c>
      <c r="O132" s="75">
        <f t="shared" si="11"/>
        <v>32.49522129098662</v>
      </c>
      <c r="P132" s="75">
        <f>VLOOKUP($A132,'Data Vlaue (Cr)'!$C:$FB,119)</f>
        <v>0.72</v>
      </c>
      <c r="Q132" s="75">
        <f>VLOOKUP($A132,'Data Vlaue (Cr)'!$C:$FB,122)*100</f>
        <v>-8.86</v>
      </c>
      <c r="R132" s="75">
        <f>VLOOKUP($A132,'Data Vlaue (Cr)'!$C:$FB,125)</f>
        <v>0.34</v>
      </c>
      <c r="S132" s="75">
        <f>VLOOKUP($A132,'Data Vlaue (Cr)'!$C:$FB,128)*100</f>
        <v>-26.090000000000003</v>
      </c>
    </row>
    <row r="133" spans="1:19" x14ac:dyDescent="0.25">
      <c r="A133" s="96" t="str">
        <f>'Data Vlaue (Cr)'!C124</f>
        <v>MANAPPURAM</v>
      </c>
      <c r="B133" s="75">
        <f>VLOOKUP($A133,'Data Vlaue (Cr)'!$C:$FB,2)</f>
        <v>3000</v>
      </c>
      <c r="C133" s="75">
        <f>VLOOKUP($A133,'Data Vlaue (Cr)'!$C:$FB,8)</f>
        <v>314.10000000000002</v>
      </c>
      <c r="D133" s="75">
        <f>VLOOKUP($A133,'Data Vlaue (Cr)'!$C:$FB,4)</f>
        <v>315.64999999999998</v>
      </c>
      <c r="E133" s="75">
        <f>VLOOKUP($A133,'Data Vlaue (Cr)'!$C:$FB,5)</f>
        <v>310.3</v>
      </c>
      <c r="F133" s="75">
        <f t="shared" si="6"/>
        <v>1.5499999999999545</v>
      </c>
      <c r="G133" s="75">
        <f t="shared" si="7"/>
        <v>1.6949152542372774</v>
      </c>
      <c r="H133" s="75">
        <f>VLOOKUP($A133,'Data Vlaue (Cr)'!$C:$FB,99)</f>
        <v>1797</v>
      </c>
      <c r="I133" s="75">
        <f>VLOOKUP($A133,'Data Vlaue (Cr)'!$C:$FB,100)</f>
        <v>1781</v>
      </c>
      <c r="J133" s="75">
        <f t="shared" si="8"/>
        <v>16</v>
      </c>
      <c r="K133" s="75">
        <f t="shared" si="9"/>
        <v>0.89037284362826941</v>
      </c>
      <c r="L133" s="75">
        <f>VLOOKUP($A133,'Data Vlaue (Cr)'!$C:$FB,67)</f>
        <v>772</v>
      </c>
      <c r="M133" s="75">
        <f>VLOOKUP($A133,'Data Vlaue (Cr)'!$C:$FB,68)</f>
        <v>811</v>
      </c>
      <c r="N133" s="75">
        <f t="shared" si="10"/>
        <v>-39</v>
      </c>
      <c r="O133" s="75">
        <f t="shared" si="11"/>
        <v>-5.0518134715025909</v>
      </c>
      <c r="P133" s="75">
        <f>VLOOKUP($A133,'Data Vlaue (Cr)'!$C:$FB,119)</f>
        <v>0.66</v>
      </c>
      <c r="Q133" s="75">
        <f>VLOOKUP($A133,'Data Vlaue (Cr)'!$C:$FB,122)*100</f>
        <v>15.790000000000001</v>
      </c>
      <c r="R133" s="75">
        <f>VLOOKUP($A133,'Data Vlaue (Cr)'!$C:$FB,125)</f>
        <v>0.38</v>
      </c>
      <c r="S133" s="75">
        <f>VLOOKUP($A133,'Data Vlaue (Cr)'!$C:$FB,128)*100</f>
        <v>-30.91</v>
      </c>
    </row>
    <row r="134" spans="1:19" x14ac:dyDescent="0.25">
      <c r="A134" s="96" t="str">
        <f>'Data Vlaue (Cr)'!C125</f>
        <v>MANKIND</v>
      </c>
      <c r="B134" s="75">
        <f>VLOOKUP($A134,'Data Vlaue (Cr)'!$C:$FB,2)</f>
        <v>225</v>
      </c>
      <c r="C134" s="75">
        <f>VLOOKUP($A134,'Data Vlaue (Cr)'!$C:$FB,8)</f>
        <v>2164.6</v>
      </c>
      <c r="D134" s="75">
        <f>VLOOKUP($A134,'Data Vlaue (Cr)'!$C:$FB,4)</f>
        <v>2172.9</v>
      </c>
      <c r="E134" s="75">
        <f>VLOOKUP($A134,'Data Vlaue (Cr)'!$C:$FB,5)</f>
        <v>2203.3000000000002</v>
      </c>
      <c r="F134" s="75">
        <f t="shared" si="6"/>
        <v>8.3000000000001819</v>
      </c>
      <c r="G134" s="75">
        <f t="shared" si="7"/>
        <v>-1.3990519582125311</v>
      </c>
      <c r="H134" s="75">
        <f>VLOOKUP($A134,'Data Vlaue (Cr)'!$C:$FB,99)</f>
        <v>605</v>
      </c>
      <c r="I134" s="75">
        <f>VLOOKUP($A134,'Data Vlaue (Cr)'!$C:$FB,100)</f>
        <v>585</v>
      </c>
      <c r="J134" s="75">
        <f t="shared" si="8"/>
        <v>20</v>
      </c>
      <c r="K134" s="75">
        <f t="shared" si="9"/>
        <v>3.3057851239669422</v>
      </c>
      <c r="L134" s="75">
        <f>VLOOKUP($A134,'Data Vlaue (Cr)'!$C:$FB,67)</f>
        <v>132</v>
      </c>
      <c r="M134" s="75">
        <f>VLOOKUP($A134,'Data Vlaue (Cr)'!$C:$FB,68)</f>
        <v>256</v>
      </c>
      <c r="N134" s="75">
        <f t="shared" si="10"/>
        <v>-124</v>
      </c>
      <c r="O134" s="75">
        <f t="shared" si="11"/>
        <v>-93.939393939393938</v>
      </c>
      <c r="P134" s="75">
        <f>VLOOKUP($A134,'Data Vlaue (Cr)'!$C:$FB,119)</f>
        <v>0.82</v>
      </c>
      <c r="Q134" s="75">
        <f>VLOOKUP($A134,'Data Vlaue (Cr)'!$C:$FB,122)*100</f>
        <v>-8.89</v>
      </c>
      <c r="R134" s="75">
        <f>VLOOKUP($A134,'Data Vlaue (Cr)'!$C:$FB,125)</f>
        <v>0.39</v>
      </c>
      <c r="S134" s="75">
        <f>VLOOKUP($A134,'Data Vlaue (Cr)'!$C:$FB,128)*100</f>
        <v>30</v>
      </c>
    </row>
    <row r="135" spans="1:19" x14ac:dyDescent="0.25">
      <c r="A135" s="96" t="str">
        <f>'Data Vlaue (Cr)'!C126</f>
        <v>MARICO</v>
      </c>
      <c r="B135" s="75">
        <f>VLOOKUP($A135,'Data Vlaue (Cr)'!$C:$FB,2)</f>
        <v>1200</v>
      </c>
      <c r="C135" s="75">
        <f>VLOOKUP($A135,'Data Vlaue (Cr)'!$C:$FB,8)</f>
        <v>760.45</v>
      </c>
      <c r="D135" s="75">
        <f>VLOOKUP($A135,'Data Vlaue (Cr)'!$C:$FB,4)</f>
        <v>764.2</v>
      </c>
      <c r="E135" s="75">
        <f>VLOOKUP($A135,'Data Vlaue (Cr)'!$C:$FB,5)</f>
        <v>753.5</v>
      </c>
      <c r="F135" s="75">
        <f t="shared" si="6"/>
        <v>3.75</v>
      </c>
      <c r="G135" s="75">
        <f t="shared" si="7"/>
        <v>1.4001570269563</v>
      </c>
      <c r="H135" s="75">
        <f>VLOOKUP($A135,'Data Vlaue (Cr)'!$C:$FB,99)</f>
        <v>2934</v>
      </c>
      <c r="I135" s="75">
        <f>VLOOKUP($A135,'Data Vlaue (Cr)'!$C:$FB,100)</f>
        <v>2813</v>
      </c>
      <c r="J135" s="75">
        <f t="shared" si="8"/>
        <v>121</v>
      </c>
      <c r="K135" s="75">
        <f t="shared" si="9"/>
        <v>4.124062713019768</v>
      </c>
      <c r="L135" s="75">
        <f>VLOOKUP($A135,'Data Vlaue (Cr)'!$C:$FB,67)</f>
        <v>673</v>
      </c>
      <c r="M135" s="75">
        <f>VLOOKUP($A135,'Data Vlaue (Cr)'!$C:$FB,68)</f>
        <v>511</v>
      </c>
      <c r="N135" s="75">
        <f t="shared" si="10"/>
        <v>162</v>
      </c>
      <c r="O135" s="75">
        <f t="shared" si="11"/>
        <v>24.071322436849925</v>
      </c>
      <c r="P135" s="75">
        <f>VLOOKUP($A135,'Data Vlaue (Cr)'!$C:$FB,119)</f>
        <v>0.69</v>
      </c>
      <c r="Q135" s="75">
        <f>VLOOKUP($A135,'Data Vlaue (Cr)'!$C:$FB,122)*100</f>
        <v>18.970000000000002</v>
      </c>
      <c r="R135" s="75">
        <f>VLOOKUP($A135,'Data Vlaue (Cr)'!$C:$FB,125)</f>
        <v>0.42</v>
      </c>
      <c r="S135" s="75">
        <f>VLOOKUP($A135,'Data Vlaue (Cr)'!$C:$FB,128)*100</f>
        <v>27.27</v>
      </c>
    </row>
    <row r="136" spans="1:19" x14ac:dyDescent="0.25">
      <c r="A136" s="96" t="str">
        <f>'Data Vlaue (Cr)'!C127</f>
        <v>MARUTI</v>
      </c>
      <c r="B136" s="75">
        <f>VLOOKUP($A136,'Data Vlaue (Cr)'!$C:$FB,2)</f>
        <v>50</v>
      </c>
      <c r="C136" s="75">
        <f>VLOOKUP($A136,'Data Vlaue (Cr)'!$C:$FB,8)</f>
        <v>16708</v>
      </c>
      <c r="D136" s="75">
        <f>VLOOKUP($A136,'Data Vlaue (Cr)'!$C:$FB,4)</f>
        <v>16792</v>
      </c>
      <c r="E136" s="75">
        <f>VLOOKUP($A136,'Data Vlaue (Cr)'!$C:$FB,5)</f>
        <v>16808</v>
      </c>
      <c r="F136" s="75">
        <f t="shared" si="6"/>
        <v>84</v>
      </c>
      <c r="G136" s="75">
        <f t="shared" si="7"/>
        <v>-9.5283468318246786E-2</v>
      </c>
      <c r="H136" s="75">
        <f>VLOOKUP($A136,'Data Vlaue (Cr)'!$C:$FB,99)</f>
        <v>7427</v>
      </c>
      <c r="I136" s="75">
        <f>VLOOKUP($A136,'Data Vlaue (Cr)'!$C:$FB,100)</f>
        <v>7073</v>
      </c>
      <c r="J136" s="75">
        <f t="shared" si="8"/>
        <v>354</v>
      </c>
      <c r="K136" s="75">
        <f t="shared" si="9"/>
        <v>4.7663928908038233</v>
      </c>
      <c r="L136" s="75">
        <f>VLOOKUP($A136,'Data Vlaue (Cr)'!$C:$FB,67)</f>
        <v>5625</v>
      </c>
      <c r="M136" s="75">
        <f>VLOOKUP($A136,'Data Vlaue (Cr)'!$C:$FB,68)</f>
        <v>5504</v>
      </c>
      <c r="N136" s="75">
        <f t="shared" si="10"/>
        <v>121</v>
      </c>
      <c r="O136" s="75">
        <f t="shared" si="11"/>
        <v>2.1511111111111112</v>
      </c>
      <c r="P136" s="75">
        <f>VLOOKUP($A136,'Data Vlaue (Cr)'!$C:$FB,119)</f>
        <v>0.91</v>
      </c>
      <c r="Q136" s="75">
        <f>VLOOKUP($A136,'Data Vlaue (Cr)'!$C:$FB,122)*100</f>
        <v>-2.15</v>
      </c>
      <c r="R136" s="75">
        <f>VLOOKUP($A136,'Data Vlaue (Cr)'!$C:$FB,125)</f>
        <v>0.68</v>
      </c>
      <c r="S136" s="75">
        <f>VLOOKUP($A136,'Data Vlaue (Cr)'!$C:$FB,128)*100</f>
        <v>6.25</v>
      </c>
    </row>
    <row r="137" spans="1:19" x14ac:dyDescent="0.25">
      <c r="A137" s="96" t="str">
        <f>'Data Vlaue (Cr)'!C128</f>
        <v>MAXHEALTH</v>
      </c>
      <c r="B137" s="75">
        <f>VLOOKUP($A137,'Data Vlaue (Cr)'!$C:$FB,2)</f>
        <v>525</v>
      </c>
      <c r="C137" s="75">
        <f>VLOOKUP($A137,'Data Vlaue (Cr)'!$C:$FB,8)</f>
        <v>1049.4000000000001</v>
      </c>
      <c r="D137" s="75">
        <f>VLOOKUP($A137,'Data Vlaue (Cr)'!$C:$FB,4)</f>
        <v>1053.8</v>
      </c>
      <c r="E137" s="75">
        <f>VLOOKUP($A137,'Data Vlaue (Cr)'!$C:$FB,5)</f>
        <v>1050.7</v>
      </c>
      <c r="F137" s="75">
        <f t="shared" si="6"/>
        <v>4.3999999999998636</v>
      </c>
      <c r="G137" s="75">
        <f t="shared" si="7"/>
        <v>0.29417346745112061</v>
      </c>
      <c r="H137" s="75">
        <f>VLOOKUP($A137,'Data Vlaue (Cr)'!$C:$FB,99)</f>
        <v>2742</v>
      </c>
      <c r="I137" s="75">
        <f>VLOOKUP($A137,'Data Vlaue (Cr)'!$C:$FB,100)</f>
        <v>2722</v>
      </c>
      <c r="J137" s="75">
        <f t="shared" si="8"/>
        <v>20</v>
      </c>
      <c r="K137" s="75">
        <f t="shared" si="9"/>
        <v>0.7293946024799417</v>
      </c>
      <c r="L137" s="75">
        <f>VLOOKUP($A137,'Data Vlaue (Cr)'!$C:$FB,67)</f>
        <v>422</v>
      </c>
      <c r="M137" s="75">
        <f>VLOOKUP($A137,'Data Vlaue (Cr)'!$C:$FB,68)</f>
        <v>602</v>
      </c>
      <c r="N137" s="75">
        <f t="shared" si="10"/>
        <v>-180</v>
      </c>
      <c r="O137" s="75">
        <f t="shared" si="11"/>
        <v>-42.654028436018962</v>
      </c>
      <c r="P137" s="75">
        <f>VLOOKUP($A137,'Data Vlaue (Cr)'!$C:$FB,119)</f>
        <v>0.85</v>
      </c>
      <c r="Q137" s="75">
        <f>VLOOKUP($A137,'Data Vlaue (Cr)'!$C:$FB,122)*100</f>
        <v>-4.49</v>
      </c>
      <c r="R137" s="75">
        <f>VLOOKUP($A137,'Data Vlaue (Cr)'!$C:$FB,125)</f>
        <v>0.37</v>
      </c>
      <c r="S137" s="75">
        <f>VLOOKUP($A137,'Data Vlaue (Cr)'!$C:$FB,128)*100</f>
        <v>-32.729999999999997</v>
      </c>
    </row>
    <row r="138" spans="1:19" x14ac:dyDescent="0.25">
      <c r="A138" s="96" t="str">
        <f>'Data Vlaue (Cr)'!C129</f>
        <v>MAZDOCK</v>
      </c>
      <c r="B138" s="75">
        <f>VLOOKUP($A138,'Data Vlaue (Cr)'!$C:$FB,2)</f>
        <v>200</v>
      </c>
      <c r="C138" s="75">
        <f>VLOOKUP($A138,'Data Vlaue (Cr)'!$C:$FB,8)</f>
        <v>2476.6999999999998</v>
      </c>
      <c r="D138" s="75">
        <f>VLOOKUP($A138,'Data Vlaue (Cr)'!$C:$FB,4)</f>
        <v>2493.5</v>
      </c>
      <c r="E138" s="75">
        <f>VLOOKUP($A138,'Data Vlaue (Cr)'!$C:$FB,5)</f>
        <v>2504.9</v>
      </c>
      <c r="F138" s="75">
        <f t="shared" si="6"/>
        <v>16.800000000000182</v>
      </c>
      <c r="G138" s="75">
        <f t="shared" si="7"/>
        <v>-0.45718869059555206</v>
      </c>
      <c r="H138" s="75">
        <f>VLOOKUP($A138,'Data Vlaue (Cr)'!$C:$FB,99)</f>
        <v>2680</v>
      </c>
      <c r="I138" s="75">
        <f>VLOOKUP($A138,'Data Vlaue (Cr)'!$C:$FB,100)</f>
        <v>2621</v>
      </c>
      <c r="J138" s="75">
        <f t="shared" si="8"/>
        <v>59</v>
      </c>
      <c r="K138" s="75">
        <f t="shared" si="9"/>
        <v>2.2014925373134329</v>
      </c>
      <c r="L138" s="75">
        <f>VLOOKUP($A138,'Data Vlaue (Cr)'!$C:$FB,67)</f>
        <v>1005</v>
      </c>
      <c r="M138" s="75">
        <f>VLOOKUP($A138,'Data Vlaue (Cr)'!$C:$FB,68)</f>
        <v>1670</v>
      </c>
      <c r="N138" s="75">
        <f t="shared" si="10"/>
        <v>-665</v>
      </c>
      <c r="O138" s="75">
        <f t="shared" si="11"/>
        <v>-66.169154228855717</v>
      </c>
      <c r="P138" s="75">
        <f>VLOOKUP($A138,'Data Vlaue (Cr)'!$C:$FB,119)</f>
        <v>0.49</v>
      </c>
      <c r="Q138" s="75">
        <f>VLOOKUP($A138,'Data Vlaue (Cr)'!$C:$FB,122)*100</f>
        <v>-3.92</v>
      </c>
      <c r="R138" s="75">
        <f>VLOOKUP($A138,'Data Vlaue (Cr)'!$C:$FB,125)</f>
        <v>0.39</v>
      </c>
      <c r="S138" s="75">
        <f>VLOOKUP($A138,'Data Vlaue (Cr)'!$C:$FB,128)*100</f>
        <v>8.33</v>
      </c>
    </row>
    <row r="139" spans="1:19" x14ac:dyDescent="0.25">
      <c r="A139" s="96" t="str">
        <f>'Data Vlaue (Cr)'!C130</f>
        <v>MCX</v>
      </c>
      <c r="B139" s="75">
        <f>VLOOKUP($A139,'Data Vlaue (Cr)'!$C:$FB,2)</f>
        <v>125</v>
      </c>
      <c r="C139" s="75">
        <f>VLOOKUP($A139,'Data Vlaue (Cr)'!$C:$FB,8)</f>
        <v>10989</v>
      </c>
      <c r="D139" s="75">
        <f>VLOOKUP($A139,'Data Vlaue (Cr)'!$C:$FB,4)</f>
        <v>11063</v>
      </c>
      <c r="E139" s="75">
        <f>VLOOKUP($A139,'Data Vlaue (Cr)'!$C:$FB,5)</f>
        <v>11195</v>
      </c>
      <c r="F139" s="75">
        <f t="shared" si="6"/>
        <v>74</v>
      </c>
      <c r="G139" s="75">
        <f t="shared" si="7"/>
        <v>-1.1931664105577149</v>
      </c>
      <c r="H139" s="75">
        <f>VLOOKUP($A139,'Data Vlaue (Cr)'!$C:$FB,99)</f>
        <v>6652</v>
      </c>
      <c r="I139" s="75">
        <f>VLOOKUP($A139,'Data Vlaue (Cr)'!$C:$FB,100)</f>
        <v>6305</v>
      </c>
      <c r="J139" s="75">
        <f t="shared" si="8"/>
        <v>347</v>
      </c>
      <c r="K139" s="75">
        <f t="shared" si="9"/>
        <v>5.2164762477450388</v>
      </c>
      <c r="L139" s="75">
        <f>VLOOKUP($A139,'Data Vlaue (Cr)'!$C:$FB,67)</f>
        <v>5177</v>
      </c>
      <c r="M139" s="75">
        <f>VLOOKUP($A139,'Data Vlaue (Cr)'!$C:$FB,68)</f>
        <v>10143</v>
      </c>
      <c r="N139" s="75">
        <f t="shared" si="10"/>
        <v>-4966</v>
      </c>
      <c r="O139" s="75">
        <f t="shared" si="11"/>
        <v>-95.924280471315441</v>
      </c>
      <c r="P139" s="75">
        <f>VLOOKUP($A139,'Data Vlaue (Cr)'!$C:$FB,119)</f>
        <v>0.66</v>
      </c>
      <c r="Q139" s="75">
        <f>VLOOKUP($A139,'Data Vlaue (Cr)'!$C:$FB,122)*100</f>
        <v>-4.3499999999999996</v>
      </c>
      <c r="R139" s="75">
        <f>VLOOKUP($A139,'Data Vlaue (Cr)'!$C:$FB,125)</f>
        <v>0.88</v>
      </c>
      <c r="S139" s="75">
        <f>VLOOKUP($A139,'Data Vlaue (Cr)'!$C:$FB,128)*100</f>
        <v>91.3</v>
      </c>
    </row>
    <row r="140" spans="1:19" x14ac:dyDescent="0.25">
      <c r="A140" s="96" t="str">
        <f>'Data Vlaue (Cr)'!C131</f>
        <v>MFSL</v>
      </c>
      <c r="B140" s="75">
        <f>VLOOKUP($A140,'Data Vlaue (Cr)'!$C:$FB,2)</f>
        <v>400</v>
      </c>
      <c r="C140" s="75">
        <f>VLOOKUP($A140,'Data Vlaue (Cr)'!$C:$FB,8)</f>
        <v>1674</v>
      </c>
      <c r="D140" s="75">
        <f>VLOOKUP($A140,'Data Vlaue (Cr)'!$C:$FB,4)</f>
        <v>1682.2</v>
      </c>
      <c r="E140" s="75">
        <f>VLOOKUP($A140,'Data Vlaue (Cr)'!$C:$FB,5)</f>
        <v>1683.1</v>
      </c>
      <c r="F140" s="75">
        <f t="shared" ref="F140:F176" si="12">D140-C140</f>
        <v>8.2000000000000455</v>
      </c>
      <c r="G140" s="75">
        <f t="shared" ref="G140:G176" si="13">(D140-E140)/D140*100</f>
        <v>-5.3501367257155125E-2</v>
      </c>
      <c r="H140" s="75">
        <f>VLOOKUP($A140,'Data Vlaue (Cr)'!$C:$FB,99)</f>
        <v>1567</v>
      </c>
      <c r="I140" s="75">
        <f>VLOOKUP($A140,'Data Vlaue (Cr)'!$C:$FB,100)</f>
        <v>1555</v>
      </c>
      <c r="J140" s="75">
        <f t="shared" ref="J140:J176" si="14">H140-I140</f>
        <v>12</v>
      </c>
      <c r="K140" s="75">
        <f t="shared" ref="K140:K176" si="15">J140/H140*100</f>
        <v>0.76579451180599878</v>
      </c>
      <c r="L140" s="75">
        <f>VLOOKUP($A140,'Data Vlaue (Cr)'!$C:$FB,67)</f>
        <v>185</v>
      </c>
      <c r="M140" s="75">
        <f>VLOOKUP($A140,'Data Vlaue (Cr)'!$C:$FB,68)</f>
        <v>415</v>
      </c>
      <c r="N140" s="75">
        <f t="shared" ref="N140:N176" si="16">L140-M140</f>
        <v>-230</v>
      </c>
      <c r="O140" s="75">
        <f t="shared" ref="O140:O176" si="17">N140/L140*100</f>
        <v>-124.32432432432432</v>
      </c>
      <c r="P140" s="75">
        <f>VLOOKUP($A140,'Data Vlaue (Cr)'!$C:$FB,119)</f>
        <v>0.75</v>
      </c>
      <c r="Q140" s="75">
        <f>VLOOKUP($A140,'Data Vlaue (Cr)'!$C:$FB,122)*100</f>
        <v>-3.85</v>
      </c>
      <c r="R140" s="75">
        <f>VLOOKUP($A140,'Data Vlaue (Cr)'!$C:$FB,125)</f>
        <v>0.6</v>
      </c>
      <c r="S140" s="75">
        <f>VLOOKUP($A140,'Data Vlaue (Cr)'!$C:$FB,128)*100</f>
        <v>-38.14</v>
      </c>
    </row>
    <row r="141" spans="1:19" x14ac:dyDescent="0.25">
      <c r="A141" s="96" t="str">
        <f>'Data Vlaue (Cr)'!C132</f>
        <v>MIDCPNIFTY</v>
      </c>
      <c r="B141" s="75">
        <f>VLOOKUP($A141,'Data Vlaue (Cr)'!$C:$FB,2)</f>
        <v>120</v>
      </c>
      <c r="C141" s="75">
        <f>VLOOKUP($A141,'Data Vlaue (Cr)'!$C:$FB,8)</f>
        <v>13843.6</v>
      </c>
      <c r="D141" s="75">
        <f>VLOOKUP($A141,'Data Vlaue (Cr)'!$C:$FB,4)</f>
        <v>13899.15</v>
      </c>
      <c r="E141" s="75">
        <f>VLOOKUP($A141,'Data Vlaue (Cr)'!$C:$FB,5)</f>
        <v>13841.3</v>
      </c>
      <c r="F141" s="75">
        <f t="shared" si="12"/>
        <v>55.549999999999272</v>
      </c>
      <c r="G141" s="75">
        <f t="shared" si="13"/>
        <v>0.4162125022033748</v>
      </c>
      <c r="H141" s="75">
        <f>VLOOKUP($A141,'Data Vlaue (Cr)'!$C:$FB,99)</f>
        <v>15049</v>
      </c>
      <c r="I141" s="75">
        <f>VLOOKUP($A141,'Data Vlaue (Cr)'!$C:$FB,100)</f>
        <v>13316</v>
      </c>
      <c r="J141" s="75">
        <f t="shared" si="14"/>
        <v>1733</v>
      </c>
      <c r="K141" s="75">
        <f t="shared" si="15"/>
        <v>11.515715329922253</v>
      </c>
      <c r="L141" s="75">
        <f>VLOOKUP($A141,'Data Vlaue (Cr)'!$C:$FB,67)</f>
        <v>28152</v>
      </c>
      <c r="M141" s="75">
        <f>VLOOKUP($A141,'Data Vlaue (Cr)'!$C:$FB,68)</f>
        <v>38759</v>
      </c>
      <c r="N141" s="75">
        <f t="shared" si="16"/>
        <v>-10607</v>
      </c>
      <c r="O141" s="75">
        <f t="shared" si="17"/>
        <v>-37.677607274793978</v>
      </c>
      <c r="P141" s="75">
        <f>VLOOKUP($A141,'Data Vlaue (Cr)'!$C:$FB,119)</f>
        <v>1.1599999999999999</v>
      </c>
      <c r="Q141" s="75">
        <f>VLOOKUP($A141,'Data Vlaue (Cr)'!$C:$FB,122)*100</f>
        <v>7.41</v>
      </c>
      <c r="R141" s="75">
        <f>VLOOKUP($A141,'Data Vlaue (Cr)'!$C:$FB,125)</f>
        <v>0.98</v>
      </c>
      <c r="S141" s="75">
        <f>VLOOKUP($A141,'Data Vlaue (Cr)'!$C:$FB,128)*100</f>
        <v>2.08</v>
      </c>
    </row>
    <row r="142" spans="1:19" x14ac:dyDescent="0.25">
      <c r="A142" s="96" t="str">
        <f>'Data Vlaue (Cr)'!C133</f>
        <v>MOTHERSON</v>
      </c>
      <c r="B142" s="75">
        <f>VLOOKUP($A142,'Data Vlaue (Cr)'!$C:$FB,2)</f>
        <v>6150</v>
      </c>
      <c r="C142" s="75">
        <f>VLOOKUP($A142,'Data Vlaue (Cr)'!$C:$FB,8)</f>
        <v>122.52</v>
      </c>
      <c r="D142" s="75">
        <f>VLOOKUP($A142,'Data Vlaue (Cr)'!$C:$FB,4)</f>
        <v>123.32</v>
      </c>
      <c r="E142" s="75">
        <f>VLOOKUP($A142,'Data Vlaue (Cr)'!$C:$FB,5)</f>
        <v>120.58</v>
      </c>
      <c r="F142" s="75">
        <f t="shared" si="12"/>
        <v>0.79999999999999716</v>
      </c>
      <c r="G142" s="75">
        <f t="shared" si="13"/>
        <v>2.2218618228997689</v>
      </c>
      <c r="H142" s="75">
        <f>VLOOKUP($A142,'Data Vlaue (Cr)'!$C:$FB,99)</f>
        <v>2640</v>
      </c>
      <c r="I142" s="75">
        <f>VLOOKUP($A142,'Data Vlaue (Cr)'!$C:$FB,100)</f>
        <v>2506</v>
      </c>
      <c r="J142" s="75">
        <f t="shared" si="14"/>
        <v>134</v>
      </c>
      <c r="K142" s="75">
        <f t="shared" si="15"/>
        <v>5.0757575757575761</v>
      </c>
      <c r="L142" s="75">
        <f>VLOOKUP($A142,'Data Vlaue (Cr)'!$C:$FB,67)</f>
        <v>1327</v>
      </c>
      <c r="M142" s="75">
        <f>VLOOKUP($A142,'Data Vlaue (Cr)'!$C:$FB,68)</f>
        <v>681</v>
      </c>
      <c r="N142" s="75">
        <f t="shared" si="16"/>
        <v>646</v>
      </c>
      <c r="O142" s="75">
        <f t="shared" si="17"/>
        <v>48.681235870384327</v>
      </c>
      <c r="P142" s="75">
        <f>VLOOKUP($A142,'Data Vlaue (Cr)'!$C:$FB,119)</f>
        <v>0.73</v>
      </c>
      <c r="Q142" s="75">
        <f>VLOOKUP($A142,'Data Vlaue (Cr)'!$C:$FB,122)*100</f>
        <v>19.670000000000002</v>
      </c>
      <c r="R142" s="75">
        <f>VLOOKUP($A142,'Data Vlaue (Cr)'!$C:$FB,125)</f>
        <v>0.33</v>
      </c>
      <c r="S142" s="75">
        <f>VLOOKUP($A142,'Data Vlaue (Cr)'!$C:$FB,128)*100</f>
        <v>-8.33</v>
      </c>
    </row>
    <row r="143" spans="1:19" x14ac:dyDescent="0.25">
      <c r="A143" s="96" t="str">
        <f>'Data Vlaue (Cr)'!C134</f>
        <v>MPHASIS</v>
      </c>
      <c r="B143" s="75">
        <f>VLOOKUP($A143,'Data Vlaue (Cr)'!$C:$FB,2)</f>
        <v>275</v>
      </c>
      <c r="C143" s="75">
        <f>VLOOKUP($A143,'Data Vlaue (Cr)'!$C:$FB,8)</f>
        <v>2828.6</v>
      </c>
      <c r="D143" s="75">
        <f>VLOOKUP($A143,'Data Vlaue (Cr)'!$C:$FB,4)</f>
        <v>2838.6</v>
      </c>
      <c r="E143" s="75">
        <f>VLOOKUP($A143,'Data Vlaue (Cr)'!$C:$FB,5)</f>
        <v>2802.6</v>
      </c>
      <c r="F143" s="75">
        <f t="shared" si="12"/>
        <v>10</v>
      </c>
      <c r="G143" s="75">
        <f t="shared" si="13"/>
        <v>1.2682308180088777</v>
      </c>
      <c r="H143" s="75">
        <f>VLOOKUP($A143,'Data Vlaue (Cr)'!$C:$FB,99)</f>
        <v>1864</v>
      </c>
      <c r="I143" s="75">
        <f>VLOOKUP($A143,'Data Vlaue (Cr)'!$C:$FB,100)</f>
        <v>1865</v>
      </c>
      <c r="J143" s="75">
        <f t="shared" si="14"/>
        <v>-1</v>
      </c>
      <c r="K143" s="75"/>
      <c r="L143" s="75">
        <f>VLOOKUP($A143,'Data Vlaue (Cr)'!$C:$FB,67)</f>
        <v>282</v>
      </c>
      <c r="M143" s="75">
        <f>VLOOKUP($A143,'Data Vlaue (Cr)'!$C:$FB,68)</f>
        <v>347</v>
      </c>
      <c r="N143" s="75">
        <f t="shared" si="16"/>
        <v>-65</v>
      </c>
      <c r="O143" s="75">
        <f t="shared" si="17"/>
        <v>-23.049645390070921</v>
      </c>
      <c r="P143" s="75">
        <f>VLOOKUP($A143,'Data Vlaue (Cr)'!$C:$FB,119)</f>
        <v>0.67</v>
      </c>
      <c r="Q143" s="75">
        <f>VLOOKUP($A143,'Data Vlaue (Cr)'!$C:$FB,122)*100</f>
        <v>-1.47</v>
      </c>
      <c r="R143" s="75">
        <f>VLOOKUP($A143,'Data Vlaue (Cr)'!$C:$FB,125)</f>
        <v>0.28000000000000003</v>
      </c>
      <c r="S143" s="75">
        <f>VLOOKUP($A143,'Data Vlaue (Cr)'!$C:$FB,128)*100</f>
        <v>-17.649999999999999</v>
      </c>
    </row>
    <row r="144" spans="1:19" x14ac:dyDescent="0.25">
      <c r="A144" s="96" t="str">
        <f>'Data Vlaue (Cr)'!C135</f>
        <v>MUTHOOTFIN</v>
      </c>
      <c r="B144" s="75">
        <f>VLOOKUP($A144,'Data Vlaue (Cr)'!$C:$FB,2)</f>
        <v>275</v>
      </c>
      <c r="C144" s="75">
        <f>VLOOKUP($A144,'Data Vlaue (Cr)'!$C:$FB,8)</f>
        <v>3839</v>
      </c>
      <c r="D144" s="75">
        <f>VLOOKUP($A144,'Data Vlaue (Cr)'!$C:$FB,4)</f>
        <v>3857.2</v>
      </c>
      <c r="E144" s="75">
        <f>VLOOKUP($A144,'Data Vlaue (Cr)'!$C:$FB,5)</f>
        <v>3834.4</v>
      </c>
      <c r="F144" s="75">
        <f t="shared" si="12"/>
        <v>18.199999999999818</v>
      </c>
      <c r="G144" s="75">
        <f t="shared" si="13"/>
        <v>0.59110235403919231</v>
      </c>
      <c r="H144" s="75">
        <f>VLOOKUP($A144,'Data Vlaue (Cr)'!$C:$FB,99)</f>
        <v>2448</v>
      </c>
      <c r="I144" s="75">
        <f>VLOOKUP($A144,'Data Vlaue (Cr)'!$C:$FB,100)</f>
        <v>2435</v>
      </c>
      <c r="J144" s="75">
        <f t="shared" si="14"/>
        <v>13</v>
      </c>
      <c r="K144" s="75">
        <f t="shared" si="15"/>
        <v>0.53104575163398693</v>
      </c>
      <c r="L144" s="75">
        <f>VLOOKUP($A144,'Data Vlaue (Cr)'!$C:$FB,67)</f>
        <v>1308</v>
      </c>
      <c r="M144" s="75">
        <f>VLOOKUP($A144,'Data Vlaue (Cr)'!$C:$FB,68)</f>
        <v>2603</v>
      </c>
      <c r="N144" s="75">
        <f t="shared" si="16"/>
        <v>-1295</v>
      </c>
      <c r="O144" s="75">
        <f t="shared" si="17"/>
        <v>-99.006116207951067</v>
      </c>
      <c r="P144" s="75">
        <f>VLOOKUP($A144,'Data Vlaue (Cr)'!$C:$FB,119)</f>
        <v>0.62</v>
      </c>
      <c r="Q144" s="75">
        <f>VLOOKUP($A144,'Data Vlaue (Cr)'!$C:$FB,122)*100</f>
        <v>3.3300000000000005</v>
      </c>
      <c r="R144" s="75">
        <f>VLOOKUP($A144,'Data Vlaue (Cr)'!$C:$FB,125)</f>
        <v>0.66</v>
      </c>
      <c r="S144" s="75">
        <f>VLOOKUP($A144,'Data Vlaue (Cr)'!$C:$FB,128)*100</f>
        <v>4.7600000000000007</v>
      </c>
    </row>
    <row r="145" spans="1:19" x14ac:dyDescent="0.25">
      <c r="A145" s="96" t="str">
        <f>'Data Vlaue (Cr)'!C136</f>
        <v>NATIONALUM</v>
      </c>
      <c r="B145" s="75">
        <f>VLOOKUP($A145,'Data Vlaue (Cr)'!$C:$FB,2)</f>
        <v>3750</v>
      </c>
      <c r="C145" s="75">
        <f>VLOOKUP($A145,'Data Vlaue (Cr)'!$C:$FB,8)</f>
        <v>314.60000000000002</v>
      </c>
      <c r="D145" s="75">
        <f>VLOOKUP($A145,'Data Vlaue (Cr)'!$C:$FB,4)</f>
        <v>316.14999999999998</v>
      </c>
      <c r="E145" s="75">
        <f>VLOOKUP($A145,'Data Vlaue (Cr)'!$C:$FB,5)</f>
        <v>316.14999999999998</v>
      </c>
      <c r="F145" s="75">
        <f t="shared" si="12"/>
        <v>1.5499999999999545</v>
      </c>
      <c r="G145" s="75">
        <f t="shared" si="13"/>
        <v>0</v>
      </c>
      <c r="H145" s="75">
        <f>VLOOKUP($A145,'Data Vlaue (Cr)'!$C:$FB,99)</f>
        <v>3402</v>
      </c>
      <c r="I145" s="75">
        <f>VLOOKUP($A145,'Data Vlaue (Cr)'!$C:$FB,100)</f>
        <v>3451</v>
      </c>
      <c r="J145" s="75">
        <f t="shared" si="14"/>
        <v>-49</v>
      </c>
      <c r="K145" s="75">
        <f t="shared" si="15"/>
        <v>-1.440329218106996</v>
      </c>
      <c r="L145" s="75">
        <f>VLOOKUP($A145,'Data Vlaue (Cr)'!$C:$FB,67)</f>
        <v>1450</v>
      </c>
      <c r="M145" s="75">
        <f>VLOOKUP($A145,'Data Vlaue (Cr)'!$C:$FB,68)</f>
        <v>4401</v>
      </c>
      <c r="N145" s="75">
        <f t="shared" si="16"/>
        <v>-2951</v>
      </c>
      <c r="O145" s="75">
        <f t="shared" si="17"/>
        <v>-203.51724137931035</v>
      </c>
      <c r="P145" s="75">
        <f>VLOOKUP($A145,'Data Vlaue (Cr)'!$C:$FB,119)</f>
        <v>0.75</v>
      </c>
      <c r="Q145" s="75">
        <f>VLOOKUP($A145,'Data Vlaue (Cr)'!$C:$FB,122)*100</f>
        <v>-3.85</v>
      </c>
      <c r="R145" s="75">
        <f>VLOOKUP($A145,'Data Vlaue (Cr)'!$C:$FB,125)</f>
        <v>0.51</v>
      </c>
      <c r="S145" s="75">
        <f>VLOOKUP($A145,'Data Vlaue (Cr)'!$C:$FB,128)*100</f>
        <v>41.67</v>
      </c>
    </row>
    <row r="146" spans="1:19" x14ac:dyDescent="0.25">
      <c r="A146" s="96" t="str">
        <f>'Data Vlaue (Cr)'!C137</f>
        <v>NAUKRI</v>
      </c>
      <c r="B146" s="75">
        <f>VLOOKUP($A146,'Data Vlaue (Cr)'!$C:$FB,2)</f>
        <v>375</v>
      </c>
      <c r="C146" s="75">
        <f>VLOOKUP($A146,'Data Vlaue (Cr)'!$C:$FB,8)</f>
        <v>1340.9</v>
      </c>
      <c r="D146" s="75">
        <f>VLOOKUP($A146,'Data Vlaue (Cr)'!$C:$FB,4)</f>
        <v>1347.4</v>
      </c>
      <c r="E146" s="75">
        <f>VLOOKUP($A146,'Data Vlaue (Cr)'!$C:$FB,5)</f>
        <v>1341.5</v>
      </c>
      <c r="F146" s="75">
        <f t="shared" si="12"/>
        <v>6.5</v>
      </c>
      <c r="G146" s="75">
        <f t="shared" si="13"/>
        <v>0.43788036217901816</v>
      </c>
      <c r="H146" s="75">
        <f>VLOOKUP($A146,'Data Vlaue (Cr)'!$C:$FB,99)</f>
        <v>1426</v>
      </c>
      <c r="I146" s="75">
        <f>VLOOKUP($A146,'Data Vlaue (Cr)'!$C:$FB,100)</f>
        <v>1386</v>
      </c>
      <c r="J146" s="75">
        <f t="shared" si="14"/>
        <v>40</v>
      </c>
      <c r="K146" s="75">
        <f t="shared" si="15"/>
        <v>2.8050490883590462</v>
      </c>
      <c r="L146" s="75">
        <f>VLOOKUP($A146,'Data Vlaue (Cr)'!$C:$FB,67)</f>
        <v>228</v>
      </c>
      <c r="M146" s="75">
        <f>VLOOKUP($A146,'Data Vlaue (Cr)'!$C:$FB,68)</f>
        <v>361</v>
      </c>
      <c r="N146" s="75">
        <f t="shared" si="16"/>
        <v>-133</v>
      </c>
      <c r="O146" s="75">
        <f t="shared" si="17"/>
        <v>-58.333333333333336</v>
      </c>
      <c r="P146" s="75">
        <f>VLOOKUP($A146,'Data Vlaue (Cr)'!$C:$FB,119)</f>
        <v>0.8</v>
      </c>
      <c r="Q146" s="75">
        <f>VLOOKUP($A146,'Data Vlaue (Cr)'!$C:$FB,122)*100</f>
        <v>14.29</v>
      </c>
      <c r="R146" s="75">
        <f>VLOOKUP($A146,'Data Vlaue (Cr)'!$C:$FB,125)</f>
        <v>0.85</v>
      </c>
      <c r="S146" s="75">
        <f>VLOOKUP($A146,'Data Vlaue (Cr)'!$C:$FB,128)*100</f>
        <v>23.189999999999998</v>
      </c>
    </row>
    <row r="147" spans="1:19" x14ac:dyDescent="0.25">
      <c r="A147" s="96" t="str">
        <f>'Data Vlaue (Cr)'!C138</f>
        <v>NBCC</v>
      </c>
      <c r="B147" s="75">
        <f>VLOOKUP($A147,'Data Vlaue (Cr)'!$C:$FB,2)</f>
        <v>6500</v>
      </c>
      <c r="C147" s="75">
        <f>VLOOKUP($A147,'Data Vlaue (Cr)'!$C:$FB,8)</f>
        <v>122.1</v>
      </c>
      <c r="D147" s="75">
        <f>VLOOKUP($A147,'Data Vlaue (Cr)'!$C:$FB,4)</f>
        <v>122.81</v>
      </c>
      <c r="E147" s="75">
        <f>VLOOKUP($A147,'Data Vlaue (Cr)'!$C:$FB,5)</f>
        <v>122.25</v>
      </c>
      <c r="F147" s="75">
        <f t="shared" si="12"/>
        <v>0.71000000000000796</v>
      </c>
      <c r="G147" s="75">
        <f t="shared" si="13"/>
        <v>0.45598892598322799</v>
      </c>
      <c r="H147" s="75">
        <f>VLOOKUP($A147,'Data Vlaue (Cr)'!$C:$FB,99)</f>
        <v>1920</v>
      </c>
      <c r="I147" s="75">
        <f>VLOOKUP($A147,'Data Vlaue (Cr)'!$C:$FB,100)</f>
        <v>1877</v>
      </c>
      <c r="J147" s="75">
        <f t="shared" si="14"/>
        <v>43</v>
      </c>
      <c r="K147" s="75">
        <f t="shared" si="15"/>
        <v>2.2395833333333335</v>
      </c>
      <c r="L147" s="75">
        <f>VLOOKUP($A147,'Data Vlaue (Cr)'!$C:$FB,67)</f>
        <v>429</v>
      </c>
      <c r="M147" s="75">
        <f>VLOOKUP($A147,'Data Vlaue (Cr)'!$C:$FB,68)</f>
        <v>416</v>
      </c>
      <c r="N147" s="75">
        <f t="shared" si="16"/>
        <v>13</v>
      </c>
      <c r="O147" s="75">
        <f t="shared" si="17"/>
        <v>3.0303030303030303</v>
      </c>
      <c r="P147" s="75">
        <f>VLOOKUP($A147,'Data Vlaue (Cr)'!$C:$FB,119)</f>
        <v>0.51</v>
      </c>
      <c r="Q147" s="75">
        <f>VLOOKUP($A147,'Data Vlaue (Cr)'!$C:$FB,122)*100</f>
        <v>-1.92</v>
      </c>
      <c r="R147" s="75">
        <f>VLOOKUP($A147,'Data Vlaue (Cr)'!$C:$FB,125)</f>
        <v>0.35</v>
      </c>
      <c r="S147" s="75">
        <f>VLOOKUP($A147,'Data Vlaue (Cr)'!$C:$FB,128)*100</f>
        <v>-5.41</v>
      </c>
    </row>
    <row r="148" spans="1:19" x14ac:dyDescent="0.25">
      <c r="A148" s="96" t="str">
        <f>'Data Vlaue (Cr)'!C139</f>
        <v>NESTLEIND</v>
      </c>
      <c r="B148" s="75">
        <f>VLOOKUP($A148,'Data Vlaue (Cr)'!$C:$FB,2)</f>
        <v>500</v>
      </c>
      <c r="C148" s="75">
        <f>VLOOKUP($A148,'Data Vlaue (Cr)'!$C:$FB,8)</f>
        <v>1295</v>
      </c>
      <c r="D148" s="75">
        <f>VLOOKUP($A148,'Data Vlaue (Cr)'!$C:$FB,4)</f>
        <v>1300.5</v>
      </c>
      <c r="E148" s="75">
        <f>VLOOKUP($A148,'Data Vlaue (Cr)'!$C:$FB,5)</f>
        <v>1293.7</v>
      </c>
      <c r="F148" s="75">
        <f t="shared" si="12"/>
        <v>5.5</v>
      </c>
      <c r="G148" s="75">
        <f t="shared" si="13"/>
        <v>0.52287581699346053</v>
      </c>
      <c r="H148" s="75">
        <f>VLOOKUP($A148,'Data Vlaue (Cr)'!$C:$FB,99)</f>
        <v>2506</v>
      </c>
      <c r="I148" s="75">
        <f>VLOOKUP($A148,'Data Vlaue (Cr)'!$C:$FB,100)</f>
        <v>2477</v>
      </c>
      <c r="J148" s="75">
        <f t="shared" si="14"/>
        <v>29</v>
      </c>
      <c r="K148" s="75">
        <f t="shared" si="15"/>
        <v>1.1572226656025539</v>
      </c>
      <c r="L148" s="75">
        <f>VLOOKUP($A148,'Data Vlaue (Cr)'!$C:$FB,67)</f>
        <v>609</v>
      </c>
      <c r="M148" s="75">
        <f>VLOOKUP($A148,'Data Vlaue (Cr)'!$C:$FB,68)</f>
        <v>779</v>
      </c>
      <c r="N148" s="75">
        <f t="shared" si="16"/>
        <v>-170</v>
      </c>
      <c r="O148" s="75">
        <f t="shared" si="17"/>
        <v>-27.914614121510674</v>
      </c>
      <c r="P148" s="75">
        <f>VLOOKUP($A148,'Data Vlaue (Cr)'!$C:$FB,119)</f>
        <v>0.53</v>
      </c>
      <c r="Q148" s="75">
        <f>VLOOKUP($A148,'Data Vlaue (Cr)'!$C:$FB,122)*100</f>
        <v>-7.02</v>
      </c>
      <c r="R148" s="75">
        <f>VLOOKUP($A148,'Data Vlaue (Cr)'!$C:$FB,125)</f>
        <v>0.34</v>
      </c>
      <c r="S148" s="75">
        <f>VLOOKUP($A148,'Data Vlaue (Cr)'!$C:$FB,128)*100</f>
        <v>-15</v>
      </c>
    </row>
    <row r="149" spans="1:19" x14ac:dyDescent="0.25">
      <c r="A149" s="96" t="str">
        <f>'Data Vlaue (Cr)'!C140</f>
        <v>NHPC</v>
      </c>
      <c r="B149" s="75">
        <f>VLOOKUP($A149,'Data Vlaue (Cr)'!$C:$FB,2)</f>
        <v>6400</v>
      </c>
      <c r="C149" s="75">
        <f>VLOOKUP($A149,'Data Vlaue (Cr)'!$C:$FB,8)</f>
        <v>79.56</v>
      </c>
      <c r="D149" s="75">
        <f>VLOOKUP($A149,'Data Vlaue (Cr)'!$C:$FB,4)</f>
        <v>80.06</v>
      </c>
      <c r="E149" s="75">
        <f>VLOOKUP($A149,'Data Vlaue (Cr)'!$C:$FB,5)</f>
        <v>79.47</v>
      </c>
      <c r="F149" s="75">
        <f t="shared" si="12"/>
        <v>0.5</v>
      </c>
      <c r="G149" s="75">
        <f t="shared" si="13"/>
        <v>0.7369472895328546</v>
      </c>
      <c r="H149" s="75">
        <f>VLOOKUP($A149,'Data Vlaue (Cr)'!$C:$FB,99)</f>
        <v>880</v>
      </c>
      <c r="I149" s="75">
        <f>VLOOKUP($A149,'Data Vlaue (Cr)'!$C:$FB,100)</f>
        <v>858</v>
      </c>
      <c r="J149" s="75">
        <f t="shared" si="14"/>
        <v>22</v>
      </c>
      <c r="K149" s="75">
        <f t="shared" si="15"/>
        <v>2.5</v>
      </c>
      <c r="L149" s="75">
        <f>VLOOKUP($A149,'Data Vlaue (Cr)'!$C:$FB,67)</f>
        <v>281</v>
      </c>
      <c r="M149" s="75">
        <f>VLOOKUP($A149,'Data Vlaue (Cr)'!$C:$FB,68)</f>
        <v>481</v>
      </c>
      <c r="N149" s="75">
        <f t="shared" si="16"/>
        <v>-200</v>
      </c>
      <c r="O149" s="75">
        <f t="shared" si="17"/>
        <v>-71.17437722419929</v>
      </c>
      <c r="P149" s="75">
        <f>VLOOKUP($A149,'Data Vlaue (Cr)'!$C:$FB,119)</f>
        <v>0.48</v>
      </c>
      <c r="Q149" s="75">
        <f>VLOOKUP($A149,'Data Vlaue (Cr)'!$C:$FB,122)*100</f>
        <v>14.29</v>
      </c>
      <c r="R149" s="75">
        <f>VLOOKUP($A149,'Data Vlaue (Cr)'!$C:$FB,125)</f>
        <v>0.39</v>
      </c>
      <c r="S149" s="75">
        <f>VLOOKUP($A149,'Data Vlaue (Cr)'!$C:$FB,128)*100</f>
        <v>34.479999999999997</v>
      </c>
    </row>
    <row r="150" spans="1:19" x14ac:dyDescent="0.25">
      <c r="A150" s="96" t="str">
        <f>'Data Vlaue (Cr)'!C141</f>
        <v>NIFTY</v>
      </c>
      <c r="B150" s="75">
        <f>VLOOKUP($A150,'Data Vlaue (Cr)'!$C:$FB,2)</f>
        <v>65</v>
      </c>
      <c r="C150" s="75">
        <f>VLOOKUP($A150,'Data Vlaue (Cr)'!$C:$FB,8)</f>
        <v>26146.55</v>
      </c>
      <c r="D150" s="75">
        <f>VLOOKUP($A150,'Data Vlaue (Cr)'!$C:$FB,4)</f>
        <v>26290.400000000001</v>
      </c>
      <c r="E150" s="75">
        <f>VLOOKUP($A150,'Data Vlaue (Cr)'!$C:$FB,5)</f>
        <v>26296.3</v>
      </c>
      <c r="F150" s="75">
        <f t="shared" si="12"/>
        <v>143.85000000000218</v>
      </c>
      <c r="G150" s="75">
        <f t="shared" si="13"/>
        <v>-2.2441651705557224E-2</v>
      </c>
      <c r="H150" s="75">
        <f>VLOOKUP($A150,'Data Vlaue (Cr)'!$C:$FB,99)</f>
        <v>1221218</v>
      </c>
      <c r="I150" s="75">
        <f>VLOOKUP($A150,'Data Vlaue (Cr)'!$C:$FB,100)</f>
        <v>1029683</v>
      </c>
      <c r="J150" s="75">
        <f t="shared" si="14"/>
        <v>191535</v>
      </c>
      <c r="K150" s="75">
        <f t="shared" si="15"/>
        <v>15.683931943354912</v>
      </c>
      <c r="L150" s="75">
        <f>VLOOKUP($A150,'Data Vlaue (Cr)'!$C:$FB,67)</f>
        <v>8379886</v>
      </c>
      <c r="M150" s="75">
        <f>VLOOKUP($A150,'Data Vlaue (Cr)'!$C:$FB,68)</f>
        <v>10111572</v>
      </c>
      <c r="N150" s="75">
        <f t="shared" si="16"/>
        <v>-1731686</v>
      </c>
      <c r="O150" s="75">
        <f t="shared" si="17"/>
        <v>-20.664791859936997</v>
      </c>
      <c r="P150" s="75">
        <f>VLOOKUP($A150,'Data Vlaue (Cr)'!$C:$FB,119)</f>
        <v>1.1299999999999999</v>
      </c>
      <c r="Q150" s="75">
        <f>VLOOKUP($A150,'Data Vlaue (Cr)'!$C:$FB,122)*100</f>
        <v>-11.020000000000001</v>
      </c>
      <c r="R150" s="75">
        <f>VLOOKUP($A150,'Data Vlaue (Cr)'!$C:$FB,125)</f>
        <v>1.05</v>
      </c>
      <c r="S150" s="75">
        <f>VLOOKUP($A150,'Data Vlaue (Cr)'!$C:$FB,128)*100</f>
        <v>19.32</v>
      </c>
    </row>
    <row r="151" spans="1:19" x14ac:dyDescent="0.25">
      <c r="A151" s="96" t="str">
        <f>'Data Vlaue (Cr)'!C142</f>
        <v>NIFTYNXT50</v>
      </c>
      <c r="B151" s="75">
        <f>VLOOKUP($A151,'Data Vlaue (Cr)'!$C:$FB,2)</f>
        <v>25</v>
      </c>
      <c r="C151" s="75">
        <f>VLOOKUP($A151,'Data Vlaue (Cr)'!$C:$FB,8)</f>
        <v>69675.399999999994</v>
      </c>
      <c r="D151" s="75">
        <f>VLOOKUP($A151,'Data Vlaue (Cr)'!$C:$FB,4)</f>
        <v>69942</v>
      </c>
      <c r="E151" s="75">
        <f>VLOOKUP($A151,'Data Vlaue (Cr)'!$C:$FB,5)</f>
        <v>69597.600000000006</v>
      </c>
      <c r="F151" s="75">
        <f t="shared" si="12"/>
        <v>266.60000000000582</v>
      </c>
      <c r="G151" s="75">
        <f t="shared" si="13"/>
        <v>0.49240799519601131</v>
      </c>
      <c r="H151" s="75">
        <f>VLOOKUP($A151,'Data Vlaue (Cr)'!$C:$FB,99)</f>
        <v>179</v>
      </c>
      <c r="I151" s="75">
        <f>VLOOKUP($A151,'Data Vlaue (Cr)'!$C:$FB,100)</f>
        <v>174</v>
      </c>
      <c r="J151" s="75">
        <f t="shared" si="14"/>
        <v>5</v>
      </c>
      <c r="K151" s="75">
        <f t="shared" si="15"/>
        <v>2.7932960893854748</v>
      </c>
      <c r="L151" s="75">
        <f>VLOOKUP($A151,'Data Vlaue (Cr)'!$C:$FB,67)</f>
        <v>128</v>
      </c>
      <c r="M151" s="75">
        <f>VLOOKUP($A151,'Data Vlaue (Cr)'!$C:$FB,68)</f>
        <v>141</v>
      </c>
      <c r="N151" s="75">
        <f t="shared" si="16"/>
        <v>-13</v>
      </c>
      <c r="O151" s="75">
        <f t="shared" si="17"/>
        <v>-10.15625</v>
      </c>
      <c r="P151" s="75">
        <f>VLOOKUP($A151,'Data Vlaue (Cr)'!$C:$FB,119)</f>
        <v>0.54</v>
      </c>
      <c r="Q151" s="75">
        <f>VLOOKUP($A151,'Data Vlaue (Cr)'!$C:$FB,122)*100</f>
        <v>-30.769999999999996</v>
      </c>
      <c r="R151" s="75">
        <f>VLOOKUP($A151,'Data Vlaue (Cr)'!$C:$FB,125)</f>
        <v>0.65</v>
      </c>
      <c r="S151" s="75">
        <f>VLOOKUP($A151,'Data Vlaue (Cr)'!$C:$FB,128)*100</f>
        <v>103.13000000000001</v>
      </c>
    </row>
    <row r="152" spans="1:19" x14ac:dyDescent="0.25">
      <c r="A152" s="96" t="str">
        <f>'Data Vlaue (Cr)'!C143</f>
        <v>NMDC</v>
      </c>
      <c r="B152" s="75">
        <f>VLOOKUP($A152,'Data Vlaue (Cr)'!$C:$FB,2)</f>
        <v>6750</v>
      </c>
      <c r="C152" s="75">
        <f>VLOOKUP($A152,'Data Vlaue (Cr)'!$C:$FB,8)</f>
        <v>83.66</v>
      </c>
      <c r="D152" s="75">
        <f>VLOOKUP($A152,'Data Vlaue (Cr)'!$C:$FB,4)</f>
        <v>84.25</v>
      </c>
      <c r="E152" s="75">
        <f>VLOOKUP($A152,'Data Vlaue (Cr)'!$C:$FB,5)</f>
        <v>83.5</v>
      </c>
      <c r="F152" s="75">
        <f t="shared" si="12"/>
        <v>0.59000000000000341</v>
      </c>
      <c r="G152" s="75">
        <f t="shared" si="13"/>
        <v>0.89020771513353114</v>
      </c>
      <c r="H152" s="75">
        <f>VLOOKUP($A152,'Data Vlaue (Cr)'!$C:$FB,99)</f>
        <v>4323</v>
      </c>
      <c r="I152" s="75">
        <f>VLOOKUP($A152,'Data Vlaue (Cr)'!$C:$FB,100)</f>
        <v>4255</v>
      </c>
      <c r="J152" s="75">
        <f t="shared" si="14"/>
        <v>68</v>
      </c>
      <c r="K152" s="75">
        <f t="shared" si="15"/>
        <v>1.5729817256534815</v>
      </c>
      <c r="L152" s="75">
        <f>VLOOKUP($A152,'Data Vlaue (Cr)'!$C:$FB,67)</f>
        <v>916</v>
      </c>
      <c r="M152" s="75">
        <f>VLOOKUP($A152,'Data Vlaue (Cr)'!$C:$FB,68)</f>
        <v>1843</v>
      </c>
      <c r="N152" s="75">
        <f t="shared" si="16"/>
        <v>-927</v>
      </c>
      <c r="O152" s="75">
        <f t="shared" si="17"/>
        <v>-101.20087336244541</v>
      </c>
      <c r="P152" s="75">
        <f>VLOOKUP($A152,'Data Vlaue (Cr)'!$C:$FB,119)</f>
        <v>0.41</v>
      </c>
      <c r="Q152" s="75">
        <f>VLOOKUP($A152,'Data Vlaue (Cr)'!$C:$FB,122)*100</f>
        <v>5.13</v>
      </c>
      <c r="R152" s="75">
        <f>VLOOKUP($A152,'Data Vlaue (Cr)'!$C:$FB,125)</f>
        <v>0.42</v>
      </c>
      <c r="S152" s="75">
        <f>VLOOKUP($A152,'Data Vlaue (Cr)'!$C:$FB,128)*100</f>
        <v>0</v>
      </c>
    </row>
    <row r="153" spans="1:19" x14ac:dyDescent="0.25">
      <c r="A153" s="96" t="str">
        <f>'Data Vlaue (Cr)'!C144</f>
        <v>NTPC</v>
      </c>
      <c r="B153" s="75">
        <f>VLOOKUP($A153,'Data Vlaue (Cr)'!$C:$FB,2)</f>
        <v>1500</v>
      </c>
      <c r="C153" s="75">
        <f>VLOOKUP($A153,'Data Vlaue (Cr)'!$C:$FB,8)</f>
        <v>336.3</v>
      </c>
      <c r="D153" s="75">
        <f>VLOOKUP($A153,'Data Vlaue (Cr)'!$C:$FB,4)</f>
        <v>337</v>
      </c>
      <c r="E153" s="75">
        <f>VLOOKUP($A153,'Data Vlaue (Cr)'!$C:$FB,5)</f>
        <v>331.55</v>
      </c>
      <c r="F153" s="75">
        <f t="shared" si="12"/>
        <v>0.69999999999998863</v>
      </c>
      <c r="G153" s="75">
        <f t="shared" si="13"/>
        <v>1.6172106824925783</v>
      </c>
      <c r="H153" s="75">
        <f>VLOOKUP($A153,'Data Vlaue (Cr)'!$C:$FB,99)</f>
        <v>4346</v>
      </c>
      <c r="I153" s="75">
        <f>VLOOKUP($A153,'Data Vlaue (Cr)'!$C:$FB,100)</f>
        <v>4125</v>
      </c>
      <c r="J153" s="75">
        <f t="shared" si="14"/>
        <v>221</v>
      </c>
      <c r="K153" s="75">
        <f t="shared" si="15"/>
        <v>5.0851357570179472</v>
      </c>
      <c r="L153" s="75">
        <f>VLOOKUP($A153,'Data Vlaue (Cr)'!$C:$FB,67)</f>
        <v>2746</v>
      </c>
      <c r="M153" s="75">
        <f>VLOOKUP($A153,'Data Vlaue (Cr)'!$C:$FB,68)</f>
        <v>2159</v>
      </c>
      <c r="N153" s="75">
        <f t="shared" si="16"/>
        <v>587</v>
      </c>
      <c r="O153" s="75">
        <f t="shared" si="17"/>
        <v>21.376547705753822</v>
      </c>
      <c r="P153" s="75">
        <f>VLOOKUP($A153,'Data Vlaue (Cr)'!$C:$FB,119)</f>
        <v>0.86</v>
      </c>
      <c r="Q153" s="75">
        <f>VLOOKUP($A153,'Data Vlaue (Cr)'!$C:$FB,122)*100</f>
        <v>1.18</v>
      </c>
      <c r="R153" s="75">
        <f>VLOOKUP($A153,'Data Vlaue (Cr)'!$C:$FB,125)</f>
        <v>0.48</v>
      </c>
      <c r="S153" s="75">
        <f>VLOOKUP($A153,'Data Vlaue (Cr)'!$C:$FB,128)*100</f>
        <v>0</v>
      </c>
    </row>
    <row r="154" spans="1:19" x14ac:dyDescent="0.25">
      <c r="A154" s="96" t="str">
        <f>'Data Vlaue (Cr)'!C145</f>
        <v>NUVAMA</v>
      </c>
      <c r="B154" s="75">
        <f>VLOOKUP($A154,'Data Vlaue (Cr)'!$C:$FB,2)</f>
        <v>500</v>
      </c>
      <c r="C154" s="75">
        <f>VLOOKUP($A154,'Data Vlaue (Cr)'!$C:$FB,8)</f>
        <v>1458.5</v>
      </c>
      <c r="D154" s="75">
        <f>VLOOKUP($A154,'Data Vlaue (Cr)'!$C:$FB,4)</f>
        <v>1465</v>
      </c>
      <c r="E154" s="75">
        <f>VLOOKUP($A154,'Data Vlaue (Cr)'!$C:$FB,5)</f>
        <v>1486.5</v>
      </c>
      <c r="F154" s="75">
        <f t="shared" si="12"/>
        <v>6.5</v>
      </c>
      <c r="G154" s="75">
        <f t="shared" si="13"/>
        <v>-1.4675767918088738</v>
      </c>
      <c r="H154" s="75">
        <f>VLOOKUP($A154,'Data Vlaue (Cr)'!$C:$FB,99)</f>
        <v>611</v>
      </c>
      <c r="I154" s="75">
        <f>VLOOKUP($A154,'Data Vlaue (Cr)'!$C:$FB,100)</f>
        <v>595</v>
      </c>
      <c r="J154" s="75">
        <f t="shared" si="14"/>
        <v>16</v>
      </c>
      <c r="K154" s="75">
        <f t="shared" si="15"/>
        <v>2.6186579378068742</v>
      </c>
      <c r="L154" s="75">
        <f>VLOOKUP($A154,'Data Vlaue (Cr)'!$C:$FB,67)</f>
        <v>215</v>
      </c>
      <c r="M154" s="75">
        <f>VLOOKUP($A154,'Data Vlaue (Cr)'!$C:$FB,68)</f>
        <v>356</v>
      </c>
      <c r="N154" s="75">
        <f t="shared" si="16"/>
        <v>-141</v>
      </c>
      <c r="O154" s="75">
        <f t="shared" si="17"/>
        <v>-65.581395348837219</v>
      </c>
      <c r="P154" s="75">
        <f>VLOOKUP($A154,'Data Vlaue (Cr)'!$C:$FB,119)</f>
        <v>0.51</v>
      </c>
      <c r="Q154" s="75">
        <f>VLOOKUP($A154,'Data Vlaue (Cr)'!$C:$FB,122)*100</f>
        <v>-7.2700000000000005</v>
      </c>
      <c r="R154" s="75">
        <f>VLOOKUP($A154,'Data Vlaue (Cr)'!$C:$FB,125)</f>
        <v>0.61</v>
      </c>
      <c r="S154" s="75">
        <f>VLOOKUP($A154,'Data Vlaue (Cr)'!$C:$FB,128)*100</f>
        <v>52.5</v>
      </c>
    </row>
    <row r="155" spans="1:19" x14ac:dyDescent="0.25">
      <c r="A155" s="96" t="str">
        <f>'Data Vlaue (Cr)'!C146</f>
        <v>NYKAA</v>
      </c>
      <c r="B155" s="75">
        <f>VLOOKUP($A155,'Data Vlaue (Cr)'!$C:$FB,2)</f>
        <v>3125</v>
      </c>
      <c r="C155" s="75">
        <f>VLOOKUP($A155,'Data Vlaue (Cr)'!$C:$FB,8)</f>
        <v>265.75</v>
      </c>
      <c r="D155" s="75">
        <f>VLOOKUP($A155,'Data Vlaue (Cr)'!$C:$FB,4)</f>
        <v>266.5</v>
      </c>
      <c r="E155" s="75">
        <f>VLOOKUP($A155,'Data Vlaue (Cr)'!$C:$FB,5)</f>
        <v>265.60000000000002</v>
      </c>
      <c r="F155" s="75">
        <f t="shared" si="12"/>
        <v>0.75</v>
      </c>
      <c r="G155" s="75">
        <f t="shared" si="13"/>
        <v>0.33771106941837797</v>
      </c>
      <c r="H155" s="75">
        <f>VLOOKUP($A155,'Data Vlaue (Cr)'!$C:$FB,99)</f>
        <v>1613</v>
      </c>
      <c r="I155" s="75">
        <f>VLOOKUP($A155,'Data Vlaue (Cr)'!$C:$FB,100)</f>
        <v>1631</v>
      </c>
      <c r="J155" s="75">
        <f t="shared" si="14"/>
        <v>-18</v>
      </c>
      <c r="K155" s="75">
        <f t="shared" si="15"/>
        <v>-1.1159330440173589</v>
      </c>
      <c r="L155" s="75">
        <f>VLOOKUP($A155,'Data Vlaue (Cr)'!$C:$FB,67)</f>
        <v>331</v>
      </c>
      <c r="M155" s="75">
        <f>VLOOKUP($A155,'Data Vlaue (Cr)'!$C:$FB,68)</f>
        <v>693</v>
      </c>
      <c r="N155" s="75">
        <f t="shared" si="16"/>
        <v>-362</v>
      </c>
      <c r="O155" s="75">
        <f t="shared" si="17"/>
        <v>-109.3655589123867</v>
      </c>
      <c r="P155" s="75">
        <f>VLOOKUP($A155,'Data Vlaue (Cr)'!$C:$FB,119)</f>
        <v>0.66</v>
      </c>
      <c r="Q155" s="75">
        <f>VLOOKUP($A155,'Data Vlaue (Cr)'!$C:$FB,122)*100</f>
        <v>10</v>
      </c>
      <c r="R155" s="75">
        <f>VLOOKUP($A155,'Data Vlaue (Cr)'!$C:$FB,125)</f>
        <v>0.34</v>
      </c>
      <c r="S155" s="75">
        <f>VLOOKUP($A155,'Data Vlaue (Cr)'!$C:$FB,128)*100</f>
        <v>13.33</v>
      </c>
    </row>
    <row r="156" spans="1:19" x14ac:dyDescent="0.25">
      <c r="A156" s="96" t="str">
        <f>'Data Vlaue (Cr)'!C147</f>
        <v>OBEROIRLTY</v>
      </c>
      <c r="B156" s="75">
        <f>VLOOKUP($A156,'Data Vlaue (Cr)'!$C:$FB,2)</f>
        <v>350</v>
      </c>
      <c r="C156" s="75">
        <f>VLOOKUP($A156,'Data Vlaue (Cr)'!$C:$FB,8)</f>
        <v>1695.9</v>
      </c>
      <c r="D156" s="75">
        <f>VLOOKUP($A156,'Data Vlaue (Cr)'!$C:$FB,4)</f>
        <v>1692.8</v>
      </c>
      <c r="E156" s="75">
        <f>VLOOKUP($A156,'Data Vlaue (Cr)'!$C:$FB,5)</f>
        <v>1673.9</v>
      </c>
      <c r="F156" s="75">
        <f t="shared" si="12"/>
        <v>-3.1000000000001364</v>
      </c>
      <c r="G156" s="75">
        <f t="shared" si="13"/>
        <v>1.116493383742903</v>
      </c>
      <c r="H156" s="75">
        <f>VLOOKUP($A156,'Data Vlaue (Cr)'!$C:$FB,99)</f>
        <v>887</v>
      </c>
      <c r="I156" s="75">
        <f>VLOOKUP($A156,'Data Vlaue (Cr)'!$C:$FB,100)</f>
        <v>870</v>
      </c>
      <c r="J156" s="75">
        <f t="shared" si="14"/>
        <v>17</v>
      </c>
      <c r="K156" s="75">
        <f t="shared" si="15"/>
        <v>1.9165727170236753</v>
      </c>
      <c r="L156" s="75">
        <f>VLOOKUP($A156,'Data Vlaue (Cr)'!$C:$FB,67)</f>
        <v>207</v>
      </c>
      <c r="M156" s="75">
        <f>VLOOKUP($A156,'Data Vlaue (Cr)'!$C:$FB,68)</f>
        <v>203</v>
      </c>
      <c r="N156" s="75">
        <f t="shared" si="16"/>
        <v>4</v>
      </c>
      <c r="O156" s="75">
        <f t="shared" si="17"/>
        <v>1.932367149758454</v>
      </c>
      <c r="P156" s="75">
        <f>VLOOKUP($A156,'Data Vlaue (Cr)'!$C:$FB,119)</f>
        <v>0.92</v>
      </c>
      <c r="Q156" s="75">
        <f>VLOOKUP($A156,'Data Vlaue (Cr)'!$C:$FB,122)*100</f>
        <v>-10.68</v>
      </c>
      <c r="R156" s="75">
        <f>VLOOKUP($A156,'Data Vlaue (Cr)'!$C:$FB,125)</f>
        <v>0.31</v>
      </c>
      <c r="S156" s="75">
        <f>VLOOKUP($A156,'Data Vlaue (Cr)'!$C:$FB,128)*100</f>
        <v>-42.59</v>
      </c>
    </row>
    <row r="157" spans="1:19" x14ac:dyDescent="0.25">
      <c r="A157" s="96" t="str">
        <f>'Data Vlaue (Cr)'!C148</f>
        <v>OFSS</v>
      </c>
      <c r="B157" s="75">
        <f>VLOOKUP($A157,'Data Vlaue (Cr)'!$C:$FB,2)</f>
        <v>75</v>
      </c>
      <c r="C157" s="75">
        <f>VLOOKUP($A157,'Data Vlaue (Cr)'!$C:$FB,8)</f>
        <v>7687.5</v>
      </c>
      <c r="D157" s="75">
        <f>VLOOKUP($A157,'Data Vlaue (Cr)'!$C:$FB,4)</f>
        <v>7730</v>
      </c>
      <c r="E157" s="75">
        <f>VLOOKUP($A157,'Data Vlaue (Cr)'!$C:$FB,5)</f>
        <v>7717</v>
      </c>
      <c r="F157" s="75">
        <f t="shared" si="12"/>
        <v>42.5</v>
      </c>
      <c r="G157" s="75">
        <f t="shared" si="13"/>
        <v>0.16817593790426907</v>
      </c>
      <c r="H157" s="75">
        <f>VLOOKUP($A157,'Data Vlaue (Cr)'!$C:$FB,99)</f>
        <v>1490</v>
      </c>
      <c r="I157" s="75">
        <f>VLOOKUP($A157,'Data Vlaue (Cr)'!$C:$FB,100)</f>
        <v>1444</v>
      </c>
      <c r="J157" s="75">
        <f t="shared" si="14"/>
        <v>46</v>
      </c>
      <c r="K157" s="75">
        <f t="shared" si="15"/>
        <v>3.087248322147651</v>
      </c>
      <c r="L157" s="75">
        <f>VLOOKUP($A157,'Data Vlaue (Cr)'!$C:$FB,67)</f>
        <v>369</v>
      </c>
      <c r="M157" s="75">
        <f>VLOOKUP($A157,'Data Vlaue (Cr)'!$C:$FB,68)</f>
        <v>468</v>
      </c>
      <c r="N157" s="75">
        <f t="shared" si="16"/>
        <v>-99</v>
      </c>
      <c r="O157" s="75">
        <f t="shared" si="17"/>
        <v>-26.829268292682929</v>
      </c>
      <c r="P157" s="75">
        <f>VLOOKUP($A157,'Data Vlaue (Cr)'!$C:$FB,119)</f>
        <v>0.85</v>
      </c>
      <c r="Q157" s="75">
        <f>VLOOKUP($A157,'Data Vlaue (Cr)'!$C:$FB,122)*100</f>
        <v>-7.61</v>
      </c>
      <c r="R157" s="75">
        <f>VLOOKUP($A157,'Data Vlaue (Cr)'!$C:$FB,125)</f>
        <v>0.81</v>
      </c>
      <c r="S157" s="75">
        <f>VLOOKUP($A157,'Data Vlaue (Cr)'!$C:$FB,128)*100</f>
        <v>-3.5700000000000003</v>
      </c>
    </row>
    <row r="158" spans="1:19" x14ac:dyDescent="0.25">
      <c r="A158" s="96" t="str">
        <f>'Data Vlaue (Cr)'!C149</f>
        <v>OIL</v>
      </c>
      <c r="B158" s="75">
        <f>VLOOKUP($A158,'Data Vlaue (Cr)'!$C:$FB,2)</f>
        <v>1400</v>
      </c>
      <c r="C158" s="75">
        <f>VLOOKUP($A158,'Data Vlaue (Cr)'!$C:$FB,8)</f>
        <v>427.55</v>
      </c>
      <c r="D158" s="75">
        <f>VLOOKUP($A158,'Data Vlaue (Cr)'!$C:$FB,4)</f>
        <v>429.05</v>
      </c>
      <c r="E158" s="75">
        <f>VLOOKUP($A158,'Data Vlaue (Cr)'!$C:$FB,5)</f>
        <v>426.6</v>
      </c>
      <c r="F158" s="75">
        <f t="shared" si="12"/>
        <v>1.5</v>
      </c>
      <c r="G158" s="75">
        <f t="shared" si="13"/>
        <v>0.57102901759701397</v>
      </c>
      <c r="H158" s="75">
        <f>VLOOKUP($A158,'Data Vlaue (Cr)'!$C:$FB,99)</f>
        <v>774</v>
      </c>
      <c r="I158" s="75">
        <f>VLOOKUP($A158,'Data Vlaue (Cr)'!$C:$FB,100)</f>
        <v>761</v>
      </c>
      <c r="J158" s="75">
        <f t="shared" si="14"/>
        <v>13</v>
      </c>
      <c r="K158" s="75">
        <f t="shared" si="15"/>
        <v>1.6795865633074936</v>
      </c>
      <c r="L158" s="75">
        <f>VLOOKUP($A158,'Data Vlaue (Cr)'!$C:$FB,67)</f>
        <v>366</v>
      </c>
      <c r="M158" s="75">
        <f>VLOOKUP($A158,'Data Vlaue (Cr)'!$C:$FB,68)</f>
        <v>1103</v>
      </c>
      <c r="N158" s="75">
        <f t="shared" si="16"/>
        <v>-737</v>
      </c>
      <c r="O158" s="75">
        <f t="shared" si="17"/>
        <v>-201.36612021857925</v>
      </c>
      <c r="P158" s="75">
        <f>VLOOKUP($A158,'Data Vlaue (Cr)'!$C:$FB,119)</f>
        <v>0.53</v>
      </c>
      <c r="Q158" s="75">
        <f>VLOOKUP($A158,'Data Vlaue (Cr)'!$C:$FB,122)*100</f>
        <v>1.92</v>
      </c>
      <c r="R158" s="75">
        <f>VLOOKUP($A158,'Data Vlaue (Cr)'!$C:$FB,125)</f>
        <v>0.46</v>
      </c>
      <c r="S158" s="75">
        <f>VLOOKUP($A158,'Data Vlaue (Cr)'!$C:$FB,128)*100</f>
        <v>58.620000000000005</v>
      </c>
    </row>
    <row r="159" spans="1:19" x14ac:dyDescent="0.25">
      <c r="A159" s="96" t="str">
        <f>'Data Vlaue (Cr)'!C150</f>
        <v>ONGC</v>
      </c>
      <c r="B159" s="75">
        <f>VLOOKUP($A159,'Data Vlaue (Cr)'!$C:$FB,2)</f>
        <v>2250</v>
      </c>
      <c r="C159" s="75">
        <f>VLOOKUP($A159,'Data Vlaue (Cr)'!$C:$FB,8)</f>
        <v>237.94</v>
      </c>
      <c r="D159" s="75">
        <f>VLOOKUP($A159,'Data Vlaue (Cr)'!$C:$FB,4)</f>
        <v>239.46</v>
      </c>
      <c r="E159" s="75">
        <f>VLOOKUP($A159,'Data Vlaue (Cr)'!$C:$FB,5)</f>
        <v>242.08</v>
      </c>
      <c r="F159" s="75">
        <f t="shared" si="12"/>
        <v>1.5200000000000102</v>
      </c>
      <c r="G159" s="75">
        <f t="shared" si="13"/>
        <v>-1.0941284556919755</v>
      </c>
      <c r="H159" s="75">
        <f>VLOOKUP($A159,'Data Vlaue (Cr)'!$C:$FB,99)</f>
        <v>4051</v>
      </c>
      <c r="I159" s="75">
        <f>VLOOKUP($A159,'Data Vlaue (Cr)'!$C:$FB,100)</f>
        <v>3707</v>
      </c>
      <c r="J159" s="75">
        <f t="shared" si="14"/>
        <v>344</v>
      </c>
      <c r="K159" s="75">
        <f t="shared" si="15"/>
        <v>8.4917304369291529</v>
      </c>
      <c r="L159" s="75">
        <f>VLOOKUP($A159,'Data Vlaue (Cr)'!$C:$FB,67)</f>
        <v>1860</v>
      </c>
      <c r="M159" s="75">
        <f>VLOOKUP($A159,'Data Vlaue (Cr)'!$C:$FB,68)</f>
        <v>2164</v>
      </c>
      <c r="N159" s="75">
        <f t="shared" si="16"/>
        <v>-304</v>
      </c>
      <c r="O159" s="75">
        <f t="shared" si="17"/>
        <v>-16.344086021505376</v>
      </c>
      <c r="P159" s="75">
        <f>VLOOKUP($A159,'Data Vlaue (Cr)'!$C:$FB,119)</f>
        <v>0.56000000000000005</v>
      </c>
      <c r="Q159" s="75">
        <f>VLOOKUP($A159,'Data Vlaue (Cr)'!$C:$FB,122)*100</f>
        <v>-29.110000000000003</v>
      </c>
      <c r="R159" s="75">
        <f>VLOOKUP($A159,'Data Vlaue (Cr)'!$C:$FB,125)</f>
        <v>0.39</v>
      </c>
      <c r="S159" s="75">
        <f>VLOOKUP($A159,'Data Vlaue (Cr)'!$C:$FB,128)*100</f>
        <v>-22</v>
      </c>
    </row>
    <row r="160" spans="1:19" x14ac:dyDescent="0.25">
      <c r="A160" s="96" t="str">
        <f>'Data Vlaue (Cr)'!C151</f>
        <v>PAGEIND</v>
      </c>
      <c r="B160" s="75">
        <f>VLOOKUP($A160,'Data Vlaue (Cr)'!$C:$FB,2)</f>
        <v>15</v>
      </c>
      <c r="C160" s="75">
        <f>VLOOKUP($A160,'Data Vlaue (Cr)'!$C:$FB,8)</f>
        <v>35645</v>
      </c>
      <c r="D160" s="75">
        <f>VLOOKUP($A160,'Data Vlaue (Cr)'!$C:$FB,4)</f>
        <v>35705</v>
      </c>
      <c r="E160" s="75">
        <f>VLOOKUP($A160,'Data Vlaue (Cr)'!$C:$FB,5)</f>
        <v>36045</v>
      </c>
      <c r="F160" s="75">
        <f t="shared" si="12"/>
        <v>60</v>
      </c>
      <c r="G160" s="75">
        <f t="shared" si="13"/>
        <v>-0.95224758437193679</v>
      </c>
      <c r="H160" s="75">
        <f>VLOOKUP($A160,'Data Vlaue (Cr)'!$C:$FB,99)</f>
        <v>1109</v>
      </c>
      <c r="I160" s="75">
        <f>VLOOKUP($A160,'Data Vlaue (Cr)'!$C:$FB,100)</f>
        <v>1057</v>
      </c>
      <c r="J160" s="75">
        <f t="shared" si="14"/>
        <v>52</v>
      </c>
      <c r="K160" s="75">
        <f t="shared" si="15"/>
        <v>4.6889089269612265</v>
      </c>
      <c r="L160" s="75">
        <f>VLOOKUP($A160,'Data Vlaue (Cr)'!$C:$FB,67)</f>
        <v>508</v>
      </c>
      <c r="M160" s="75">
        <f>VLOOKUP($A160,'Data Vlaue (Cr)'!$C:$FB,68)</f>
        <v>328</v>
      </c>
      <c r="N160" s="75">
        <f t="shared" si="16"/>
        <v>180</v>
      </c>
      <c r="O160" s="75">
        <f t="shared" si="17"/>
        <v>35.433070866141733</v>
      </c>
      <c r="P160" s="75">
        <f>VLOOKUP($A160,'Data Vlaue (Cr)'!$C:$FB,119)</f>
        <v>0.61</v>
      </c>
      <c r="Q160" s="75">
        <f>VLOOKUP($A160,'Data Vlaue (Cr)'!$C:$FB,122)*100</f>
        <v>-22.78</v>
      </c>
      <c r="R160" s="75">
        <f>VLOOKUP($A160,'Data Vlaue (Cr)'!$C:$FB,125)</f>
        <v>0.42</v>
      </c>
      <c r="S160" s="75">
        <f>VLOOKUP($A160,'Data Vlaue (Cr)'!$C:$FB,128)*100</f>
        <v>5</v>
      </c>
    </row>
    <row r="161" spans="1:19" x14ac:dyDescent="0.25">
      <c r="A161" s="96" t="str">
        <f>'Data Vlaue (Cr)'!C152</f>
        <v>PATANJALI</v>
      </c>
      <c r="B161" s="75">
        <f>VLOOKUP($A161,'Data Vlaue (Cr)'!$C:$FB,2)</f>
        <v>900</v>
      </c>
      <c r="C161" s="75">
        <f>VLOOKUP($A161,'Data Vlaue (Cr)'!$C:$FB,8)</f>
        <v>552.54999999999995</v>
      </c>
      <c r="D161" s="75">
        <f>VLOOKUP($A161,'Data Vlaue (Cr)'!$C:$FB,4)</f>
        <v>554.29999999999995</v>
      </c>
      <c r="E161" s="75">
        <f>VLOOKUP($A161,'Data Vlaue (Cr)'!$C:$FB,5)</f>
        <v>549</v>
      </c>
      <c r="F161" s="75">
        <f t="shared" si="12"/>
        <v>1.75</v>
      </c>
      <c r="G161" s="75">
        <f t="shared" si="13"/>
        <v>0.95616092368752581</v>
      </c>
      <c r="H161" s="75">
        <f>VLOOKUP($A161,'Data Vlaue (Cr)'!$C:$FB,99)</f>
        <v>2374</v>
      </c>
      <c r="I161" s="75">
        <f>VLOOKUP($A161,'Data Vlaue (Cr)'!$C:$FB,100)</f>
        <v>2371</v>
      </c>
      <c r="J161" s="75">
        <f t="shared" si="14"/>
        <v>3</v>
      </c>
      <c r="K161" s="75">
        <f t="shared" si="15"/>
        <v>0.12636899747262004</v>
      </c>
      <c r="L161" s="75">
        <f>VLOOKUP($A161,'Data Vlaue (Cr)'!$C:$FB,67)</f>
        <v>332</v>
      </c>
      <c r="M161" s="75">
        <f>VLOOKUP($A161,'Data Vlaue (Cr)'!$C:$FB,68)</f>
        <v>754</v>
      </c>
      <c r="N161" s="75">
        <f t="shared" si="16"/>
        <v>-422</v>
      </c>
      <c r="O161" s="75">
        <f t="shared" si="17"/>
        <v>-127.10843373493977</v>
      </c>
      <c r="P161" s="75">
        <f>VLOOKUP($A161,'Data Vlaue (Cr)'!$C:$FB,119)</f>
        <v>0.73</v>
      </c>
      <c r="Q161" s="75">
        <f>VLOOKUP($A161,'Data Vlaue (Cr)'!$C:$FB,122)*100</f>
        <v>1.39</v>
      </c>
      <c r="R161" s="75">
        <f>VLOOKUP($A161,'Data Vlaue (Cr)'!$C:$FB,125)</f>
        <v>0.44</v>
      </c>
      <c r="S161" s="75">
        <f>VLOOKUP($A161,'Data Vlaue (Cr)'!$C:$FB,128)*100</f>
        <v>-29.03</v>
      </c>
    </row>
    <row r="162" spans="1:19" x14ac:dyDescent="0.25">
      <c r="A162" s="96" t="str">
        <f>'Data Vlaue (Cr)'!C153</f>
        <v>PAYTM</v>
      </c>
      <c r="B162" s="75">
        <f>VLOOKUP($A162,'Data Vlaue (Cr)'!$C:$FB,2)</f>
        <v>725</v>
      </c>
      <c r="C162" s="75">
        <f>VLOOKUP($A162,'Data Vlaue (Cr)'!$C:$FB,8)</f>
        <v>1291.7</v>
      </c>
      <c r="D162" s="75">
        <f>VLOOKUP($A162,'Data Vlaue (Cr)'!$C:$FB,4)</f>
        <v>1300.7</v>
      </c>
      <c r="E162" s="75">
        <f>VLOOKUP($A162,'Data Vlaue (Cr)'!$C:$FB,5)</f>
        <v>1305.0999999999999</v>
      </c>
      <c r="F162" s="75">
        <f t="shared" si="12"/>
        <v>9</v>
      </c>
      <c r="G162" s="75">
        <f t="shared" si="13"/>
        <v>-0.33827938802182389</v>
      </c>
      <c r="H162" s="75">
        <f>VLOOKUP($A162,'Data Vlaue (Cr)'!$C:$FB,99)</f>
        <v>2989</v>
      </c>
      <c r="I162" s="75">
        <f>VLOOKUP($A162,'Data Vlaue (Cr)'!$C:$FB,100)</f>
        <v>2897</v>
      </c>
      <c r="J162" s="75">
        <f t="shared" si="14"/>
        <v>92</v>
      </c>
      <c r="K162" s="75">
        <f t="shared" si="15"/>
        <v>3.0779524924723987</v>
      </c>
      <c r="L162" s="75">
        <f>VLOOKUP($A162,'Data Vlaue (Cr)'!$C:$FB,67)</f>
        <v>791</v>
      </c>
      <c r="M162" s="75">
        <f>VLOOKUP($A162,'Data Vlaue (Cr)'!$C:$FB,68)</f>
        <v>1073</v>
      </c>
      <c r="N162" s="75">
        <f t="shared" si="16"/>
        <v>-282</v>
      </c>
      <c r="O162" s="75">
        <f t="shared" si="17"/>
        <v>-35.651074589127688</v>
      </c>
      <c r="P162" s="75">
        <f>VLOOKUP($A162,'Data Vlaue (Cr)'!$C:$FB,119)</f>
        <v>0.72</v>
      </c>
      <c r="Q162" s="75">
        <f>VLOOKUP($A162,'Data Vlaue (Cr)'!$C:$FB,122)*100</f>
        <v>4.3499999999999996</v>
      </c>
      <c r="R162" s="75">
        <f>VLOOKUP($A162,'Data Vlaue (Cr)'!$C:$FB,125)</f>
        <v>0.39</v>
      </c>
      <c r="S162" s="75">
        <f>VLOOKUP($A162,'Data Vlaue (Cr)'!$C:$FB,128)*100</f>
        <v>5.41</v>
      </c>
    </row>
    <row r="163" spans="1:19" x14ac:dyDescent="0.25">
      <c r="A163" s="96" t="str">
        <f>'Data Vlaue (Cr)'!C154</f>
        <v>PERSISTENT</v>
      </c>
      <c r="B163" s="75">
        <f>VLOOKUP($A163,'Data Vlaue (Cr)'!$C:$FB,2)</f>
        <v>100</v>
      </c>
      <c r="C163" s="75">
        <f>VLOOKUP($A163,'Data Vlaue (Cr)'!$C:$FB,8)</f>
        <v>6282.5</v>
      </c>
      <c r="D163" s="75">
        <f>VLOOKUP($A163,'Data Vlaue (Cr)'!$C:$FB,4)</f>
        <v>6309</v>
      </c>
      <c r="E163" s="75">
        <f>VLOOKUP($A163,'Data Vlaue (Cr)'!$C:$FB,5)</f>
        <v>6295.5</v>
      </c>
      <c r="F163" s="75">
        <f t="shared" si="12"/>
        <v>26.5</v>
      </c>
      <c r="G163" s="75">
        <f t="shared" si="13"/>
        <v>0.21398002853067047</v>
      </c>
      <c r="H163" s="75">
        <f>VLOOKUP($A163,'Data Vlaue (Cr)'!$C:$FB,99)</f>
        <v>1942</v>
      </c>
      <c r="I163" s="75">
        <f>VLOOKUP($A163,'Data Vlaue (Cr)'!$C:$FB,100)</f>
        <v>1891</v>
      </c>
      <c r="J163" s="75">
        <f t="shared" si="14"/>
        <v>51</v>
      </c>
      <c r="K163" s="75">
        <f t="shared" si="15"/>
        <v>2.6261585993820802</v>
      </c>
      <c r="L163" s="75">
        <f>VLOOKUP($A163,'Data Vlaue (Cr)'!$C:$FB,67)</f>
        <v>548</v>
      </c>
      <c r="M163" s="75">
        <f>VLOOKUP($A163,'Data Vlaue (Cr)'!$C:$FB,68)</f>
        <v>969</v>
      </c>
      <c r="N163" s="75">
        <f t="shared" si="16"/>
        <v>-421</v>
      </c>
      <c r="O163" s="75">
        <f t="shared" si="17"/>
        <v>-76.824817518248182</v>
      </c>
      <c r="P163" s="75">
        <f>VLOOKUP($A163,'Data Vlaue (Cr)'!$C:$FB,119)</f>
        <v>0.72</v>
      </c>
      <c r="Q163" s="75">
        <f>VLOOKUP($A163,'Data Vlaue (Cr)'!$C:$FB,122)*100</f>
        <v>2.86</v>
      </c>
      <c r="R163" s="75">
        <f>VLOOKUP($A163,'Data Vlaue (Cr)'!$C:$FB,125)</f>
        <v>0.48</v>
      </c>
      <c r="S163" s="75">
        <f>VLOOKUP($A163,'Data Vlaue (Cr)'!$C:$FB,128)*100</f>
        <v>-14.29</v>
      </c>
    </row>
    <row r="164" spans="1:19" x14ac:dyDescent="0.25">
      <c r="A164" s="96" t="str">
        <f>'Data Vlaue (Cr)'!C155</f>
        <v>PETRONET</v>
      </c>
      <c r="B164" s="75">
        <f>VLOOKUP($A164,'Data Vlaue (Cr)'!$C:$FB,2)</f>
        <v>1900</v>
      </c>
      <c r="C164" s="75">
        <f>VLOOKUP($A164,'Data Vlaue (Cr)'!$C:$FB,8)</f>
        <v>288.10000000000002</v>
      </c>
      <c r="D164" s="75">
        <f>VLOOKUP($A164,'Data Vlaue (Cr)'!$C:$FB,4)</f>
        <v>289.5</v>
      </c>
      <c r="E164" s="75">
        <f>VLOOKUP($A164,'Data Vlaue (Cr)'!$C:$FB,5)</f>
        <v>285.5</v>
      </c>
      <c r="F164" s="75">
        <f t="shared" si="12"/>
        <v>1.3999999999999773</v>
      </c>
      <c r="G164" s="75">
        <f t="shared" si="13"/>
        <v>1.3816925734024179</v>
      </c>
      <c r="H164" s="75">
        <f>VLOOKUP($A164,'Data Vlaue (Cr)'!$C:$FB,99)</f>
        <v>2158</v>
      </c>
      <c r="I164" s="75">
        <f>VLOOKUP($A164,'Data Vlaue (Cr)'!$C:$FB,100)</f>
        <v>2155</v>
      </c>
      <c r="J164" s="75">
        <f t="shared" si="14"/>
        <v>3</v>
      </c>
      <c r="K164" s="75">
        <f t="shared" si="15"/>
        <v>0.13901760889712697</v>
      </c>
      <c r="L164" s="75">
        <f>VLOOKUP($A164,'Data Vlaue (Cr)'!$C:$FB,67)</f>
        <v>633</v>
      </c>
      <c r="M164" s="75">
        <f>VLOOKUP($A164,'Data Vlaue (Cr)'!$C:$FB,68)</f>
        <v>1244</v>
      </c>
      <c r="N164" s="75">
        <f t="shared" si="16"/>
        <v>-611</v>
      </c>
      <c r="O164" s="75">
        <f t="shared" si="17"/>
        <v>-96.524486571879947</v>
      </c>
      <c r="P164" s="75">
        <f>VLOOKUP($A164,'Data Vlaue (Cr)'!$C:$FB,119)</f>
        <v>1.6</v>
      </c>
      <c r="Q164" s="75">
        <f>VLOOKUP($A164,'Data Vlaue (Cr)'!$C:$FB,122)*100</f>
        <v>8.84</v>
      </c>
      <c r="R164" s="75">
        <f>VLOOKUP($A164,'Data Vlaue (Cr)'!$C:$FB,125)</f>
        <v>0.44</v>
      </c>
      <c r="S164" s="75">
        <f>VLOOKUP($A164,'Data Vlaue (Cr)'!$C:$FB,128)*100</f>
        <v>-46.339999999999996</v>
      </c>
    </row>
    <row r="165" spans="1:19" x14ac:dyDescent="0.25">
      <c r="A165" s="96" t="str">
        <f>'Data Vlaue (Cr)'!C156</f>
        <v>PFC</v>
      </c>
      <c r="B165" s="75">
        <f>VLOOKUP($A165,'Data Vlaue (Cr)'!$C:$FB,2)</f>
        <v>1300</v>
      </c>
      <c r="C165" s="75">
        <f>VLOOKUP($A165,'Data Vlaue (Cr)'!$C:$FB,8)</f>
        <v>363.15</v>
      </c>
      <c r="D165" s="75">
        <f>VLOOKUP($A165,'Data Vlaue (Cr)'!$C:$FB,4)</f>
        <v>364.7</v>
      </c>
      <c r="E165" s="75">
        <f>VLOOKUP($A165,'Data Vlaue (Cr)'!$C:$FB,5)</f>
        <v>357.1</v>
      </c>
      <c r="F165" s="75">
        <f t="shared" si="12"/>
        <v>1.5500000000000114</v>
      </c>
      <c r="G165" s="75">
        <f t="shared" si="13"/>
        <v>2.0839045791061053</v>
      </c>
      <c r="H165" s="75">
        <f>VLOOKUP($A165,'Data Vlaue (Cr)'!$C:$FB,99)</f>
        <v>4739</v>
      </c>
      <c r="I165" s="75">
        <f>VLOOKUP($A165,'Data Vlaue (Cr)'!$C:$FB,100)</f>
        <v>4546</v>
      </c>
      <c r="J165" s="75">
        <f t="shared" si="14"/>
        <v>193</v>
      </c>
      <c r="K165" s="75">
        <f t="shared" si="15"/>
        <v>4.0725891538299219</v>
      </c>
      <c r="L165" s="75">
        <f>VLOOKUP($A165,'Data Vlaue (Cr)'!$C:$FB,67)</f>
        <v>2973</v>
      </c>
      <c r="M165" s="75">
        <f>VLOOKUP($A165,'Data Vlaue (Cr)'!$C:$FB,68)</f>
        <v>1932</v>
      </c>
      <c r="N165" s="75">
        <f t="shared" si="16"/>
        <v>1041</v>
      </c>
      <c r="O165" s="75">
        <f t="shared" si="17"/>
        <v>35.015136226034308</v>
      </c>
      <c r="P165" s="75">
        <f>VLOOKUP($A165,'Data Vlaue (Cr)'!$C:$FB,119)</f>
        <v>0.79</v>
      </c>
      <c r="Q165" s="75">
        <f>VLOOKUP($A165,'Data Vlaue (Cr)'!$C:$FB,122)*100</f>
        <v>-5.9499999999999993</v>
      </c>
      <c r="R165" s="75">
        <f>VLOOKUP($A165,'Data Vlaue (Cr)'!$C:$FB,125)</f>
        <v>0.21</v>
      </c>
      <c r="S165" s="75">
        <f>VLOOKUP($A165,'Data Vlaue (Cr)'!$C:$FB,128)*100</f>
        <v>-57.14</v>
      </c>
    </row>
    <row r="166" spans="1:19" x14ac:dyDescent="0.25">
      <c r="A166" s="96" t="str">
        <f>'Data Vlaue (Cr)'!C157</f>
        <v>PGEL</v>
      </c>
      <c r="B166" s="75">
        <f>VLOOKUP($A166,'Data Vlaue (Cr)'!$C:$FB,2)</f>
        <v>950</v>
      </c>
      <c r="C166" s="75">
        <f>VLOOKUP($A166,'Data Vlaue (Cr)'!$C:$FB,8)</f>
        <v>578.95000000000005</v>
      </c>
      <c r="D166" s="75">
        <f>VLOOKUP($A166,'Data Vlaue (Cr)'!$C:$FB,4)</f>
        <v>582.20000000000005</v>
      </c>
      <c r="E166" s="75">
        <f>VLOOKUP($A166,'Data Vlaue (Cr)'!$C:$FB,5)</f>
        <v>576.20000000000005</v>
      </c>
      <c r="F166" s="75">
        <f t="shared" si="12"/>
        <v>3.25</v>
      </c>
      <c r="G166" s="75">
        <f t="shared" si="13"/>
        <v>1.0305736860185502</v>
      </c>
      <c r="H166" s="75">
        <f>VLOOKUP($A166,'Data Vlaue (Cr)'!$C:$FB,99)</f>
        <v>914</v>
      </c>
      <c r="I166" s="75">
        <f>VLOOKUP($A166,'Data Vlaue (Cr)'!$C:$FB,100)</f>
        <v>905</v>
      </c>
      <c r="J166" s="75">
        <f t="shared" si="14"/>
        <v>9</v>
      </c>
      <c r="K166" s="75">
        <f t="shared" si="15"/>
        <v>0.98468271334792123</v>
      </c>
      <c r="L166" s="75">
        <f>VLOOKUP($A166,'Data Vlaue (Cr)'!$C:$FB,67)</f>
        <v>197</v>
      </c>
      <c r="M166" s="75">
        <f>VLOOKUP($A166,'Data Vlaue (Cr)'!$C:$FB,68)</f>
        <v>740</v>
      </c>
      <c r="N166" s="75">
        <f t="shared" si="16"/>
        <v>-543</v>
      </c>
      <c r="O166" s="75">
        <f t="shared" si="17"/>
        <v>-275.63451776649748</v>
      </c>
      <c r="P166" s="75">
        <f>VLOOKUP($A166,'Data Vlaue (Cr)'!$C:$FB,119)</f>
        <v>0.96</v>
      </c>
      <c r="Q166" s="75">
        <f>VLOOKUP($A166,'Data Vlaue (Cr)'!$C:$FB,122)*100</f>
        <v>1.05</v>
      </c>
      <c r="R166" s="75">
        <f>VLOOKUP($A166,'Data Vlaue (Cr)'!$C:$FB,125)</f>
        <v>0.45</v>
      </c>
      <c r="S166" s="75">
        <f>VLOOKUP($A166,'Data Vlaue (Cr)'!$C:$FB,128)*100</f>
        <v>-2.17</v>
      </c>
    </row>
    <row r="167" spans="1:19" x14ac:dyDescent="0.25">
      <c r="A167" s="96" t="str">
        <f>'Data Vlaue (Cr)'!C158</f>
        <v>PHOENIXLTD</v>
      </c>
      <c r="B167" s="75">
        <f>VLOOKUP($A167,'Data Vlaue (Cr)'!$C:$FB,2)</f>
        <v>350</v>
      </c>
      <c r="C167" s="75">
        <f>VLOOKUP($A167,'Data Vlaue (Cr)'!$C:$FB,8)</f>
        <v>1872.7</v>
      </c>
      <c r="D167" s="75">
        <f>VLOOKUP($A167,'Data Vlaue (Cr)'!$C:$FB,4)</f>
        <v>1880.6</v>
      </c>
      <c r="E167" s="75">
        <f>VLOOKUP($A167,'Data Vlaue (Cr)'!$C:$FB,5)</f>
        <v>1865.3</v>
      </c>
      <c r="F167" s="75">
        <f t="shared" si="12"/>
        <v>7.8999999999998636</v>
      </c>
      <c r="G167" s="75">
        <f t="shared" si="13"/>
        <v>0.81357013719025617</v>
      </c>
      <c r="H167" s="75">
        <f>VLOOKUP($A167,'Data Vlaue (Cr)'!$C:$FB,99)</f>
        <v>690</v>
      </c>
      <c r="I167" s="75">
        <f>VLOOKUP($A167,'Data Vlaue (Cr)'!$C:$FB,100)</f>
        <v>684</v>
      </c>
      <c r="J167" s="75">
        <f t="shared" si="14"/>
        <v>6</v>
      </c>
      <c r="K167" s="75">
        <f t="shared" si="15"/>
        <v>0.86956521739130432</v>
      </c>
      <c r="L167" s="75">
        <f>VLOOKUP($A167,'Data Vlaue (Cr)'!$C:$FB,67)</f>
        <v>181</v>
      </c>
      <c r="M167" s="75">
        <f>VLOOKUP($A167,'Data Vlaue (Cr)'!$C:$FB,68)</f>
        <v>120</v>
      </c>
      <c r="N167" s="75">
        <f t="shared" si="16"/>
        <v>61</v>
      </c>
      <c r="O167" s="75">
        <f t="shared" si="17"/>
        <v>33.701657458563538</v>
      </c>
      <c r="P167" s="75">
        <f>VLOOKUP($A167,'Data Vlaue (Cr)'!$C:$FB,119)</f>
        <v>0.53</v>
      </c>
      <c r="Q167" s="75">
        <f>VLOOKUP($A167,'Data Vlaue (Cr)'!$C:$FB,122)*100</f>
        <v>-32.910000000000004</v>
      </c>
      <c r="R167" s="75">
        <f>VLOOKUP($A167,'Data Vlaue (Cr)'!$C:$FB,125)</f>
        <v>0.31</v>
      </c>
      <c r="S167" s="75">
        <f>VLOOKUP($A167,'Data Vlaue (Cr)'!$C:$FB,128)*100</f>
        <v>-57.53</v>
      </c>
    </row>
    <row r="168" spans="1:19" x14ac:dyDescent="0.25">
      <c r="A168" s="96" t="str">
        <f>'Data Vlaue (Cr)'!C159</f>
        <v>PIDILITIND</v>
      </c>
      <c r="B168" s="75">
        <f>VLOOKUP($A168,'Data Vlaue (Cr)'!$C:$FB,2)</f>
        <v>500</v>
      </c>
      <c r="C168" s="75">
        <f>VLOOKUP($A168,'Data Vlaue (Cr)'!$C:$FB,8)</f>
        <v>1469.3</v>
      </c>
      <c r="D168" s="75">
        <f>VLOOKUP($A168,'Data Vlaue (Cr)'!$C:$FB,4)</f>
        <v>1477.5</v>
      </c>
      <c r="E168" s="75">
        <f>VLOOKUP($A168,'Data Vlaue (Cr)'!$C:$FB,5)</f>
        <v>1490</v>
      </c>
      <c r="F168" s="75">
        <f t="shared" si="12"/>
        <v>8.2000000000000455</v>
      </c>
      <c r="G168" s="75">
        <f t="shared" si="13"/>
        <v>-0.84602368866328259</v>
      </c>
      <c r="H168" s="75">
        <f>VLOOKUP($A168,'Data Vlaue (Cr)'!$C:$FB,99)</f>
        <v>1336</v>
      </c>
      <c r="I168" s="75">
        <f>VLOOKUP($A168,'Data Vlaue (Cr)'!$C:$FB,100)</f>
        <v>1310</v>
      </c>
      <c r="J168" s="75">
        <f t="shared" si="14"/>
        <v>26</v>
      </c>
      <c r="K168" s="75">
        <f t="shared" si="15"/>
        <v>1.9461077844311379</v>
      </c>
      <c r="L168" s="75">
        <f>VLOOKUP($A168,'Data Vlaue (Cr)'!$C:$FB,67)</f>
        <v>187</v>
      </c>
      <c r="M168" s="75">
        <f>VLOOKUP($A168,'Data Vlaue (Cr)'!$C:$FB,68)</f>
        <v>587</v>
      </c>
      <c r="N168" s="75">
        <f t="shared" si="16"/>
        <v>-400</v>
      </c>
      <c r="O168" s="75">
        <f t="shared" si="17"/>
        <v>-213.90374331550802</v>
      </c>
      <c r="P168" s="75">
        <f>VLOOKUP($A168,'Data Vlaue (Cr)'!$C:$FB,119)</f>
        <v>0.89</v>
      </c>
      <c r="Q168" s="75">
        <f>VLOOKUP($A168,'Data Vlaue (Cr)'!$C:$FB,122)*100</f>
        <v>3.49</v>
      </c>
      <c r="R168" s="75">
        <f>VLOOKUP($A168,'Data Vlaue (Cr)'!$C:$FB,125)</f>
        <v>0.48</v>
      </c>
      <c r="S168" s="75">
        <f>VLOOKUP($A168,'Data Vlaue (Cr)'!$C:$FB,128)*100</f>
        <v>26.32</v>
      </c>
    </row>
    <row r="169" spans="1:19" x14ac:dyDescent="0.25">
      <c r="A169" s="96" t="str">
        <f>'Data Vlaue (Cr)'!C160</f>
        <v>PIIND</v>
      </c>
      <c r="B169" s="75">
        <f>VLOOKUP($A169,'Data Vlaue (Cr)'!$C:$FB,2)</f>
        <v>175</v>
      </c>
      <c r="C169" s="75">
        <f>VLOOKUP($A169,'Data Vlaue (Cr)'!$C:$FB,8)</f>
        <v>3219.1</v>
      </c>
      <c r="D169" s="75">
        <f>VLOOKUP($A169,'Data Vlaue (Cr)'!$C:$FB,4)</f>
        <v>3233.4</v>
      </c>
      <c r="E169" s="75">
        <f>VLOOKUP($A169,'Data Vlaue (Cr)'!$C:$FB,5)</f>
        <v>3254.3</v>
      </c>
      <c r="F169" s="75">
        <f t="shared" si="12"/>
        <v>14.300000000000182</v>
      </c>
      <c r="G169" s="75">
        <f t="shared" si="13"/>
        <v>-0.6463784251871123</v>
      </c>
      <c r="H169" s="75">
        <f>VLOOKUP($A169,'Data Vlaue (Cr)'!$C:$FB,99)</f>
        <v>922</v>
      </c>
      <c r="I169" s="75">
        <f>VLOOKUP($A169,'Data Vlaue (Cr)'!$C:$FB,100)</f>
        <v>896</v>
      </c>
      <c r="J169" s="75">
        <f t="shared" si="14"/>
        <v>26</v>
      </c>
      <c r="K169" s="75">
        <f t="shared" si="15"/>
        <v>2.8199566160520604</v>
      </c>
      <c r="L169" s="75">
        <f>VLOOKUP($A169,'Data Vlaue (Cr)'!$C:$FB,67)</f>
        <v>174</v>
      </c>
      <c r="M169" s="75">
        <f>VLOOKUP($A169,'Data Vlaue (Cr)'!$C:$FB,68)</f>
        <v>213</v>
      </c>
      <c r="N169" s="75">
        <f t="shared" si="16"/>
        <v>-39</v>
      </c>
      <c r="O169" s="75">
        <f t="shared" si="17"/>
        <v>-22.413793103448278</v>
      </c>
      <c r="P169" s="75">
        <f>VLOOKUP($A169,'Data Vlaue (Cr)'!$C:$FB,119)</f>
        <v>0.87</v>
      </c>
      <c r="Q169" s="75">
        <f>VLOOKUP($A169,'Data Vlaue (Cr)'!$C:$FB,122)*100</f>
        <v>-8.42</v>
      </c>
      <c r="R169" s="75">
        <f>VLOOKUP($A169,'Data Vlaue (Cr)'!$C:$FB,125)</f>
        <v>0.45</v>
      </c>
      <c r="S169" s="75">
        <f>VLOOKUP($A169,'Data Vlaue (Cr)'!$C:$FB,128)*100</f>
        <v>0</v>
      </c>
    </row>
    <row r="170" spans="1:19" x14ac:dyDescent="0.25">
      <c r="A170" s="96" t="str">
        <f>'Data Vlaue (Cr)'!C161</f>
        <v>PNB</v>
      </c>
      <c r="B170" s="75">
        <f>VLOOKUP($A170,'Data Vlaue (Cr)'!$C:$FB,2)</f>
        <v>8000</v>
      </c>
      <c r="C170" s="75">
        <f>VLOOKUP($A170,'Data Vlaue (Cr)'!$C:$FB,8)</f>
        <v>123.94</v>
      </c>
      <c r="D170" s="75">
        <f>VLOOKUP($A170,'Data Vlaue (Cr)'!$C:$FB,4)</f>
        <v>124.65</v>
      </c>
      <c r="E170" s="75">
        <f>VLOOKUP($A170,'Data Vlaue (Cr)'!$C:$FB,5)</f>
        <v>124.41</v>
      </c>
      <c r="F170" s="75">
        <f t="shared" si="12"/>
        <v>0.71000000000000796</v>
      </c>
      <c r="G170" s="75">
        <f t="shared" si="13"/>
        <v>0.19253910950662584</v>
      </c>
      <c r="H170" s="75">
        <f>VLOOKUP($A170,'Data Vlaue (Cr)'!$C:$FB,99)</f>
        <v>4416</v>
      </c>
      <c r="I170" s="75">
        <f>VLOOKUP($A170,'Data Vlaue (Cr)'!$C:$FB,100)</f>
        <v>4285</v>
      </c>
      <c r="J170" s="75">
        <f t="shared" si="14"/>
        <v>131</v>
      </c>
      <c r="K170" s="75">
        <f t="shared" si="15"/>
        <v>2.9664855072463769</v>
      </c>
      <c r="L170" s="75">
        <f>VLOOKUP($A170,'Data Vlaue (Cr)'!$C:$FB,67)</f>
        <v>1270</v>
      </c>
      <c r="M170" s="75">
        <f>VLOOKUP($A170,'Data Vlaue (Cr)'!$C:$FB,68)</f>
        <v>3114</v>
      </c>
      <c r="N170" s="75">
        <f t="shared" si="16"/>
        <v>-1844</v>
      </c>
      <c r="O170" s="75">
        <f t="shared" si="17"/>
        <v>-145.19685039370077</v>
      </c>
      <c r="P170" s="75">
        <f>VLOOKUP($A170,'Data Vlaue (Cr)'!$C:$FB,119)</f>
        <v>1.02</v>
      </c>
      <c r="Q170" s="75">
        <f>VLOOKUP($A170,'Data Vlaue (Cr)'!$C:$FB,122)*100</f>
        <v>0</v>
      </c>
      <c r="R170" s="75">
        <f>VLOOKUP($A170,'Data Vlaue (Cr)'!$C:$FB,125)</f>
        <v>0.75</v>
      </c>
      <c r="S170" s="75">
        <f>VLOOKUP($A170,'Data Vlaue (Cr)'!$C:$FB,128)*100</f>
        <v>-5.0599999999999996</v>
      </c>
    </row>
    <row r="171" spans="1:19" x14ac:dyDescent="0.25">
      <c r="A171" s="96" t="str">
        <f>'Data Vlaue (Cr)'!C162</f>
        <v>PNBHOUSING</v>
      </c>
      <c r="B171" s="75">
        <f>VLOOKUP($A171,'Data Vlaue (Cr)'!$C:$FB,2)</f>
        <v>650</v>
      </c>
      <c r="C171" s="75">
        <f>VLOOKUP($A171,'Data Vlaue (Cr)'!$C:$FB,8)</f>
        <v>986.6</v>
      </c>
      <c r="D171" s="75">
        <f>VLOOKUP($A171,'Data Vlaue (Cr)'!$C:$FB,4)</f>
        <v>990.35</v>
      </c>
      <c r="E171" s="75">
        <f>VLOOKUP($A171,'Data Vlaue (Cr)'!$C:$FB,5)</f>
        <v>956.2</v>
      </c>
      <c r="F171" s="75">
        <f t="shared" si="12"/>
        <v>3.75</v>
      </c>
      <c r="G171" s="75">
        <f t="shared" si="13"/>
        <v>3.4482758620689635</v>
      </c>
      <c r="H171" s="75">
        <f>VLOOKUP($A171,'Data Vlaue (Cr)'!$C:$FB,99)</f>
        <v>2004</v>
      </c>
      <c r="I171" s="75">
        <f>VLOOKUP($A171,'Data Vlaue (Cr)'!$C:$FB,100)</f>
        <v>1907</v>
      </c>
      <c r="J171" s="75">
        <f t="shared" si="14"/>
        <v>97</v>
      </c>
      <c r="K171" s="75">
        <f t="shared" si="15"/>
        <v>4.8403193612774453</v>
      </c>
      <c r="L171" s="75">
        <f>VLOOKUP($A171,'Data Vlaue (Cr)'!$C:$FB,67)</f>
        <v>2264</v>
      </c>
      <c r="M171" s="75">
        <f>VLOOKUP($A171,'Data Vlaue (Cr)'!$C:$FB,68)</f>
        <v>359</v>
      </c>
      <c r="N171" s="75">
        <f t="shared" si="16"/>
        <v>1905</v>
      </c>
      <c r="O171" s="75">
        <f t="shared" si="17"/>
        <v>84.143109540636047</v>
      </c>
      <c r="P171" s="75">
        <f>VLOOKUP($A171,'Data Vlaue (Cr)'!$C:$FB,119)</f>
        <v>0.64</v>
      </c>
      <c r="Q171" s="75">
        <f>VLOOKUP($A171,'Data Vlaue (Cr)'!$C:$FB,122)*100</f>
        <v>4.92</v>
      </c>
      <c r="R171" s="75">
        <f>VLOOKUP($A171,'Data Vlaue (Cr)'!$C:$FB,125)</f>
        <v>0.25</v>
      </c>
      <c r="S171" s="75">
        <f>VLOOKUP($A171,'Data Vlaue (Cr)'!$C:$FB,128)*100</f>
        <v>-35.9</v>
      </c>
    </row>
    <row r="172" spans="1:19" x14ac:dyDescent="0.25">
      <c r="A172" s="96" t="str">
        <f>'Data Vlaue (Cr)'!C163</f>
        <v>POLICYBZR</v>
      </c>
      <c r="B172" s="75">
        <f>VLOOKUP($A172,'Data Vlaue (Cr)'!$C:$FB,2)</f>
        <v>350</v>
      </c>
      <c r="C172" s="75">
        <f>VLOOKUP($A172,'Data Vlaue (Cr)'!$C:$FB,8)</f>
        <v>1805.8</v>
      </c>
      <c r="D172" s="75">
        <f>VLOOKUP($A172,'Data Vlaue (Cr)'!$C:$FB,4)</f>
        <v>1818.3</v>
      </c>
      <c r="E172" s="75">
        <f>VLOOKUP($A172,'Data Vlaue (Cr)'!$C:$FB,5)</f>
        <v>1836.6</v>
      </c>
      <c r="F172" s="75">
        <f t="shared" si="12"/>
        <v>12.5</v>
      </c>
      <c r="G172" s="75">
        <f t="shared" si="13"/>
        <v>-1.0064345817521836</v>
      </c>
      <c r="H172" s="75">
        <f>VLOOKUP($A172,'Data Vlaue (Cr)'!$C:$FB,99)</f>
        <v>1452</v>
      </c>
      <c r="I172" s="75">
        <f>VLOOKUP($A172,'Data Vlaue (Cr)'!$C:$FB,100)</f>
        <v>1377</v>
      </c>
      <c r="J172" s="75">
        <f t="shared" si="14"/>
        <v>75</v>
      </c>
      <c r="K172" s="75">
        <f t="shared" si="15"/>
        <v>5.1652892561983474</v>
      </c>
      <c r="L172" s="75">
        <f>VLOOKUP($A172,'Data Vlaue (Cr)'!$C:$FB,67)</f>
        <v>1106</v>
      </c>
      <c r="M172" s="75">
        <f>VLOOKUP($A172,'Data Vlaue (Cr)'!$C:$FB,68)</f>
        <v>1173</v>
      </c>
      <c r="N172" s="75">
        <f t="shared" si="16"/>
        <v>-67</v>
      </c>
      <c r="O172" s="75">
        <f t="shared" si="17"/>
        <v>-6.0578661844484625</v>
      </c>
      <c r="P172" s="75">
        <f>VLOOKUP($A172,'Data Vlaue (Cr)'!$C:$FB,119)</f>
        <v>0.8</v>
      </c>
      <c r="Q172" s="75">
        <f>VLOOKUP($A172,'Data Vlaue (Cr)'!$C:$FB,122)*100</f>
        <v>5.26</v>
      </c>
      <c r="R172" s="75">
        <f>VLOOKUP($A172,'Data Vlaue (Cr)'!$C:$FB,125)</f>
        <v>1.1399999999999999</v>
      </c>
      <c r="S172" s="75">
        <f>VLOOKUP($A172,'Data Vlaue (Cr)'!$C:$FB,128)*100</f>
        <v>3.64</v>
      </c>
    </row>
    <row r="173" spans="1:19" x14ac:dyDescent="0.25">
      <c r="A173" s="96" t="str">
        <f>'Data Vlaue (Cr)'!C164</f>
        <v>POLYCAB</v>
      </c>
      <c r="B173" s="75">
        <f>VLOOKUP($A173,'Data Vlaue (Cr)'!$C:$FB,2)</f>
        <v>125</v>
      </c>
      <c r="C173" s="75">
        <f>VLOOKUP($A173,'Data Vlaue (Cr)'!$C:$FB,8)</f>
        <v>7673</v>
      </c>
      <c r="D173" s="75">
        <f>VLOOKUP($A173,'Data Vlaue (Cr)'!$C:$FB,4)</f>
        <v>7718.5</v>
      </c>
      <c r="E173" s="75">
        <f>VLOOKUP($A173,'Data Vlaue (Cr)'!$C:$FB,5)</f>
        <v>7668</v>
      </c>
      <c r="F173" s="75">
        <f t="shared" si="12"/>
        <v>45.5</v>
      </c>
      <c r="G173" s="75">
        <f t="shared" si="13"/>
        <v>0.65427220314828005</v>
      </c>
      <c r="H173" s="75">
        <f>VLOOKUP($A173,'Data Vlaue (Cr)'!$C:$FB,99)</f>
        <v>2504</v>
      </c>
      <c r="I173" s="75">
        <f>VLOOKUP($A173,'Data Vlaue (Cr)'!$C:$FB,100)</f>
        <v>2440</v>
      </c>
      <c r="J173" s="75">
        <f t="shared" si="14"/>
        <v>64</v>
      </c>
      <c r="K173" s="75">
        <f t="shared" si="15"/>
        <v>2.5559105431309903</v>
      </c>
      <c r="L173" s="75">
        <f>VLOOKUP($A173,'Data Vlaue (Cr)'!$C:$FB,67)</f>
        <v>1408</v>
      </c>
      <c r="M173" s="75">
        <f>VLOOKUP($A173,'Data Vlaue (Cr)'!$C:$FB,68)</f>
        <v>1358</v>
      </c>
      <c r="N173" s="75">
        <f t="shared" si="16"/>
        <v>50</v>
      </c>
      <c r="O173" s="75">
        <f t="shared" si="17"/>
        <v>3.5511363636363638</v>
      </c>
      <c r="P173" s="75">
        <f>VLOOKUP($A173,'Data Vlaue (Cr)'!$C:$FB,119)</f>
        <v>0.73</v>
      </c>
      <c r="Q173" s="75">
        <f>VLOOKUP($A173,'Data Vlaue (Cr)'!$C:$FB,122)*100</f>
        <v>1.39</v>
      </c>
      <c r="R173" s="75">
        <f>VLOOKUP($A173,'Data Vlaue (Cr)'!$C:$FB,125)</f>
        <v>0.52</v>
      </c>
      <c r="S173" s="75">
        <f>VLOOKUP($A173,'Data Vlaue (Cr)'!$C:$FB,128)*100</f>
        <v>-5.45</v>
      </c>
    </row>
    <row r="174" spans="1:19" x14ac:dyDescent="0.25">
      <c r="A174" s="96" t="str">
        <f>'Data Vlaue (Cr)'!C165</f>
        <v>POWERGRID</v>
      </c>
      <c r="B174" s="75">
        <f>VLOOKUP($A174,'Data Vlaue (Cr)'!$C:$FB,2)</f>
        <v>1900</v>
      </c>
      <c r="C174" s="75">
        <f>VLOOKUP($A174,'Data Vlaue (Cr)'!$C:$FB,8)</f>
        <v>266.8</v>
      </c>
      <c r="D174" s="75">
        <f>VLOOKUP($A174,'Data Vlaue (Cr)'!$C:$FB,4)</f>
        <v>268.45</v>
      </c>
      <c r="E174" s="75">
        <f>VLOOKUP($A174,'Data Vlaue (Cr)'!$C:$FB,5)</f>
        <v>265.60000000000002</v>
      </c>
      <c r="F174" s="75">
        <f t="shared" si="12"/>
        <v>1.6499999999999773</v>
      </c>
      <c r="G174" s="75">
        <f t="shared" si="13"/>
        <v>1.0616502141925743</v>
      </c>
      <c r="H174" s="75">
        <f>VLOOKUP($A174,'Data Vlaue (Cr)'!$C:$FB,99)</f>
        <v>3455</v>
      </c>
      <c r="I174" s="75">
        <f>VLOOKUP($A174,'Data Vlaue (Cr)'!$C:$FB,100)</f>
        <v>3352</v>
      </c>
      <c r="J174" s="75">
        <f t="shared" si="14"/>
        <v>103</v>
      </c>
      <c r="K174" s="75">
        <f t="shared" si="15"/>
        <v>2.9811866859623732</v>
      </c>
      <c r="L174" s="75">
        <f>VLOOKUP($A174,'Data Vlaue (Cr)'!$C:$FB,67)</f>
        <v>771</v>
      </c>
      <c r="M174" s="75">
        <f>VLOOKUP($A174,'Data Vlaue (Cr)'!$C:$FB,68)</f>
        <v>964</v>
      </c>
      <c r="N174" s="75">
        <f t="shared" si="16"/>
        <v>-193</v>
      </c>
      <c r="O174" s="75">
        <f t="shared" si="17"/>
        <v>-25.03242542153048</v>
      </c>
      <c r="P174" s="75">
        <f>VLOOKUP($A174,'Data Vlaue (Cr)'!$C:$FB,119)</f>
        <v>0.79</v>
      </c>
      <c r="Q174" s="75">
        <f>VLOOKUP($A174,'Data Vlaue (Cr)'!$C:$FB,122)*100</f>
        <v>-10.23</v>
      </c>
      <c r="R174" s="75">
        <f>VLOOKUP($A174,'Data Vlaue (Cr)'!$C:$FB,125)</f>
        <v>0.36</v>
      </c>
      <c r="S174" s="75">
        <f>VLOOKUP($A174,'Data Vlaue (Cr)'!$C:$FB,128)*100</f>
        <v>-20</v>
      </c>
    </row>
    <row r="175" spans="1:19" x14ac:dyDescent="0.25">
      <c r="A175" s="96" t="str">
        <f>'Data Vlaue (Cr)'!C166</f>
        <v>POWERINDIA</v>
      </c>
      <c r="B175" s="75">
        <f>VLOOKUP($A175,'Data Vlaue (Cr)'!$C:$FB,2)</f>
        <v>50</v>
      </c>
      <c r="C175" s="75">
        <f>VLOOKUP($A175,'Data Vlaue (Cr)'!$C:$FB,8)</f>
        <v>18482</v>
      </c>
      <c r="D175" s="75">
        <f>VLOOKUP($A175,'Data Vlaue (Cr)'!$C:$FB,4)</f>
        <v>18592</v>
      </c>
      <c r="E175" s="75">
        <f>VLOOKUP($A175,'Data Vlaue (Cr)'!$C:$FB,5)</f>
        <v>18390</v>
      </c>
      <c r="F175" s="75">
        <f t="shared" si="12"/>
        <v>110</v>
      </c>
      <c r="G175" s="75">
        <f t="shared" si="13"/>
        <v>1.0864888123924268</v>
      </c>
      <c r="H175" s="75">
        <f>VLOOKUP($A175,'Data Vlaue (Cr)'!$C:$FB,99)</f>
        <v>636</v>
      </c>
      <c r="I175" s="75">
        <f>VLOOKUP($A175,'Data Vlaue (Cr)'!$C:$FB,100)</f>
        <v>635</v>
      </c>
      <c r="J175" s="75">
        <f t="shared" si="14"/>
        <v>1</v>
      </c>
      <c r="K175" s="75">
        <f t="shared" si="15"/>
        <v>0.15723270440251574</v>
      </c>
      <c r="L175" s="75">
        <f>VLOOKUP($A175,'Data Vlaue (Cr)'!$C:$FB,67)</f>
        <v>142</v>
      </c>
      <c r="M175" s="75">
        <f>VLOOKUP($A175,'Data Vlaue (Cr)'!$C:$FB,68)</f>
        <v>256</v>
      </c>
      <c r="N175" s="75">
        <f t="shared" si="16"/>
        <v>-114</v>
      </c>
      <c r="O175" s="75">
        <f t="shared" si="17"/>
        <v>-80.281690140845072</v>
      </c>
      <c r="P175" s="75">
        <f>VLOOKUP($A175,'Data Vlaue (Cr)'!$C:$FB,119)</f>
        <v>0.5</v>
      </c>
      <c r="Q175" s="75">
        <f>VLOOKUP($A175,'Data Vlaue (Cr)'!$C:$FB,122)*100</f>
        <v>13.639999999999999</v>
      </c>
      <c r="R175" s="75">
        <f>VLOOKUP($A175,'Data Vlaue (Cr)'!$C:$FB,125)</f>
        <v>0.32</v>
      </c>
      <c r="S175" s="75">
        <f>VLOOKUP($A175,'Data Vlaue (Cr)'!$C:$FB,128)*100</f>
        <v>33.33</v>
      </c>
    </row>
    <row r="176" spans="1:19" x14ac:dyDescent="0.25">
      <c r="A176" s="96" t="str">
        <f>'Data Vlaue (Cr)'!C167</f>
        <v>PPLPHARMA</v>
      </c>
      <c r="B176" s="75">
        <f>VLOOKUP($A176,'Data Vlaue (Cr)'!$C:$FB,2)</f>
        <v>2625</v>
      </c>
      <c r="C176" s="75">
        <f>VLOOKUP($A176,'Data Vlaue (Cr)'!$C:$FB,8)</f>
        <v>169.88</v>
      </c>
      <c r="D176" s="75">
        <f>VLOOKUP($A176,'Data Vlaue (Cr)'!$C:$FB,4)</f>
        <v>171.08</v>
      </c>
      <c r="E176" s="75">
        <f>VLOOKUP($A176,'Data Vlaue (Cr)'!$C:$FB,5)</f>
        <v>173.37</v>
      </c>
      <c r="F176" s="75">
        <f t="shared" si="12"/>
        <v>1.2000000000000171</v>
      </c>
      <c r="G176" s="75">
        <f t="shared" si="13"/>
        <v>-1.3385550619593125</v>
      </c>
      <c r="H176" s="75">
        <f>VLOOKUP($A176,'Data Vlaue (Cr)'!$C:$FB,99)</f>
        <v>588</v>
      </c>
      <c r="I176" s="75">
        <f>VLOOKUP($A176,'Data Vlaue (Cr)'!$C:$FB,100)</f>
        <v>572</v>
      </c>
      <c r="J176" s="75">
        <f t="shared" si="14"/>
        <v>16</v>
      </c>
      <c r="K176" s="75">
        <f t="shared" si="15"/>
        <v>2.7210884353741496</v>
      </c>
      <c r="L176" s="75">
        <f>VLOOKUP($A176,'Data Vlaue (Cr)'!$C:$FB,67)</f>
        <v>93</v>
      </c>
      <c r="M176" s="75">
        <f>VLOOKUP($A176,'Data Vlaue (Cr)'!$C:$FB,68)</f>
        <v>97</v>
      </c>
      <c r="N176" s="75">
        <f t="shared" si="16"/>
        <v>-4</v>
      </c>
      <c r="O176" s="75">
        <f t="shared" si="17"/>
        <v>-4.3010752688172049</v>
      </c>
      <c r="P176" s="75">
        <f>VLOOKUP($A176,'Data Vlaue (Cr)'!$C:$FB,119)</f>
        <v>0.71</v>
      </c>
      <c r="Q176" s="75">
        <f>VLOOKUP($A176,'Data Vlaue (Cr)'!$C:$FB,122)*100</f>
        <v>1.43</v>
      </c>
      <c r="R176" s="75">
        <f>VLOOKUP($A176,'Data Vlaue (Cr)'!$C:$FB,125)</f>
        <v>0.48</v>
      </c>
      <c r="S176" s="75">
        <f>VLOOKUP($A176,'Data Vlaue (Cr)'!$C:$FB,128)*100</f>
        <v>242.85999999999999</v>
      </c>
    </row>
    <row r="177" spans="1:19" x14ac:dyDescent="0.25">
      <c r="A177" s="96" t="str">
        <f>'Data Vlaue (Cr)'!C168</f>
        <v>PREMIERENE</v>
      </c>
      <c r="B177" s="75">
        <f>VLOOKUP($A177,'Data Vlaue (Cr)'!$C:$FB,2)</f>
        <v>575</v>
      </c>
      <c r="C177" s="75">
        <f>VLOOKUP($A177,'Data Vlaue (Cr)'!$C:$FB,8)</f>
        <v>847.2</v>
      </c>
      <c r="D177" s="75">
        <f>VLOOKUP($A177,'Data Vlaue (Cr)'!$C:$FB,4)</f>
        <v>852.05</v>
      </c>
      <c r="E177" s="75">
        <f>VLOOKUP($A177,'Data Vlaue (Cr)'!$C:$FB,5)</f>
        <v>844.45</v>
      </c>
      <c r="F177" s="75">
        <f t="shared" ref="F177:F185" si="18">D177-C177</f>
        <v>4.8499999999999091</v>
      </c>
      <c r="G177" s="75">
        <f t="shared" ref="G177:G185" si="19">(D177-E177)/D177*100</f>
        <v>0.89196643389471386</v>
      </c>
      <c r="H177" s="75">
        <f>VLOOKUP($A177,'Data Vlaue (Cr)'!$C:$FB,99)</f>
        <v>131</v>
      </c>
      <c r="I177" s="75">
        <f>VLOOKUP($A177,'Data Vlaue (Cr)'!$C:$FB,100)</f>
        <v>113</v>
      </c>
      <c r="J177" s="75">
        <f t="shared" ref="J177:J185" si="20">H177-I177</f>
        <v>18</v>
      </c>
      <c r="K177" s="75">
        <f t="shared" ref="K177:K185" si="21">J177/H177*100</f>
        <v>13.740458015267176</v>
      </c>
      <c r="L177" s="75">
        <f>VLOOKUP($A177,'Data Vlaue (Cr)'!$C:$FB,67)</f>
        <v>100</v>
      </c>
      <c r="M177" s="75">
        <f>VLOOKUP($A177,'Data Vlaue (Cr)'!$C:$FB,68)</f>
        <v>300</v>
      </c>
      <c r="N177" s="75">
        <f t="shared" ref="N177:N185" si="22">L177-M177</f>
        <v>-200</v>
      </c>
      <c r="O177" s="75">
        <f t="shared" ref="O177:O185" si="23">N177/L177*100</f>
        <v>-200</v>
      </c>
      <c r="P177" s="75">
        <f>VLOOKUP($A177,'Data Vlaue (Cr)'!$C:$FB,119)</f>
        <v>0.56999999999999995</v>
      </c>
      <c r="Q177" s="75">
        <f>VLOOKUP($A177,'Data Vlaue (Cr)'!$C:$FB,122)*100</f>
        <v>14.000000000000002</v>
      </c>
      <c r="R177" s="75">
        <f>VLOOKUP($A177,'Data Vlaue (Cr)'!$C:$FB,125)</f>
        <v>0.61</v>
      </c>
      <c r="S177" s="75">
        <f>VLOOKUP($A177,'Data Vlaue (Cr)'!$C:$FB,128)*100</f>
        <v>-18.670000000000002</v>
      </c>
    </row>
    <row r="178" spans="1:19" x14ac:dyDescent="0.25">
      <c r="A178" s="96" t="str">
        <f>'Data Vlaue (Cr)'!C169</f>
        <v>PRESTIGE</v>
      </c>
      <c r="B178" s="75">
        <f>VLOOKUP($A178,'Data Vlaue (Cr)'!$C:$FB,2)</f>
        <v>450</v>
      </c>
      <c r="C178" s="75">
        <f>VLOOKUP($A178,'Data Vlaue (Cr)'!$C:$FB,8)</f>
        <v>1604.1</v>
      </c>
      <c r="D178" s="75">
        <f>VLOOKUP($A178,'Data Vlaue (Cr)'!$C:$FB,4)</f>
        <v>1614.8</v>
      </c>
      <c r="E178" s="75">
        <f>VLOOKUP($A178,'Data Vlaue (Cr)'!$C:$FB,5)</f>
        <v>1600.5</v>
      </c>
      <c r="F178" s="75">
        <f t="shared" si="18"/>
        <v>10.700000000000045</v>
      </c>
      <c r="G178" s="75">
        <f t="shared" si="19"/>
        <v>0.88555858310626434</v>
      </c>
      <c r="H178" s="75">
        <f>VLOOKUP($A178,'Data Vlaue (Cr)'!$C:$FB,99)</f>
        <v>820</v>
      </c>
      <c r="I178" s="75">
        <f>VLOOKUP($A178,'Data Vlaue (Cr)'!$C:$FB,100)</f>
        <v>801</v>
      </c>
      <c r="J178" s="75">
        <f t="shared" si="20"/>
        <v>19</v>
      </c>
      <c r="K178" s="75">
        <f t="shared" si="21"/>
        <v>2.3170731707317072</v>
      </c>
      <c r="L178" s="75">
        <f>VLOOKUP($A178,'Data Vlaue (Cr)'!$C:$FB,67)</f>
        <v>222</v>
      </c>
      <c r="M178" s="75">
        <f>VLOOKUP($A178,'Data Vlaue (Cr)'!$C:$FB,68)</f>
        <v>224</v>
      </c>
      <c r="N178" s="75">
        <f t="shared" si="22"/>
        <v>-2</v>
      </c>
      <c r="O178" s="75">
        <f t="shared" si="23"/>
        <v>-0.90090090090090091</v>
      </c>
      <c r="P178" s="75">
        <f>VLOOKUP($A178,'Data Vlaue (Cr)'!$C:$FB,119)</f>
        <v>1.0900000000000001</v>
      </c>
      <c r="Q178" s="75">
        <f>VLOOKUP($A178,'Data Vlaue (Cr)'!$C:$FB,122)*100</f>
        <v>2.83</v>
      </c>
      <c r="R178" s="75">
        <f>VLOOKUP($A178,'Data Vlaue (Cr)'!$C:$FB,125)</f>
        <v>0.35</v>
      </c>
      <c r="S178" s="75">
        <f>VLOOKUP($A178,'Data Vlaue (Cr)'!$C:$FB,128)*100</f>
        <v>-27.08</v>
      </c>
    </row>
    <row r="179" spans="1:19" x14ac:dyDescent="0.25">
      <c r="A179" s="96" t="str">
        <f>'Data Vlaue (Cr)'!C170</f>
        <v>RBLBANK</v>
      </c>
      <c r="B179" s="75">
        <f>VLOOKUP($A179,'Data Vlaue (Cr)'!$C:$FB,2)</f>
        <v>3175</v>
      </c>
      <c r="C179" s="75">
        <f>VLOOKUP($A179,'Data Vlaue (Cr)'!$C:$FB,8)</f>
        <v>315.3</v>
      </c>
      <c r="D179" s="75">
        <f>VLOOKUP($A179,'Data Vlaue (Cr)'!$C:$FB,4)</f>
        <v>317.35000000000002</v>
      </c>
      <c r="E179" s="75">
        <f>VLOOKUP($A179,'Data Vlaue (Cr)'!$C:$FB,5)</f>
        <v>316.89999999999998</v>
      </c>
      <c r="F179" s="75">
        <f t="shared" si="18"/>
        <v>2.0500000000000114</v>
      </c>
      <c r="G179" s="75">
        <f t="shared" si="19"/>
        <v>0.14179927524816305</v>
      </c>
      <c r="H179" s="75">
        <f>VLOOKUP($A179,'Data Vlaue (Cr)'!$C:$FB,99)</f>
        <v>3056</v>
      </c>
      <c r="I179" s="75">
        <f>VLOOKUP($A179,'Data Vlaue (Cr)'!$C:$FB,100)</f>
        <v>3015</v>
      </c>
      <c r="J179" s="75">
        <f t="shared" si="20"/>
        <v>41</v>
      </c>
      <c r="K179" s="75">
        <f t="shared" si="21"/>
        <v>1.3416230366492148</v>
      </c>
      <c r="L179" s="75">
        <f>VLOOKUP($A179,'Data Vlaue (Cr)'!$C:$FB,67)</f>
        <v>768</v>
      </c>
      <c r="M179" s="75">
        <f>VLOOKUP($A179,'Data Vlaue (Cr)'!$C:$FB,68)</f>
        <v>1652</v>
      </c>
      <c r="N179" s="75">
        <f t="shared" si="22"/>
        <v>-884</v>
      </c>
      <c r="O179" s="75">
        <f t="shared" si="23"/>
        <v>-115.10416666666667</v>
      </c>
      <c r="P179" s="75">
        <f>VLOOKUP($A179,'Data Vlaue (Cr)'!$C:$FB,119)</f>
        <v>0.76</v>
      </c>
      <c r="Q179" s="75">
        <f>VLOOKUP($A179,'Data Vlaue (Cr)'!$C:$FB,122)*100</f>
        <v>-6.17</v>
      </c>
      <c r="R179" s="75">
        <f>VLOOKUP($A179,'Data Vlaue (Cr)'!$C:$FB,125)</f>
        <v>0.47</v>
      </c>
      <c r="S179" s="75">
        <f>VLOOKUP($A179,'Data Vlaue (Cr)'!$C:$FB,128)*100</f>
        <v>-11.32</v>
      </c>
    </row>
    <row r="180" spans="1:19" x14ac:dyDescent="0.25">
      <c r="A180" s="96" t="str">
        <f>'Data Vlaue (Cr)'!C171</f>
        <v>RECLTD</v>
      </c>
      <c r="B180" s="75">
        <f>VLOOKUP($A180,'Data Vlaue (Cr)'!$C:$FB,2)</f>
        <v>1400</v>
      </c>
      <c r="C180" s="75">
        <f>VLOOKUP($A180,'Data Vlaue (Cr)'!$C:$FB,8)</f>
        <v>367.7</v>
      </c>
      <c r="D180" s="75">
        <f>VLOOKUP($A180,'Data Vlaue (Cr)'!$C:$FB,4)</f>
        <v>368.65</v>
      </c>
      <c r="E180" s="75">
        <f>VLOOKUP($A180,'Data Vlaue (Cr)'!$C:$FB,5)</f>
        <v>358.9</v>
      </c>
      <c r="F180" s="75">
        <f t="shared" si="18"/>
        <v>0.94999999999998863</v>
      </c>
      <c r="G180" s="75">
        <f t="shared" si="19"/>
        <v>2.6447850264478503</v>
      </c>
      <c r="H180" s="75">
        <f>VLOOKUP($A180,'Data Vlaue (Cr)'!$C:$FB,99)</f>
        <v>5302</v>
      </c>
      <c r="I180" s="75">
        <f>VLOOKUP($A180,'Data Vlaue (Cr)'!$C:$FB,100)</f>
        <v>5123</v>
      </c>
      <c r="J180" s="75">
        <f t="shared" si="20"/>
        <v>179</v>
      </c>
      <c r="K180" s="75">
        <f t="shared" si="21"/>
        <v>3.3760844964164467</v>
      </c>
      <c r="L180" s="75">
        <f>VLOOKUP($A180,'Data Vlaue (Cr)'!$C:$FB,67)</f>
        <v>5010</v>
      </c>
      <c r="M180" s="75">
        <f>VLOOKUP($A180,'Data Vlaue (Cr)'!$C:$FB,68)</f>
        <v>2778</v>
      </c>
      <c r="N180" s="75">
        <f t="shared" si="22"/>
        <v>2232</v>
      </c>
      <c r="O180" s="75">
        <f t="shared" si="23"/>
        <v>44.550898203592816</v>
      </c>
      <c r="P180" s="75">
        <f>VLOOKUP($A180,'Data Vlaue (Cr)'!$C:$FB,119)</f>
        <v>0.74</v>
      </c>
      <c r="Q180" s="75">
        <f>VLOOKUP($A180,'Data Vlaue (Cr)'!$C:$FB,122)*100</f>
        <v>-2.63</v>
      </c>
      <c r="R180" s="75">
        <f>VLOOKUP($A180,'Data Vlaue (Cr)'!$C:$FB,125)</f>
        <v>0.26</v>
      </c>
      <c r="S180" s="75">
        <f>VLOOKUP($A180,'Data Vlaue (Cr)'!$C:$FB,128)*100</f>
        <v>-33.33</v>
      </c>
    </row>
    <row r="181" spans="1:19" x14ac:dyDescent="0.25">
      <c r="A181" s="96" t="str">
        <f>'Data Vlaue (Cr)'!C172</f>
        <v>RELIANCE</v>
      </c>
      <c r="B181" s="75">
        <f>VLOOKUP($A181,'Data Vlaue (Cr)'!$C:$FB,2)</f>
        <v>500</v>
      </c>
      <c r="C181" s="75">
        <f>VLOOKUP($A181,'Data Vlaue (Cr)'!$C:$FB,8)</f>
        <v>1575.6</v>
      </c>
      <c r="D181" s="75">
        <f>VLOOKUP($A181,'Data Vlaue (Cr)'!$C:$FB,4)</f>
        <v>1584</v>
      </c>
      <c r="E181" s="75">
        <f>VLOOKUP($A181,'Data Vlaue (Cr)'!$C:$FB,5)</f>
        <v>1578</v>
      </c>
      <c r="F181" s="75">
        <f t="shared" si="18"/>
        <v>8.4000000000000909</v>
      </c>
      <c r="G181" s="75">
        <f t="shared" si="19"/>
        <v>0.37878787878787878</v>
      </c>
      <c r="H181" s="75">
        <f>VLOOKUP($A181,'Data Vlaue (Cr)'!$C:$FB,99)</f>
        <v>22991</v>
      </c>
      <c r="I181" s="75">
        <f>VLOOKUP($A181,'Data Vlaue (Cr)'!$C:$FB,100)</f>
        <v>22092</v>
      </c>
      <c r="J181" s="75">
        <f t="shared" si="20"/>
        <v>899</v>
      </c>
      <c r="K181" s="75">
        <f t="shared" si="21"/>
        <v>3.9102257405071548</v>
      </c>
      <c r="L181" s="75">
        <f>VLOOKUP($A181,'Data Vlaue (Cr)'!$C:$FB,67)</f>
        <v>14049</v>
      </c>
      <c r="M181" s="75">
        <f>VLOOKUP($A181,'Data Vlaue (Cr)'!$C:$FB,68)</f>
        <v>15049</v>
      </c>
      <c r="N181" s="75">
        <f t="shared" si="22"/>
        <v>-1000</v>
      </c>
      <c r="O181" s="75">
        <f t="shared" si="23"/>
        <v>-7.1179443376752793</v>
      </c>
      <c r="P181" s="75">
        <f>VLOOKUP($A181,'Data Vlaue (Cr)'!$C:$FB,119)</f>
        <v>0.62</v>
      </c>
      <c r="Q181" s="75">
        <f>VLOOKUP($A181,'Data Vlaue (Cr)'!$C:$FB,122)*100</f>
        <v>-11.43</v>
      </c>
      <c r="R181" s="75">
        <f>VLOOKUP($A181,'Data Vlaue (Cr)'!$C:$FB,125)</f>
        <v>0.47</v>
      </c>
      <c r="S181" s="75">
        <f>VLOOKUP($A181,'Data Vlaue (Cr)'!$C:$FB,128)*100</f>
        <v>-12.959999999999999</v>
      </c>
    </row>
    <row r="182" spans="1:19" x14ac:dyDescent="0.25">
      <c r="A182" s="96" t="str">
        <f>'Data Vlaue (Cr)'!C173</f>
        <v>RVNL</v>
      </c>
      <c r="B182" s="75">
        <f>VLOOKUP($A182,'Data Vlaue (Cr)'!$C:$FB,2)</f>
        <v>1525</v>
      </c>
      <c r="C182" s="75">
        <f>VLOOKUP($A182,'Data Vlaue (Cr)'!$C:$FB,8)</f>
        <v>361.5</v>
      </c>
      <c r="D182" s="75">
        <f>VLOOKUP($A182,'Data Vlaue (Cr)'!$C:$FB,4)</f>
        <v>357.6</v>
      </c>
      <c r="E182" s="75">
        <f>VLOOKUP($A182,'Data Vlaue (Cr)'!$C:$FB,5)</f>
        <v>351.9</v>
      </c>
      <c r="F182" s="75">
        <f t="shared" si="18"/>
        <v>-3.8999999999999773</v>
      </c>
      <c r="G182" s="75">
        <f t="shared" si="19"/>
        <v>1.5939597315436367</v>
      </c>
      <c r="H182" s="75">
        <f>VLOOKUP($A182,'Data Vlaue (Cr)'!$C:$FB,99)</f>
        <v>3516</v>
      </c>
      <c r="I182" s="75">
        <f>VLOOKUP($A182,'Data Vlaue (Cr)'!$C:$FB,100)</f>
        <v>3515</v>
      </c>
      <c r="J182" s="75">
        <f t="shared" si="20"/>
        <v>1</v>
      </c>
      <c r="K182" s="75">
        <f t="shared" si="21"/>
        <v>2.844141069397042E-2</v>
      </c>
      <c r="L182" s="75">
        <f>VLOOKUP($A182,'Data Vlaue (Cr)'!$C:$FB,67)</f>
        <v>1584</v>
      </c>
      <c r="M182" s="75">
        <f>VLOOKUP($A182,'Data Vlaue (Cr)'!$C:$FB,68)</f>
        <v>2598</v>
      </c>
      <c r="N182" s="75">
        <f t="shared" si="22"/>
        <v>-1014</v>
      </c>
      <c r="O182" s="75">
        <f t="shared" si="23"/>
        <v>-64.015151515151516</v>
      </c>
      <c r="P182" s="75">
        <f>VLOOKUP($A182,'Data Vlaue (Cr)'!$C:$FB,119)</f>
        <v>0.35</v>
      </c>
      <c r="Q182" s="75">
        <f>VLOOKUP($A182,'Data Vlaue (Cr)'!$C:$FB,122)*100</f>
        <v>0</v>
      </c>
      <c r="R182" s="75">
        <f>VLOOKUP($A182,'Data Vlaue (Cr)'!$C:$FB,125)</f>
        <v>0.26</v>
      </c>
      <c r="S182" s="75">
        <f>VLOOKUP($A182,'Data Vlaue (Cr)'!$C:$FB,128)*100</f>
        <v>-10.34</v>
      </c>
    </row>
    <row r="183" spans="1:19" x14ac:dyDescent="0.25">
      <c r="A183" s="96" t="str">
        <f>'Data Vlaue (Cr)'!C174</f>
        <v>SAIL</v>
      </c>
      <c r="B183" s="75">
        <f>VLOOKUP($A183,'Data Vlaue (Cr)'!$C:$FB,2)</f>
        <v>4700</v>
      </c>
      <c r="C183" s="75">
        <f>VLOOKUP($A183,'Data Vlaue (Cr)'!$C:$FB,8)</f>
        <v>148.44999999999999</v>
      </c>
      <c r="D183" s="75">
        <f>VLOOKUP($A183,'Data Vlaue (Cr)'!$C:$FB,4)</f>
        <v>149.33000000000001</v>
      </c>
      <c r="E183" s="75">
        <f>VLOOKUP($A183,'Data Vlaue (Cr)'!$C:$FB,5)</f>
        <v>147.86000000000001</v>
      </c>
      <c r="F183" s="75">
        <f t="shared" si="18"/>
        <v>0.88000000000002387</v>
      </c>
      <c r="G183" s="75">
        <f t="shared" si="19"/>
        <v>0.98439697314672125</v>
      </c>
      <c r="H183" s="75">
        <f>VLOOKUP($A183,'Data Vlaue (Cr)'!$C:$FB,99)</f>
        <v>4501</v>
      </c>
      <c r="I183" s="75">
        <f>VLOOKUP($A183,'Data Vlaue (Cr)'!$C:$FB,100)</f>
        <v>4419</v>
      </c>
      <c r="J183" s="75">
        <f t="shared" si="20"/>
        <v>82</v>
      </c>
      <c r="K183" s="75">
        <f t="shared" si="21"/>
        <v>1.8218173739169075</v>
      </c>
      <c r="L183" s="75">
        <f>VLOOKUP($A183,'Data Vlaue (Cr)'!$C:$FB,67)</f>
        <v>2115</v>
      </c>
      <c r="M183" s="75">
        <f>VLOOKUP($A183,'Data Vlaue (Cr)'!$C:$FB,68)</f>
        <v>7527</v>
      </c>
      <c r="N183" s="75">
        <f t="shared" si="22"/>
        <v>-5412</v>
      </c>
      <c r="O183" s="75">
        <f t="shared" si="23"/>
        <v>-255.88652482269504</v>
      </c>
      <c r="P183" s="75">
        <f>VLOOKUP($A183,'Data Vlaue (Cr)'!$C:$FB,119)</f>
        <v>0.78</v>
      </c>
      <c r="Q183" s="75">
        <f>VLOOKUP($A183,'Data Vlaue (Cr)'!$C:$FB,122)*100</f>
        <v>1.3</v>
      </c>
      <c r="R183" s="75">
        <f>VLOOKUP($A183,'Data Vlaue (Cr)'!$C:$FB,125)</f>
        <v>0.63</v>
      </c>
      <c r="S183" s="75">
        <f>VLOOKUP($A183,'Data Vlaue (Cr)'!$C:$FB,128)*100</f>
        <v>10.530000000000001</v>
      </c>
    </row>
    <row r="184" spans="1:19" x14ac:dyDescent="0.25">
      <c r="A184" s="96" t="str">
        <f>'Data Vlaue (Cr)'!C175</f>
        <v>SAMMAANCAP</v>
      </c>
      <c r="B184" s="75">
        <f>VLOOKUP($A184,'Data Vlaue (Cr)'!$C:$FB,2)</f>
        <v>4300</v>
      </c>
      <c r="C184" s="75">
        <f>VLOOKUP($A184,'Data Vlaue (Cr)'!$C:$FB,8)</f>
        <v>144.21</v>
      </c>
      <c r="D184" s="75">
        <f>VLOOKUP($A184,'Data Vlaue (Cr)'!$C:$FB,4)</f>
        <v>145.30000000000001</v>
      </c>
      <c r="E184" s="75">
        <f>VLOOKUP($A184,'Data Vlaue (Cr)'!$C:$FB,5)</f>
        <v>146.69</v>
      </c>
      <c r="F184" s="75">
        <f t="shared" si="18"/>
        <v>1.0900000000000034</v>
      </c>
      <c r="G184" s="75">
        <f t="shared" si="19"/>
        <v>-0.95664143152098158</v>
      </c>
      <c r="H184" s="75">
        <f>VLOOKUP($A184,'Data Vlaue (Cr)'!$C:$FB,99)</f>
        <v>2110</v>
      </c>
      <c r="I184" s="75">
        <f>VLOOKUP($A184,'Data Vlaue (Cr)'!$C:$FB,100)</f>
        <v>1990</v>
      </c>
      <c r="J184" s="75">
        <f t="shared" si="20"/>
        <v>120</v>
      </c>
      <c r="K184" s="75">
        <f t="shared" si="21"/>
        <v>5.6872037914691944</v>
      </c>
      <c r="L184" s="75">
        <f>VLOOKUP($A184,'Data Vlaue (Cr)'!$C:$FB,67)</f>
        <v>498</v>
      </c>
      <c r="M184" s="75">
        <f>VLOOKUP($A184,'Data Vlaue (Cr)'!$C:$FB,68)</f>
        <v>2448</v>
      </c>
      <c r="N184" s="75">
        <f t="shared" si="22"/>
        <v>-1950</v>
      </c>
      <c r="O184" s="75">
        <f t="shared" si="23"/>
        <v>-391.56626506024094</v>
      </c>
      <c r="P184" s="75">
        <f>VLOOKUP($A184,'Data Vlaue (Cr)'!$C:$FB,119)</f>
        <v>0.75</v>
      </c>
      <c r="Q184" s="75">
        <f>VLOOKUP($A184,'Data Vlaue (Cr)'!$C:$FB,122)*100</f>
        <v>2.74</v>
      </c>
      <c r="R184" s="75">
        <f>VLOOKUP($A184,'Data Vlaue (Cr)'!$C:$FB,125)</f>
        <v>0.86</v>
      </c>
      <c r="S184" s="75">
        <f>VLOOKUP($A184,'Data Vlaue (Cr)'!$C:$FB,128)*100</f>
        <v>95.45</v>
      </c>
    </row>
    <row r="185" spans="1:19" x14ac:dyDescent="0.25">
      <c r="A185" s="96" t="str">
        <f>'Data Vlaue (Cr)'!C176</f>
        <v>SBICARD</v>
      </c>
      <c r="B185" s="75">
        <f>VLOOKUP($A185,'Data Vlaue (Cr)'!$C:$FB,2)</f>
        <v>800</v>
      </c>
      <c r="C185" s="75">
        <f>VLOOKUP($A185,'Data Vlaue (Cr)'!$C:$FB,8)</f>
        <v>859.5</v>
      </c>
      <c r="D185" s="75">
        <f>VLOOKUP($A185,'Data Vlaue (Cr)'!$C:$FB,4)</f>
        <v>861.75</v>
      </c>
      <c r="E185" s="75">
        <f>VLOOKUP($A185,'Data Vlaue (Cr)'!$C:$FB,5)</f>
        <v>866.8</v>
      </c>
      <c r="F185" s="75">
        <f t="shared" si="18"/>
        <v>2.25</v>
      </c>
      <c r="G185" s="75">
        <f t="shared" si="19"/>
        <v>-0.58601682622569828</v>
      </c>
      <c r="H185" s="75">
        <f>VLOOKUP($A185,'Data Vlaue (Cr)'!$C:$FB,99)</f>
        <v>1972</v>
      </c>
      <c r="I185" s="75">
        <f>VLOOKUP($A185,'Data Vlaue (Cr)'!$C:$FB,100)</f>
        <v>1905</v>
      </c>
      <c r="J185" s="75">
        <f t="shared" si="20"/>
        <v>67</v>
      </c>
      <c r="K185" s="75">
        <f t="shared" si="21"/>
        <v>3.3975659229208928</v>
      </c>
      <c r="L185" s="75">
        <f>VLOOKUP($A185,'Data Vlaue (Cr)'!$C:$FB,67)</f>
        <v>449</v>
      </c>
      <c r="M185" s="75">
        <f>VLOOKUP($A185,'Data Vlaue (Cr)'!$C:$FB,68)</f>
        <v>1234</v>
      </c>
      <c r="N185" s="75">
        <f t="shared" si="22"/>
        <v>-785</v>
      </c>
      <c r="O185" s="75">
        <f t="shared" si="23"/>
        <v>-174.83296213808464</v>
      </c>
      <c r="P185" s="75">
        <f>VLOOKUP($A185,'Data Vlaue (Cr)'!$C:$FB,119)</f>
        <v>0.8</v>
      </c>
      <c r="Q185" s="75">
        <f>VLOOKUP($A185,'Data Vlaue (Cr)'!$C:$FB,122)*100</f>
        <v>2.56</v>
      </c>
      <c r="R185" s="75">
        <f>VLOOKUP($A185,'Data Vlaue (Cr)'!$C:$FB,125)</f>
        <v>0.65</v>
      </c>
      <c r="S185" s="75">
        <f>VLOOKUP($A185,'Data Vlaue (Cr)'!$C:$FB,128)*100</f>
        <v>20.369999999999997</v>
      </c>
    </row>
    <row r="186" spans="1:19" x14ac:dyDescent="0.25">
      <c r="A186" s="96" t="str">
        <f>'Data Vlaue (Cr)'!C177</f>
        <v>SBILIFE</v>
      </c>
      <c r="B186" s="75">
        <f>VLOOKUP($A186,'Data Vlaue (Cr)'!$C:$FB,2)</f>
        <v>375</v>
      </c>
      <c r="C186" s="75">
        <f>VLOOKUP($A186,'Data Vlaue (Cr)'!$C:$FB,8)</f>
        <v>2040.4</v>
      </c>
      <c r="D186" s="75">
        <f>VLOOKUP($A186,'Data Vlaue (Cr)'!$C:$FB,4)</f>
        <v>2053.4</v>
      </c>
      <c r="E186" s="75">
        <f>VLOOKUP($A186,'Data Vlaue (Cr)'!$C:$FB,5)</f>
        <v>2047.7</v>
      </c>
      <c r="F186" s="75">
        <f t="shared" ref="F186:F193" si="24">D186-C186</f>
        <v>13</v>
      </c>
      <c r="G186" s="75">
        <f t="shared" ref="G186:G193" si="25">(D186-E186)/D186*100</f>
        <v>0.27758838998734026</v>
      </c>
      <c r="H186" s="75">
        <f>VLOOKUP($A186,'Data Vlaue (Cr)'!$C:$FB,99)</f>
        <v>2242</v>
      </c>
      <c r="I186" s="75">
        <f>VLOOKUP($A186,'Data Vlaue (Cr)'!$C:$FB,100)</f>
        <v>2126</v>
      </c>
      <c r="J186" s="75">
        <f t="shared" ref="J186:J193" si="26">H186-I186</f>
        <v>116</v>
      </c>
      <c r="K186" s="75">
        <f t="shared" ref="K186:K193" si="27">J186/H186*100</f>
        <v>5.1739518287243529</v>
      </c>
      <c r="L186" s="75">
        <f>VLOOKUP($A186,'Data Vlaue (Cr)'!$C:$FB,67)</f>
        <v>483</v>
      </c>
      <c r="M186" s="75">
        <f>VLOOKUP($A186,'Data Vlaue (Cr)'!$C:$FB,68)</f>
        <v>1186</v>
      </c>
      <c r="N186" s="75">
        <f t="shared" ref="N186:N193" si="28">L186-M186</f>
        <v>-703</v>
      </c>
      <c r="O186" s="75">
        <f t="shared" ref="O186:O193" si="29">N186/L186*100</f>
        <v>-145.54865424430642</v>
      </c>
      <c r="P186" s="75">
        <f>VLOOKUP($A186,'Data Vlaue (Cr)'!$C:$FB,119)</f>
        <v>0.56000000000000005</v>
      </c>
      <c r="Q186" s="75">
        <f>VLOOKUP($A186,'Data Vlaue (Cr)'!$C:$FB,122)*100</f>
        <v>12</v>
      </c>
      <c r="R186" s="75">
        <f>VLOOKUP($A186,'Data Vlaue (Cr)'!$C:$FB,125)</f>
        <v>0.56000000000000005</v>
      </c>
      <c r="S186" s="75">
        <f>VLOOKUP($A186,'Data Vlaue (Cr)'!$C:$FB,128)*100</f>
        <v>80.650000000000006</v>
      </c>
    </row>
    <row r="187" spans="1:19" x14ac:dyDescent="0.25">
      <c r="A187" s="96" t="str">
        <f>'Data Vlaue (Cr)'!C178</f>
        <v>SBIN</v>
      </c>
      <c r="B187" s="75">
        <f>VLOOKUP($A187,'Data Vlaue (Cr)'!$C:$FB,2)</f>
        <v>750</v>
      </c>
      <c r="C187" s="75">
        <f>VLOOKUP($A187,'Data Vlaue (Cr)'!$C:$FB,8)</f>
        <v>984.75</v>
      </c>
      <c r="D187" s="75">
        <f>VLOOKUP($A187,'Data Vlaue (Cr)'!$C:$FB,4)</f>
        <v>988.85</v>
      </c>
      <c r="E187" s="75">
        <f>VLOOKUP($A187,'Data Vlaue (Cr)'!$C:$FB,5)</f>
        <v>986.35</v>
      </c>
      <c r="F187" s="75">
        <f t="shared" si="24"/>
        <v>4.1000000000000227</v>
      </c>
      <c r="G187" s="75">
        <f t="shared" si="25"/>
        <v>0.25281893108155939</v>
      </c>
      <c r="H187" s="75">
        <f>VLOOKUP($A187,'Data Vlaue (Cr)'!$C:$FB,99)</f>
        <v>10907</v>
      </c>
      <c r="I187" s="75">
        <f>VLOOKUP($A187,'Data Vlaue (Cr)'!$C:$FB,100)</f>
        <v>10607</v>
      </c>
      <c r="J187" s="75">
        <f t="shared" si="26"/>
        <v>300</v>
      </c>
      <c r="K187" s="75">
        <f t="shared" si="27"/>
        <v>2.7505271843770056</v>
      </c>
      <c r="L187" s="75">
        <f>VLOOKUP($A187,'Data Vlaue (Cr)'!$C:$FB,67)</f>
        <v>5090</v>
      </c>
      <c r="M187" s="75">
        <f>VLOOKUP($A187,'Data Vlaue (Cr)'!$C:$FB,68)</f>
        <v>7085</v>
      </c>
      <c r="N187" s="75">
        <f t="shared" si="28"/>
        <v>-1995</v>
      </c>
      <c r="O187" s="75">
        <f t="shared" si="29"/>
        <v>-39.194499017681729</v>
      </c>
      <c r="P187" s="75">
        <f>VLOOKUP($A187,'Data Vlaue (Cr)'!$C:$FB,119)</f>
        <v>0.89</v>
      </c>
      <c r="Q187" s="75">
        <f>VLOOKUP($A187,'Data Vlaue (Cr)'!$C:$FB,122)*100</f>
        <v>2.2999999999999998</v>
      </c>
      <c r="R187" s="75">
        <f>VLOOKUP($A187,'Data Vlaue (Cr)'!$C:$FB,125)</f>
        <v>0.59</v>
      </c>
      <c r="S187" s="75">
        <f>VLOOKUP($A187,'Data Vlaue (Cr)'!$C:$FB,128)*100</f>
        <v>-11.940000000000001</v>
      </c>
    </row>
    <row r="188" spans="1:19" x14ac:dyDescent="0.25">
      <c r="A188" s="96" t="str">
        <f>'Data Vlaue (Cr)'!C179</f>
        <v>SHREECEM</v>
      </c>
      <c r="B188" s="75">
        <f>VLOOKUP($A188,'Data Vlaue (Cr)'!$C:$FB,2)</f>
        <v>25</v>
      </c>
      <c r="C188" s="75">
        <f>VLOOKUP($A188,'Data Vlaue (Cr)'!$C:$FB,8)</f>
        <v>26835</v>
      </c>
      <c r="D188" s="75">
        <f>VLOOKUP($A188,'Data Vlaue (Cr)'!$C:$FB,4)</f>
        <v>27000</v>
      </c>
      <c r="E188" s="75">
        <f>VLOOKUP($A188,'Data Vlaue (Cr)'!$C:$FB,5)</f>
        <v>26655</v>
      </c>
      <c r="F188" s="75">
        <f t="shared" si="24"/>
        <v>165</v>
      </c>
      <c r="G188" s="75">
        <f t="shared" si="25"/>
        <v>1.2777777777777779</v>
      </c>
      <c r="H188" s="75">
        <f>VLOOKUP($A188,'Data Vlaue (Cr)'!$C:$FB,99)</f>
        <v>877</v>
      </c>
      <c r="I188" s="75">
        <f>VLOOKUP($A188,'Data Vlaue (Cr)'!$C:$FB,100)</f>
        <v>868</v>
      </c>
      <c r="J188" s="75">
        <f t="shared" si="26"/>
        <v>9</v>
      </c>
      <c r="K188" s="75">
        <f t="shared" si="27"/>
        <v>1.0262257696693273</v>
      </c>
      <c r="L188" s="75">
        <f>VLOOKUP($A188,'Data Vlaue (Cr)'!$C:$FB,67)</f>
        <v>279</v>
      </c>
      <c r="M188" s="75">
        <f>VLOOKUP($A188,'Data Vlaue (Cr)'!$C:$FB,68)</f>
        <v>202</v>
      </c>
      <c r="N188" s="75">
        <f t="shared" si="28"/>
        <v>77</v>
      </c>
      <c r="O188" s="75">
        <f t="shared" si="29"/>
        <v>27.598566308243726</v>
      </c>
      <c r="P188" s="75">
        <f>VLOOKUP($A188,'Data Vlaue (Cr)'!$C:$FB,119)</f>
        <v>0.85</v>
      </c>
      <c r="Q188" s="75">
        <f>VLOOKUP($A188,'Data Vlaue (Cr)'!$C:$FB,122)*100</f>
        <v>-8.6</v>
      </c>
      <c r="R188" s="75">
        <f>VLOOKUP($A188,'Data Vlaue (Cr)'!$C:$FB,125)</f>
        <v>0.73</v>
      </c>
      <c r="S188" s="75">
        <f>VLOOKUP($A188,'Data Vlaue (Cr)'!$C:$FB,128)*100</f>
        <v>62.22</v>
      </c>
    </row>
    <row r="189" spans="1:19" x14ac:dyDescent="0.25">
      <c r="A189" s="96" t="str">
        <f>'Data Vlaue (Cr)'!C180</f>
        <v>SHRIRAMFIN</v>
      </c>
      <c r="B189" s="75">
        <f>VLOOKUP($A189,'Data Vlaue (Cr)'!$C:$FB,2)</f>
        <v>825</v>
      </c>
      <c r="C189" s="75">
        <f>VLOOKUP($A189,'Data Vlaue (Cr)'!$C:$FB,8)</f>
        <v>1019.7</v>
      </c>
      <c r="D189" s="75">
        <f>VLOOKUP($A189,'Data Vlaue (Cr)'!$C:$FB,4)</f>
        <v>1023.15</v>
      </c>
      <c r="E189" s="75">
        <f>VLOOKUP($A189,'Data Vlaue (Cr)'!$C:$FB,5)</f>
        <v>998.8</v>
      </c>
      <c r="F189" s="75">
        <f t="shared" si="24"/>
        <v>3.4499999999999318</v>
      </c>
      <c r="G189" s="75">
        <f t="shared" si="25"/>
        <v>2.3799051947417311</v>
      </c>
      <c r="H189" s="75">
        <f>VLOOKUP($A189,'Data Vlaue (Cr)'!$C:$FB,99)</f>
        <v>7675</v>
      </c>
      <c r="I189" s="75">
        <f>VLOOKUP($A189,'Data Vlaue (Cr)'!$C:$FB,100)</f>
        <v>7177</v>
      </c>
      <c r="J189" s="75">
        <f t="shared" si="26"/>
        <v>498</v>
      </c>
      <c r="K189" s="75">
        <f t="shared" si="27"/>
        <v>6.4885993485342022</v>
      </c>
      <c r="L189" s="75">
        <f>VLOOKUP($A189,'Data Vlaue (Cr)'!$C:$FB,67)</f>
        <v>4699</v>
      </c>
      <c r="M189" s="75">
        <f>VLOOKUP($A189,'Data Vlaue (Cr)'!$C:$FB,68)</f>
        <v>5646</v>
      </c>
      <c r="N189" s="75">
        <f t="shared" si="28"/>
        <v>-947</v>
      </c>
      <c r="O189" s="75">
        <f t="shared" si="29"/>
        <v>-20.153224090231962</v>
      </c>
      <c r="P189" s="75">
        <f>VLOOKUP($A189,'Data Vlaue (Cr)'!$C:$FB,119)</f>
        <v>0.89</v>
      </c>
      <c r="Q189" s="75">
        <f>VLOOKUP($A189,'Data Vlaue (Cr)'!$C:$FB,122)*100</f>
        <v>5.9499999999999993</v>
      </c>
      <c r="R189" s="75">
        <f>VLOOKUP($A189,'Data Vlaue (Cr)'!$C:$FB,125)</f>
        <v>0.51</v>
      </c>
      <c r="S189" s="75">
        <f>VLOOKUP($A189,'Data Vlaue (Cr)'!$C:$FB,128)*100</f>
        <v>4.08</v>
      </c>
    </row>
    <row r="190" spans="1:19" x14ac:dyDescent="0.25">
      <c r="A190" s="96" t="str">
        <f>'Data Vlaue (Cr)'!C181</f>
        <v>SIEMENS</v>
      </c>
      <c r="B190" s="75">
        <f>VLOOKUP($A190,'Data Vlaue (Cr)'!$C:$FB,2)</f>
        <v>175</v>
      </c>
      <c r="C190" s="75">
        <f>VLOOKUP($A190,'Data Vlaue (Cr)'!$C:$FB,8)</f>
        <v>3091.3</v>
      </c>
      <c r="D190" s="75">
        <f>VLOOKUP($A190,'Data Vlaue (Cr)'!$C:$FB,4)</f>
        <v>3107.8</v>
      </c>
      <c r="E190" s="75">
        <f>VLOOKUP($A190,'Data Vlaue (Cr)'!$C:$FB,5)</f>
        <v>3077.2</v>
      </c>
      <c r="F190" s="75">
        <f t="shared" si="24"/>
        <v>16.5</v>
      </c>
      <c r="G190" s="75">
        <f t="shared" si="25"/>
        <v>0.98461934487419911</v>
      </c>
      <c r="H190" s="75">
        <f>VLOOKUP($A190,'Data Vlaue (Cr)'!$C:$FB,99)</f>
        <v>1146</v>
      </c>
      <c r="I190" s="75">
        <f>VLOOKUP($A190,'Data Vlaue (Cr)'!$C:$FB,100)</f>
        <v>1151</v>
      </c>
      <c r="J190" s="75">
        <f t="shared" si="26"/>
        <v>-5</v>
      </c>
      <c r="K190" s="75">
        <f t="shared" si="27"/>
        <v>-0.43630017452006981</v>
      </c>
      <c r="L190" s="75">
        <f>VLOOKUP($A190,'Data Vlaue (Cr)'!$C:$FB,67)</f>
        <v>392</v>
      </c>
      <c r="M190" s="75">
        <f>VLOOKUP($A190,'Data Vlaue (Cr)'!$C:$FB,68)</f>
        <v>822</v>
      </c>
      <c r="N190" s="75">
        <f t="shared" si="28"/>
        <v>-430</v>
      </c>
      <c r="O190" s="75">
        <f t="shared" si="29"/>
        <v>-109.69387755102041</v>
      </c>
      <c r="P190" s="75">
        <f>VLOOKUP($A190,'Data Vlaue (Cr)'!$C:$FB,119)</f>
        <v>0.55000000000000004</v>
      </c>
      <c r="Q190" s="75">
        <f>VLOOKUP($A190,'Data Vlaue (Cr)'!$C:$FB,122)*100</f>
        <v>1.8499999999999999</v>
      </c>
      <c r="R190" s="75">
        <f>VLOOKUP($A190,'Data Vlaue (Cr)'!$C:$FB,125)</f>
        <v>0.38</v>
      </c>
      <c r="S190" s="75">
        <f>VLOOKUP($A190,'Data Vlaue (Cr)'!$C:$FB,128)*100</f>
        <v>8.57</v>
      </c>
    </row>
    <row r="191" spans="1:19" x14ac:dyDescent="0.25">
      <c r="A191" s="96" t="str">
        <f>'Data Vlaue (Cr)'!C182</f>
        <v>SOLARINDS</v>
      </c>
      <c r="B191" s="75">
        <f>VLOOKUP($A191,'Data Vlaue (Cr)'!$C:$FB,2)</f>
        <v>50</v>
      </c>
      <c r="C191" s="75">
        <f>VLOOKUP($A191,'Data Vlaue (Cr)'!$C:$FB,8)</f>
        <v>12166</v>
      </c>
      <c r="D191" s="75">
        <f>VLOOKUP($A191,'Data Vlaue (Cr)'!$C:$FB,4)</f>
        <v>12220</v>
      </c>
      <c r="E191" s="75">
        <f>VLOOKUP($A191,'Data Vlaue (Cr)'!$C:$FB,5)</f>
        <v>12298</v>
      </c>
      <c r="F191" s="75">
        <f t="shared" si="24"/>
        <v>54</v>
      </c>
      <c r="G191" s="75">
        <f t="shared" si="25"/>
        <v>-0.63829787234042545</v>
      </c>
      <c r="H191" s="75">
        <f>VLOOKUP($A191,'Data Vlaue (Cr)'!$C:$FB,99)</f>
        <v>2228</v>
      </c>
      <c r="I191" s="75">
        <f>VLOOKUP($A191,'Data Vlaue (Cr)'!$C:$FB,100)</f>
        <v>2185</v>
      </c>
      <c r="J191" s="75">
        <f t="shared" si="26"/>
        <v>43</v>
      </c>
      <c r="K191" s="75">
        <f t="shared" si="27"/>
        <v>1.9299820466786355</v>
      </c>
      <c r="L191" s="75">
        <f>VLOOKUP($A191,'Data Vlaue (Cr)'!$C:$FB,67)</f>
        <v>647</v>
      </c>
      <c r="M191" s="75">
        <f>VLOOKUP($A191,'Data Vlaue (Cr)'!$C:$FB,68)</f>
        <v>1437</v>
      </c>
      <c r="N191" s="75">
        <f t="shared" si="28"/>
        <v>-790</v>
      </c>
      <c r="O191" s="75">
        <f t="shared" si="29"/>
        <v>-122.10200927357033</v>
      </c>
      <c r="P191" s="75">
        <f>VLOOKUP($A191,'Data Vlaue (Cr)'!$C:$FB,119)</f>
        <v>0.56999999999999995</v>
      </c>
      <c r="Q191" s="75">
        <f>VLOOKUP($A191,'Data Vlaue (Cr)'!$C:$FB,122)*100</f>
        <v>-8.06</v>
      </c>
      <c r="R191" s="75">
        <f>VLOOKUP($A191,'Data Vlaue (Cr)'!$C:$FB,125)</f>
        <v>0.51</v>
      </c>
      <c r="S191" s="75">
        <f>VLOOKUP($A191,'Data Vlaue (Cr)'!$C:$FB,128)*100</f>
        <v>75.86</v>
      </c>
    </row>
    <row r="192" spans="1:19" x14ac:dyDescent="0.25">
      <c r="A192" s="96" t="str">
        <f>'Data Vlaue (Cr)'!C183</f>
        <v>SONACOMS</v>
      </c>
      <c r="B192" s="75">
        <f>VLOOKUP($A192,'Data Vlaue (Cr)'!$C:$FB,2)</f>
        <v>1225</v>
      </c>
      <c r="C192" s="75">
        <f>VLOOKUP($A192,'Data Vlaue (Cr)'!$C:$FB,8)</f>
        <v>474.3</v>
      </c>
      <c r="D192" s="75">
        <f>VLOOKUP($A192,'Data Vlaue (Cr)'!$C:$FB,4)</f>
        <v>476.85</v>
      </c>
      <c r="E192" s="75">
        <f>VLOOKUP($A192,'Data Vlaue (Cr)'!$C:$FB,5)</f>
        <v>481.9</v>
      </c>
      <c r="F192" s="75">
        <f t="shared" si="24"/>
        <v>2.5500000000000114</v>
      </c>
      <c r="G192" s="75">
        <f t="shared" si="25"/>
        <v>-1.0590332389640251</v>
      </c>
      <c r="H192" s="75">
        <f>VLOOKUP($A192,'Data Vlaue (Cr)'!$C:$FB,99)</f>
        <v>835</v>
      </c>
      <c r="I192" s="75">
        <f>VLOOKUP($A192,'Data Vlaue (Cr)'!$C:$FB,100)</f>
        <v>819</v>
      </c>
      <c r="J192" s="75">
        <f t="shared" si="26"/>
        <v>16</v>
      </c>
      <c r="K192" s="75">
        <f t="shared" si="27"/>
        <v>1.9161676646706587</v>
      </c>
      <c r="L192" s="75">
        <f>VLOOKUP($A192,'Data Vlaue (Cr)'!$C:$FB,67)</f>
        <v>96</v>
      </c>
      <c r="M192" s="75">
        <f>VLOOKUP($A192,'Data Vlaue (Cr)'!$C:$FB,68)</f>
        <v>149</v>
      </c>
      <c r="N192" s="75">
        <f t="shared" si="28"/>
        <v>-53</v>
      </c>
      <c r="O192" s="75">
        <f t="shared" si="29"/>
        <v>-55.208333333333336</v>
      </c>
      <c r="P192" s="75">
        <f>VLOOKUP($A192,'Data Vlaue (Cr)'!$C:$FB,119)</f>
        <v>0.68</v>
      </c>
      <c r="Q192" s="75">
        <f>VLOOKUP($A192,'Data Vlaue (Cr)'!$C:$FB,122)*100</f>
        <v>-9.33</v>
      </c>
      <c r="R192" s="75">
        <f>VLOOKUP($A192,'Data Vlaue (Cr)'!$C:$FB,125)</f>
        <v>0.36</v>
      </c>
      <c r="S192" s="75">
        <f>VLOOKUP($A192,'Data Vlaue (Cr)'!$C:$FB,128)*100</f>
        <v>-25</v>
      </c>
    </row>
    <row r="193" spans="1:19" x14ac:dyDescent="0.25">
      <c r="A193" s="96" t="str">
        <f>'Data Vlaue (Cr)'!C215</f>
        <v>ZYDUSLIFE</v>
      </c>
      <c r="B193" s="75">
        <f>VLOOKUP($A193,'Data Vlaue (Cr)'!$C:$FB,2)</f>
        <v>900</v>
      </c>
      <c r="C193" s="75">
        <f>VLOOKUP($A193,'Data Vlaue (Cr)'!$C:$FB,8)</f>
        <v>915.05</v>
      </c>
      <c r="D193" s="75">
        <f>VLOOKUP($A193,'Data Vlaue (Cr)'!$C:$FB,4)</f>
        <v>919.3</v>
      </c>
      <c r="E193" s="75">
        <f>VLOOKUP($A193,'Data Vlaue (Cr)'!$C:$FB,5)</f>
        <v>917.65</v>
      </c>
      <c r="F193" s="75">
        <f t="shared" si="24"/>
        <v>4.25</v>
      </c>
      <c r="G193" s="75">
        <f t="shared" si="25"/>
        <v>0.17948439029696261</v>
      </c>
      <c r="H193" s="75">
        <f>VLOOKUP($A193,'Data Vlaue (Cr)'!$C:$FB,99)</f>
        <v>1402</v>
      </c>
      <c r="I193" s="75">
        <f>VLOOKUP($A193,'Data Vlaue (Cr)'!$C:$FB,100)</f>
        <v>1360</v>
      </c>
      <c r="J193" s="75">
        <f t="shared" si="26"/>
        <v>42</v>
      </c>
      <c r="K193" s="75">
        <f t="shared" si="27"/>
        <v>2.9957203994293864</v>
      </c>
      <c r="L193" s="75">
        <f>VLOOKUP($A193,'Data Vlaue (Cr)'!$C:$FB,67)</f>
        <v>265</v>
      </c>
      <c r="M193" s="75">
        <f>VLOOKUP($A193,'Data Vlaue (Cr)'!$C:$FB,68)</f>
        <v>384</v>
      </c>
      <c r="N193" s="75">
        <f t="shared" si="28"/>
        <v>-119</v>
      </c>
      <c r="O193" s="75">
        <f t="shared" si="29"/>
        <v>-44.905660377358494</v>
      </c>
      <c r="P193" s="75">
        <f>VLOOKUP($A193,'Data Vlaue (Cr)'!$C:$FB,119)</f>
        <v>0.83</v>
      </c>
      <c r="Q193" s="75">
        <f>VLOOKUP($A193,'Data Vlaue (Cr)'!$C:$FB,122)*100</f>
        <v>1.22</v>
      </c>
      <c r="R193" s="75">
        <f>VLOOKUP($A193,'Data Vlaue (Cr)'!$C:$FB,125)</f>
        <v>0.56999999999999995</v>
      </c>
      <c r="S193" s="75">
        <f>VLOOKUP($A193,'Data Vlaue (Cr)'!$C:$FB,128)*100</f>
        <v>-6.5600000000000005</v>
      </c>
    </row>
    <row r="194" spans="1:19" ht="13.9" customHeight="1" x14ac:dyDescent="0.25">
      <c r="A194" s="96"/>
      <c r="B194" s="75"/>
      <c r="C194" s="75"/>
      <c r="D194" s="75"/>
      <c r="E194" s="75"/>
      <c r="F194" s="75"/>
      <c r="G194" s="75"/>
      <c r="H194" s="75"/>
      <c r="I194" s="75"/>
      <c r="J194" s="75"/>
      <c r="K194" s="75"/>
      <c r="L194" s="75"/>
      <c r="M194" s="75"/>
      <c r="N194" s="75"/>
      <c r="O194" s="75"/>
      <c r="P194" s="75"/>
      <c r="Q194" s="75"/>
      <c r="R194" s="75"/>
      <c r="S194" s="75"/>
    </row>
    <row r="195" spans="1:19" x14ac:dyDescent="0.25">
      <c r="A195" s="96"/>
      <c r="B195" s="75"/>
      <c r="C195" s="75"/>
      <c r="D195" s="75"/>
      <c r="E195" s="75"/>
      <c r="F195" s="75"/>
      <c r="G195" s="75"/>
      <c r="H195" s="75"/>
      <c r="I195" s="75"/>
      <c r="J195" s="75"/>
      <c r="K195" s="75"/>
      <c r="L195" s="75"/>
      <c r="M195" s="75"/>
      <c r="N195" s="75"/>
      <c r="O195" s="75"/>
      <c r="P195" s="75"/>
      <c r="Q195" s="75"/>
      <c r="R195" s="75"/>
      <c r="S195" s="75"/>
    </row>
    <row r="196" spans="1:19" x14ac:dyDescent="0.25">
      <c r="A196" s="96"/>
      <c r="B196" s="75"/>
      <c r="C196" s="75"/>
      <c r="D196" s="75"/>
      <c r="E196" s="75"/>
      <c r="F196" s="75"/>
      <c r="G196" s="75"/>
      <c r="H196" s="75"/>
      <c r="I196" s="75"/>
      <c r="J196" s="75"/>
      <c r="K196" s="75"/>
      <c r="L196" s="75"/>
      <c r="M196" s="75"/>
      <c r="N196" s="75"/>
      <c r="O196" s="75"/>
      <c r="P196" s="75"/>
      <c r="Q196" s="75"/>
      <c r="R196" s="75"/>
      <c r="S196" s="75"/>
    </row>
    <row r="197" spans="1:19" x14ac:dyDescent="0.25">
      <c r="A197" s="96"/>
      <c r="B197" s="75"/>
      <c r="C197" s="75"/>
      <c r="D197" s="75"/>
      <c r="E197" s="75"/>
      <c r="F197" s="75"/>
      <c r="G197" s="75"/>
      <c r="H197" s="75"/>
      <c r="I197" s="75"/>
      <c r="J197" s="75"/>
      <c r="K197" s="75"/>
      <c r="L197" s="75"/>
      <c r="M197" s="75"/>
      <c r="N197" s="75"/>
      <c r="O197" s="75"/>
      <c r="P197" s="75"/>
      <c r="Q197" s="75"/>
      <c r="R197" s="75"/>
      <c r="S197" s="75"/>
    </row>
    <row r="198" spans="1:19" x14ac:dyDescent="0.25">
      <c r="A198" s="96"/>
      <c r="B198" s="75"/>
      <c r="C198" s="75"/>
      <c r="D198" s="75"/>
      <c r="E198" s="75"/>
      <c r="F198" s="75"/>
      <c r="G198" s="75"/>
      <c r="H198" s="75"/>
      <c r="I198" s="75"/>
      <c r="J198" s="75"/>
      <c r="K198" s="75"/>
      <c r="L198" s="75"/>
      <c r="M198" s="75"/>
      <c r="N198" s="75"/>
      <c r="O198" s="75"/>
      <c r="P198" s="75"/>
      <c r="Q198" s="75"/>
      <c r="R198" s="75"/>
      <c r="S198" s="75"/>
    </row>
    <row r="199" spans="1:19" x14ac:dyDescent="0.25">
      <c r="A199" s="96"/>
      <c r="B199" s="75"/>
      <c r="C199" s="75"/>
      <c r="D199" s="75"/>
      <c r="E199" s="75"/>
      <c r="F199" s="75"/>
      <c r="G199" s="75"/>
      <c r="H199" s="75"/>
      <c r="I199" s="75"/>
      <c r="J199" s="75"/>
      <c r="K199" s="75"/>
      <c r="L199" s="75"/>
      <c r="M199" s="75"/>
      <c r="N199" s="75"/>
      <c r="O199" s="75"/>
      <c r="P199" s="75"/>
      <c r="Q199" s="75"/>
      <c r="R199" s="75"/>
      <c r="S199" s="75"/>
    </row>
    <row r="200" spans="1:19" x14ac:dyDescent="0.25">
      <c r="A200" s="96"/>
      <c r="B200" s="75"/>
      <c r="C200" s="75"/>
      <c r="D200" s="75"/>
      <c r="E200" s="75"/>
      <c r="F200" s="75"/>
      <c r="G200" s="75"/>
      <c r="H200" s="75"/>
      <c r="I200" s="75"/>
      <c r="J200" s="75"/>
      <c r="K200" s="75"/>
      <c r="L200" s="75"/>
      <c r="M200" s="75"/>
      <c r="N200" s="75"/>
      <c r="O200" s="75"/>
      <c r="P200" s="75"/>
      <c r="Q200" s="75"/>
      <c r="R200" s="75"/>
      <c r="S200" s="75"/>
    </row>
    <row r="201" spans="1:19" x14ac:dyDescent="0.25">
      <c r="A201" s="96"/>
      <c r="B201" s="75"/>
      <c r="C201" s="75"/>
      <c r="D201" s="75"/>
      <c r="E201" s="75"/>
      <c r="F201" s="75"/>
      <c r="G201" s="75"/>
      <c r="H201" s="75"/>
      <c r="I201" s="75"/>
      <c r="J201" s="75"/>
      <c r="K201" s="75"/>
      <c r="L201" s="75"/>
      <c r="M201" s="75"/>
      <c r="N201" s="75"/>
      <c r="O201" s="75"/>
      <c r="P201" s="75"/>
      <c r="Q201" s="75"/>
      <c r="R201" s="75"/>
      <c r="S201" s="75"/>
    </row>
    <row r="202" spans="1:19" x14ac:dyDescent="0.25">
      <c r="A202" s="96"/>
      <c r="B202" s="75"/>
      <c r="C202" s="75"/>
      <c r="D202" s="75"/>
      <c r="E202" s="75"/>
      <c r="F202" s="75"/>
      <c r="G202" s="75"/>
      <c r="H202" s="75"/>
      <c r="I202" s="75"/>
      <c r="J202" s="75"/>
      <c r="K202" s="75"/>
      <c r="L202" s="75"/>
      <c r="M202" s="75"/>
      <c r="N202" s="75"/>
      <c r="O202" s="75"/>
      <c r="P202" s="75"/>
      <c r="Q202" s="75"/>
      <c r="R202" s="75"/>
      <c r="S202" s="75"/>
    </row>
    <row r="203" spans="1:19" x14ac:dyDescent="0.25">
      <c r="A203" s="96"/>
      <c r="B203" s="75"/>
      <c r="C203" s="75"/>
      <c r="D203" s="75"/>
      <c r="E203" s="75"/>
      <c r="F203" s="75"/>
      <c r="G203" s="75"/>
      <c r="H203" s="75"/>
      <c r="I203" s="75"/>
      <c r="J203" s="75"/>
      <c r="K203" s="75"/>
      <c r="L203" s="75"/>
      <c r="M203" s="75"/>
      <c r="N203" s="75"/>
      <c r="O203" s="75"/>
      <c r="P203" s="75"/>
      <c r="Q203" s="75"/>
      <c r="R203" s="75"/>
      <c r="S203" s="75"/>
    </row>
    <row r="204" spans="1:19" x14ac:dyDescent="0.25">
      <c r="A204" s="96"/>
      <c r="B204" s="75"/>
      <c r="C204" s="75"/>
      <c r="D204" s="75"/>
      <c r="E204" s="75"/>
      <c r="F204" s="75"/>
      <c r="G204" s="75"/>
      <c r="H204" s="75"/>
      <c r="I204" s="75"/>
      <c r="J204" s="75"/>
      <c r="K204" s="75"/>
      <c r="L204" s="75"/>
      <c r="M204" s="75"/>
      <c r="N204" s="75"/>
      <c r="O204" s="75"/>
      <c r="P204" s="75"/>
      <c r="Q204" s="75"/>
      <c r="R204" s="75"/>
      <c r="S204" s="75"/>
    </row>
    <row r="205" spans="1:19" x14ac:dyDescent="0.25">
      <c r="A205" s="96"/>
      <c r="B205" s="75"/>
      <c r="C205" s="75"/>
      <c r="D205" s="75"/>
      <c r="E205" s="75"/>
      <c r="F205" s="75"/>
      <c r="G205" s="75"/>
      <c r="H205" s="75"/>
      <c r="I205" s="75"/>
      <c r="J205" s="75"/>
      <c r="K205" s="75"/>
      <c r="L205" s="75"/>
      <c r="M205" s="75"/>
      <c r="N205" s="75"/>
      <c r="O205" s="75"/>
      <c r="P205" s="75"/>
      <c r="Q205" s="75"/>
      <c r="R205" s="75"/>
      <c r="S205" s="75"/>
    </row>
    <row r="206" spans="1:19" x14ac:dyDescent="0.25">
      <c r="A206" s="96"/>
      <c r="B206" s="75"/>
      <c r="C206" s="75"/>
      <c r="D206" s="75"/>
      <c r="E206" s="75"/>
      <c r="F206" s="75"/>
      <c r="G206" s="75"/>
      <c r="H206" s="75"/>
      <c r="I206" s="75"/>
      <c r="J206" s="75"/>
      <c r="K206" s="75"/>
      <c r="L206" s="75"/>
      <c r="M206" s="75"/>
      <c r="N206" s="75"/>
      <c r="O206" s="75"/>
      <c r="P206" s="75"/>
      <c r="Q206" s="75"/>
      <c r="R206" s="75"/>
      <c r="S206" s="75"/>
    </row>
    <row r="207" spans="1:19" x14ac:dyDescent="0.25">
      <c r="A207" s="96"/>
      <c r="B207" s="75"/>
      <c r="C207" s="75"/>
      <c r="D207" s="75"/>
      <c r="E207" s="75"/>
      <c r="F207" s="75"/>
      <c r="G207" s="75"/>
      <c r="H207" s="75"/>
      <c r="I207" s="75"/>
      <c r="J207" s="75"/>
      <c r="K207" s="75"/>
      <c r="L207" s="75"/>
      <c r="M207" s="75"/>
      <c r="N207" s="75"/>
      <c r="O207" s="75"/>
      <c r="P207" s="75"/>
      <c r="Q207" s="75"/>
      <c r="R207" s="75"/>
      <c r="S207" s="75"/>
    </row>
    <row r="208" spans="1:19" x14ac:dyDescent="0.25">
      <c r="A208" s="96"/>
      <c r="B208" s="75"/>
      <c r="C208" s="75"/>
      <c r="D208" s="75"/>
      <c r="E208" s="75"/>
      <c r="F208" s="75"/>
      <c r="G208" s="75"/>
      <c r="H208" s="75"/>
      <c r="I208" s="75"/>
      <c r="J208" s="75"/>
      <c r="K208" s="75"/>
      <c r="L208" s="75"/>
      <c r="M208" s="75"/>
      <c r="N208" s="75"/>
      <c r="O208" s="75"/>
      <c r="P208" s="75"/>
      <c r="Q208" s="75"/>
      <c r="R208" s="75"/>
      <c r="S208" s="75"/>
    </row>
    <row r="209" spans="1:19" x14ac:dyDescent="0.25">
      <c r="A209" s="96"/>
      <c r="B209" s="75"/>
      <c r="C209" s="75"/>
      <c r="D209" s="75"/>
      <c r="E209" s="75"/>
      <c r="F209" s="75"/>
      <c r="G209" s="75"/>
      <c r="H209" s="75"/>
      <c r="I209" s="75"/>
      <c r="J209" s="75"/>
      <c r="K209" s="75"/>
      <c r="L209" s="75"/>
      <c r="M209" s="75"/>
      <c r="N209" s="75"/>
      <c r="O209" s="75"/>
      <c r="P209" s="75"/>
      <c r="Q209" s="75"/>
      <c r="R209" s="75"/>
      <c r="S209" s="75"/>
    </row>
    <row r="210" spans="1:19" x14ac:dyDescent="0.25">
      <c r="A210" s="96"/>
      <c r="B210" s="75"/>
      <c r="C210" s="75"/>
      <c r="D210" s="75"/>
      <c r="E210" s="75"/>
      <c r="F210" s="75"/>
      <c r="G210" s="75"/>
      <c r="H210" s="75"/>
      <c r="I210" s="75"/>
      <c r="J210" s="75"/>
      <c r="K210" s="75"/>
      <c r="L210" s="75"/>
      <c r="M210" s="75"/>
      <c r="N210" s="75"/>
      <c r="O210" s="75"/>
      <c r="P210" s="75"/>
      <c r="Q210" s="75"/>
      <c r="R210" s="75"/>
      <c r="S210" s="75"/>
    </row>
    <row r="211" spans="1:19" x14ac:dyDescent="0.25">
      <c r="A211" s="96"/>
      <c r="B211" s="75"/>
      <c r="C211" s="75"/>
      <c r="D211" s="75"/>
      <c r="E211" s="75"/>
      <c r="F211" s="75"/>
      <c r="G211" s="75"/>
      <c r="H211" s="75"/>
      <c r="I211" s="75"/>
      <c r="J211" s="75"/>
      <c r="K211" s="75"/>
      <c r="L211" s="75"/>
      <c r="M211" s="75"/>
      <c r="N211" s="75"/>
      <c r="O211" s="75"/>
      <c r="P211" s="75"/>
      <c r="Q211" s="75"/>
      <c r="R211" s="75"/>
      <c r="S211" s="75"/>
    </row>
    <row r="212" spans="1:19" x14ac:dyDescent="0.25">
      <c r="A212" s="96"/>
      <c r="B212" s="75"/>
      <c r="C212" s="75"/>
      <c r="D212" s="75"/>
      <c r="E212" s="75"/>
      <c r="F212" s="75"/>
      <c r="G212" s="75"/>
      <c r="H212" s="75"/>
      <c r="I212" s="75"/>
      <c r="J212" s="75"/>
      <c r="K212" s="75"/>
      <c r="L212" s="75"/>
      <c r="M212" s="75"/>
      <c r="N212" s="75"/>
      <c r="O212" s="75"/>
      <c r="P212" s="75"/>
      <c r="Q212" s="75"/>
      <c r="R212" s="75"/>
      <c r="S212" s="75"/>
    </row>
    <row r="213" spans="1:19" x14ac:dyDescent="0.25">
      <c r="A213" s="96"/>
      <c r="B213" s="75"/>
      <c r="C213" s="75"/>
      <c r="D213" s="75"/>
      <c r="E213" s="75"/>
      <c r="F213" s="75"/>
      <c r="G213" s="75"/>
      <c r="H213" s="75"/>
      <c r="I213" s="75"/>
      <c r="J213" s="75"/>
      <c r="K213" s="75"/>
      <c r="L213" s="75"/>
      <c r="M213" s="75"/>
      <c r="N213" s="75"/>
      <c r="O213" s="75"/>
      <c r="P213" s="75"/>
      <c r="Q213" s="75"/>
      <c r="R213" s="75"/>
      <c r="S213" s="75"/>
    </row>
    <row r="214" spans="1:19" x14ac:dyDescent="0.25">
      <c r="A214" s="96"/>
      <c r="B214" s="17"/>
      <c r="C214" s="17"/>
      <c r="D214" s="17"/>
      <c r="E214" s="17"/>
      <c r="F214" s="17"/>
      <c r="G214" s="17"/>
      <c r="H214" s="17"/>
      <c r="I214" s="17"/>
      <c r="J214" s="17"/>
      <c r="K214" s="17"/>
      <c r="L214" s="17"/>
      <c r="M214" s="17"/>
      <c r="N214" s="17"/>
      <c r="O214" s="17"/>
      <c r="P214" s="17"/>
      <c r="Q214" s="17"/>
      <c r="R214" s="17"/>
      <c r="S214" s="17"/>
    </row>
    <row r="215" spans="1:19" x14ac:dyDescent="0.25">
      <c r="A215" s="96"/>
      <c r="B215" s="17"/>
      <c r="C215" s="17"/>
      <c r="D215" s="17"/>
      <c r="E215" s="17"/>
      <c r="F215" s="17"/>
      <c r="G215" s="17"/>
      <c r="H215" s="17"/>
      <c r="I215" s="17"/>
      <c r="J215" s="17"/>
      <c r="K215" s="17"/>
      <c r="L215" s="17"/>
      <c r="M215" s="17"/>
      <c r="N215" s="17"/>
      <c r="O215" s="17"/>
      <c r="P215" s="17"/>
      <c r="Q215" s="17"/>
      <c r="R215" s="17"/>
      <c r="S215" s="17"/>
    </row>
    <row r="216" spans="1:19" x14ac:dyDescent="0.25">
      <c r="A216" s="96"/>
      <c r="B216" s="75"/>
      <c r="C216" s="75"/>
      <c r="D216" s="75"/>
      <c r="E216" s="75"/>
      <c r="F216" s="75"/>
      <c r="G216" s="75"/>
      <c r="H216" s="75"/>
      <c r="I216" s="75"/>
      <c r="J216" s="75"/>
      <c r="K216" s="75"/>
      <c r="L216" s="75"/>
      <c r="M216" s="75"/>
      <c r="N216" s="75"/>
      <c r="O216" s="75"/>
      <c r="P216" s="75"/>
      <c r="Q216" s="75"/>
      <c r="R216" s="75"/>
      <c r="S216" s="75"/>
    </row>
    <row r="217" spans="1:19" x14ac:dyDescent="0.25">
      <c r="A217" s="96"/>
      <c r="B217" s="75"/>
      <c r="C217" s="75"/>
      <c r="D217" s="75"/>
      <c r="E217" s="75"/>
      <c r="F217" s="75"/>
      <c r="G217" s="75"/>
      <c r="H217" s="75"/>
      <c r="I217" s="75"/>
      <c r="J217" s="75"/>
      <c r="K217" s="75"/>
      <c r="L217" s="75"/>
      <c r="M217" s="75"/>
      <c r="N217" s="75"/>
      <c r="O217" s="75"/>
      <c r="P217" s="75"/>
      <c r="Q217" s="75"/>
      <c r="R217" s="75"/>
      <c r="S217" s="75"/>
    </row>
    <row r="218" spans="1:19" x14ac:dyDescent="0.25">
      <c r="A218" s="96"/>
      <c r="B218" s="75"/>
      <c r="C218" s="75"/>
      <c r="D218" s="75"/>
      <c r="E218" s="75"/>
      <c r="F218" s="75"/>
      <c r="G218" s="75"/>
      <c r="H218" s="75"/>
      <c r="I218" s="75"/>
      <c r="J218" s="75"/>
      <c r="K218" s="75"/>
      <c r="L218" s="75"/>
      <c r="M218" s="75"/>
      <c r="N218" s="75"/>
      <c r="O218" s="75"/>
      <c r="P218" s="75"/>
      <c r="Q218" s="75"/>
      <c r="R218" s="75"/>
      <c r="S218" s="75"/>
    </row>
    <row r="219" spans="1:19" x14ac:dyDescent="0.25">
      <c r="A219" s="96"/>
      <c r="B219" s="75"/>
      <c r="C219" s="75"/>
      <c r="D219" s="75"/>
      <c r="E219" s="75"/>
      <c r="F219" s="75"/>
      <c r="G219" s="75"/>
      <c r="H219" s="75"/>
      <c r="I219" s="75"/>
      <c r="J219" s="75"/>
      <c r="K219" s="75"/>
      <c r="L219" s="75"/>
      <c r="M219" s="75"/>
      <c r="N219" s="75"/>
      <c r="O219" s="75"/>
      <c r="P219" s="75"/>
      <c r="Q219" s="75"/>
      <c r="R219" s="75"/>
      <c r="S219" s="75"/>
    </row>
    <row r="220" spans="1:19" x14ac:dyDescent="0.25">
      <c r="A220" s="96"/>
      <c r="B220" s="75"/>
      <c r="C220" s="75"/>
      <c r="D220" s="75"/>
      <c r="E220" s="75"/>
      <c r="F220" s="75"/>
      <c r="G220" s="75"/>
      <c r="H220" s="75"/>
      <c r="I220" s="75"/>
      <c r="J220" s="75"/>
      <c r="K220" s="75"/>
      <c r="L220" s="75"/>
      <c r="M220" s="75"/>
      <c r="N220" s="75"/>
      <c r="O220" s="75"/>
      <c r="P220" s="75"/>
      <c r="Q220" s="75"/>
      <c r="R220" s="75"/>
      <c r="S220" s="75"/>
    </row>
    <row r="221" spans="1:19" x14ac:dyDescent="0.25">
      <c r="A221" s="98"/>
      <c r="B221" s="17"/>
      <c r="C221" s="17"/>
      <c r="D221" s="17"/>
      <c r="E221" s="17"/>
      <c r="F221" s="17"/>
      <c r="G221" s="17"/>
      <c r="H221" s="17"/>
      <c r="I221" s="17"/>
      <c r="J221" s="17"/>
      <c r="K221" s="17"/>
      <c r="L221" s="17"/>
      <c r="M221" s="17"/>
      <c r="N221" s="17"/>
      <c r="O221" s="17"/>
      <c r="P221" s="17"/>
      <c r="Q221" s="17"/>
      <c r="R221" s="17"/>
      <c r="S221" s="17"/>
    </row>
    <row r="222" spans="1:19" x14ac:dyDescent="0.25">
      <c r="A222" s="98"/>
      <c r="B222" s="17"/>
      <c r="C222" s="17"/>
      <c r="D222" s="17"/>
      <c r="E222" s="17"/>
      <c r="F222" s="17"/>
      <c r="G222" s="17"/>
      <c r="H222" s="17"/>
      <c r="I222" s="17"/>
      <c r="J222" s="17"/>
      <c r="K222" s="17"/>
      <c r="L222" s="17"/>
      <c r="M222" s="17"/>
      <c r="N222" s="17"/>
      <c r="O222" s="17"/>
      <c r="P222" s="17"/>
      <c r="Q222" s="17"/>
      <c r="R222" s="17"/>
      <c r="S222" s="17"/>
    </row>
    <row r="223" spans="1:19" x14ac:dyDescent="0.25">
      <c r="A223" s="98"/>
      <c r="B223" s="17"/>
      <c r="C223" s="17"/>
      <c r="D223" s="17"/>
      <c r="E223" s="17"/>
      <c r="F223" s="17"/>
      <c r="G223" s="17"/>
      <c r="H223" s="17"/>
      <c r="I223" s="17"/>
      <c r="J223" s="17"/>
      <c r="K223" s="17"/>
      <c r="L223" s="17"/>
      <c r="M223" s="17"/>
      <c r="N223" s="17"/>
      <c r="O223" s="17"/>
      <c r="P223" s="17"/>
      <c r="Q223" s="17"/>
      <c r="R223" s="17"/>
      <c r="S223" s="17"/>
    </row>
    <row r="224" spans="1:19" x14ac:dyDescent="0.25">
      <c r="A224" s="256"/>
      <c r="B224" s="256"/>
      <c r="C224" s="256"/>
      <c r="D224" s="256"/>
      <c r="E224" s="256"/>
      <c r="F224" s="256"/>
      <c r="G224" s="15"/>
      <c r="H224" s="16"/>
      <c r="I224" s="256"/>
      <c r="J224" s="256"/>
      <c r="K224" s="256"/>
      <c r="L224" s="256"/>
      <c r="M224" s="256"/>
      <c r="N224" s="16"/>
      <c r="O224" s="16"/>
      <c r="P224" s="16"/>
      <c r="Q224" s="256"/>
      <c r="R224" s="256"/>
      <c r="S224" s="256"/>
    </row>
    <row r="225" spans="1:19" x14ac:dyDescent="0.25">
      <c r="A225" s="253" t="s">
        <v>391</v>
      </c>
      <c r="B225" s="254"/>
      <c r="C225" s="254"/>
      <c r="D225" s="254"/>
      <c r="E225" s="254"/>
      <c r="F225" s="255"/>
      <c r="G225" s="18"/>
      <c r="H225" s="18">
        <f>SUM(H11:H223)</f>
        <v>2027504</v>
      </c>
      <c r="I225" s="18">
        <f>SUM(I11:I223)</f>
        <v>1794816</v>
      </c>
      <c r="J225" s="18">
        <f>H225-I225</f>
        <v>232688</v>
      </c>
      <c r="K225" s="19">
        <f>J225/I225</f>
        <v>0.12964448723434602</v>
      </c>
      <c r="L225" s="18">
        <f>SUM(L11:L223)</f>
        <v>8927304</v>
      </c>
      <c r="M225" s="18">
        <f>SUM(M11:M223)</f>
        <v>10873972</v>
      </c>
      <c r="N225" s="18">
        <f>L225-M225</f>
        <v>-1946668</v>
      </c>
      <c r="O225" s="19">
        <f>N225/M225</f>
        <v>-0.17902087664010907</v>
      </c>
      <c r="P225" s="253"/>
      <c r="Q225" s="254"/>
      <c r="R225" s="254"/>
      <c r="S225" s="255"/>
    </row>
    <row r="229" spans="1:19" x14ac:dyDescent="0.25">
      <c r="A229" s="249" t="s">
        <v>334</v>
      </c>
      <c r="B229" s="249"/>
      <c r="C229" s="249"/>
      <c r="D229" s="6"/>
      <c r="E229" s="6"/>
      <c r="F229" s="6"/>
      <c r="G229" s="6"/>
      <c r="H229" s="8" t="s">
        <v>385</v>
      </c>
      <c r="J229" s="7"/>
      <c r="K229" s="7"/>
      <c r="L229" s="7"/>
      <c r="M229" s="7"/>
    </row>
    <row r="230" spans="1:19" x14ac:dyDescent="0.25">
      <c r="A230" s="22"/>
      <c r="B230" s="23" t="s">
        <v>182</v>
      </c>
      <c r="C230" s="24" t="s">
        <v>386</v>
      </c>
      <c r="D230" s="25" t="s">
        <v>266</v>
      </c>
      <c r="E230" s="24" t="s">
        <v>386</v>
      </c>
      <c r="F230" s="23" t="s">
        <v>461</v>
      </c>
      <c r="G230" s="23" t="s">
        <v>387</v>
      </c>
      <c r="H230" s="24" t="s">
        <v>386</v>
      </c>
    </row>
    <row r="231" spans="1:19" x14ac:dyDescent="0.25">
      <c r="A231" s="26" t="s">
        <v>388</v>
      </c>
      <c r="B231" s="9">
        <f>VLOOKUP(B230,'OI(Value)'!A7:E209,5,0)</f>
        <v>8512</v>
      </c>
      <c r="C231" s="146">
        <f>VLOOKUP(B230,'OI(Value)'!A7:G209,7,0)</f>
        <v>5.5199999999999999E-2</v>
      </c>
      <c r="D231" s="9">
        <f>VLOOKUP(D230,'OI(Value)'!A7:E209,5,0)</f>
        <v>40434</v>
      </c>
      <c r="E231" s="147">
        <f>VLOOKUP(D230,'OI(Value)'!A7:G209,7,0)</f>
        <v>1.1999999999999999E-3</v>
      </c>
      <c r="F231" s="9">
        <f>G231-D231-B231</f>
        <v>451899</v>
      </c>
      <c r="G231" s="10">
        <f>'OI(Value)'!E210</f>
        <v>500845</v>
      </c>
      <c r="H231" s="147">
        <f>'OI(Value)'!D217</f>
        <v>8.5934770238297285E-3</v>
      </c>
    </row>
    <row r="232" spans="1:19" x14ac:dyDescent="0.25">
      <c r="A232" s="26" t="s">
        <v>389</v>
      </c>
      <c r="B232" s="9">
        <f>VLOOKUP(B230,'OI(Value)'!A7:H209,8,0)</f>
        <v>60670</v>
      </c>
      <c r="C232" s="146">
        <f>VLOOKUP(B230,'OI(Value)'!A7:J209,10,0)</f>
        <v>8.0399999999999999E-2</v>
      </c>
      <c r="D232" s="9">
        <f>VLOOKUP(D230,'OI(Value)'!A1:O210,8,0)</f>
        <v>554005</v>
      </c>
      <c r="E232" s="147">
        <f>VLOOKUP(D230,'OI(Value)'!A1:J209,10,0)</f>
        <v>0.26910000000000001</v>
      </c>
      <c r="F232" s="9">
        <f>G232-D232-B232</f>
        <v>124235</v>
      </c>
      <c r="G232" s="9">
        <f>'OI(Value)'!H210</f>
        <v>738910</v>
      </c>
      <c r="H232" s="147">
        <f>'OI(Value)'!D218</f>
        <v>0.18730562585429891</v>
      </c>
    </row>
    <row r="233" spans="1:19" x14ac:dyDescent="0.25">
      <c r="A233" s="26" t="s">
        <v>390</v>
      </c>
      <c r="B233" s="9">
        <f>VLOOKUP(B230,'OI(Value)'!A7:K209,11,0)</f>
        <v>68982</v>
      </c>
      <c r="C233" s="146">
        <f>VLOOKUP(B230,'OI(Value)'!A7:M209,13,0)</f>
        <v>8.5000000000000006E-2</v>
      </c>
      <c r="D233" s="9">
        <f>VLOOKUP(D230,'OI(Value)'!A2:O211,11,0)</f>
        <v>626779</v>
      </c>
      <c r="E233" s="147">
        <f>VLOOKUP(D230,'OI(Value)'!A7:M209,13,0)</f>
        <v>0.13389999999999999</v>
      </c>
      <c r="F233" s="9">
        <f>G233-D233-B233</f>
        <v>91979</v>
      </c>
      <c r="G233" s="9">
        <f>'OI(Value)'!K210</f>
        <v>787740</v>
      </c>
      <c r="H233" s="147">
        <f>'OI(Volume)'!D229</f>
        <v>0.11972921054344164</v>
      </c>
    </row>
    <row r="234" spans="1:19" x14ac:dyDescent="0.25">
      <c r="A234" s="22" t="s">
        <v>391</v>
      </c>
      <c r="B234" s="62">
        <f>SUM(B231:B233)</f>
        <v>138164</v>
      </c>
      <c r="C234" s="148">
        <f>VLOOKUP(B230,'OI(Value)'!A7:D148,4,0)</f>
        <v>8.1100000000000005E-2</v>
      </c>
      <c r="D234" s="62">
        <f>SUM(D231:D233)</f>
        <v>1221218</v>
      </c>
      <c r="E234" s="148">
        <f>VLOOKUP(D230,'OI(Value)'!A1:D210,4,0)</f>
        <v>0.186</v>
      </c>
      <c r="F234" s="62">
        <f>SUM(F231:F233)</f>
        <v>668113</v>
      </c>
      <c r="G234" s="62">
        <f>SUM(G231:G233)</f>
        <v>2027495</v>
      </c>
      <c r="H234" s="151">
        <f>'OI(Value)'!D220</f>
        <v>0.11477266281791078</v>
      </c>
    </row>
    <row r="238" spans="1:19" x14ac:dyDescent="0.25">
      <c r="A238" s="20" t="s">
        <v>392</v>
      </c>
      <c r="B238" s="11"/>
      <c r="C238" s="11"/>
      <c r="D238" s="11"/>
      <c r="E238" s="11"/>
      <c r="F238" s="11"/>
      <c r="G238" s="11"/>
      <c r="H238" s="12"/>
    </row>
    <row r="239" spans="1:19" x14ac:dyDescent="0.25">
      <c r="A239" s="27"/>
      <c r="B239" s="27"/>
      <c r="C239" s="250" t="s">
        <v>459</v>
      </c>
      <c r="D239" s="251"/>
      <c r="E239" s="252"/>
      <c r="F239" s="250" t="s">
        <v>460</v>
      </c>
      <c r="G239" s="251"/>
      <c r="H239" s="252"/>
    </row>
    <row r="240" spans="1:19" x14ac:dyDescent="0.25">
      <c r="A240" s="28"/>
      <c r="B240" s="27"/>
      <c r="C240" s="31">
        <f>D10</f>
        <v>46023</v>
      </c>
      <c r="D240" s="31" t="s">
        <v>397</v>
      </c>
      <c r="E240" s="32" t="s">
        <v>321</v>
      </c>
      <c r="F240" s="31">
        <f>C240</f>
        <v>46023</v>
      </c>
      <c r="G240" s="31" t="str">
        <f>D240</f>
        <v>Preious</v>
      </c>
      <c r="H240" s="32" t="s">
        <v>386</v>
      </c>
    </row>
    <row r="241" spans="1:8" x14ac:dyDescent="0.25">
      <c r="A241" s="29" t="s">
        <v>393</v>
      </c>
      <c r="B241" s="30"/>
      <c r="C241" s="13">
        <f>FII!N3</f>
        <v>2698</v>
      </c>
      <c r="D241" s="13">
        <f>FII!J3</f>
        <v>2509</v>
      </c>
      <c r="E241" s="14">
        <f>(C241-D241)/C241</f>
        <v>7.0051890289103039E-2</v>
      </c>
      <c r="F241" s="13">
        <f>FII!M3</f>
        <v>14999</v>
      </c>
      <c r="G241" s="13">
        <f>FII!I3</f>
        <v>13966</v>
      </c>
      <c r="H241" s="14">
        <f>(F241-G241)/F241</f>
        <v>6.8871258083872261E-2</v>
      </c>
    </row>
    <row r="242" spans="1:8" x14ac:dyDescent="0.25">
      <c r="A242" s="247" t="s">
        <v>394</v>
      </c>
      <c r="B242" s="248"/>
      <c r="C242" s="13">
        <f>FII!N4</f>
        <v>25402</v>
      </c>
      <c r="D242" s="13">
        <f>FII!J4</f>
        <v>21522</v>
      </c>
      <c r="E242" s="14">
        <f>(C242-D242)/C242</f>
        <v>0.15274387843476891</v>
      </c>
      <c r="F242" s="13">
        <f>FII!M4</f>
        <v>141802</v>
      </c>
      <c r="G242" s="13">
        <f>FII!I4</f>
        <v>120407</v>
      </c>
      <c r="H242" s="14">
        <f>(F242-G242)/F242</f>
        <v>0.15087939521304353</v>
      </c>
    </row>
    <row r="243" spans="1:8" x14ac:dyDescent="0.25">
      <c r="A243" s="247" t="s">
        <v>395</v>
      </c>
      <c r="B243" s="248"/>
      <c r="C243" s="13">
        <f>FII!N15</f>
        <v>411177</v>
      </c>
      <c r="D243" s="13">
        <f>FII!J15</f>
        <v>408828</v>
      </c>
      <c r="E243" s="14">
        <f>(C243-D243)/C243</f>
        <v>5.7128681808564195E-3</v>
      </c>
      <c r="F243" s="13">
        <f>FII!M15</f>
        <v>5991144</v>
      </c>
      <c r="G243" s="13">
        <f>FII!I15</f>
        <v>5976172</v>
      </c>
      <c r="H243" s="14">
        <f>(F243-G243)/F243</f>
        <v>2.4990218896424458E-3</v>
      </c>
    </row>
    <row r="244" spans="1:8" x14ac:dyDescent="0.25">
      <c r="A244" s="247" t="s">
        <v>396</v>
      </c>
      <c r="B244" s="248"/>
      <c r="C244" s="13">
        <f>FII!N16</f>
        <v>17458</v>
      </c>
      <c r="D244" s="13">
        <f>FII!J16</f>
        <v>14568</v>
      </c>
      <c r="E244" s="14">
        <f>(C244-D244)/C244</f>
        <v>0.16554015351128423</v>
      </c>
      <c r="F244" s="13">
        <f>FII!M16</f>
        <v>253620</v>
      </c>
      <c r="G244" s="13">
        <f>FII!I16</f>
        <v>213606</v>
      </c>
      <c r="H244" s="14">
        <f>(F244-G244)/F244</f>
        <v>0.15777146912704046</v>
      </c>
    </row>
    <row r="245" spans="1:8" x14ac:dyDescent="0.25">
      <c r="A245" s="247" t="s">
        <v>391</v>
      </c>
      <c r="B245" s="248"/>
      <c r="C245" s="155">
        <f>SUM(C241:C244)</f>
        <v>456735</v>
      </c>
      <c r="D245" s="155">
        <f>SUM(D241:D244)</f>
        <v>447427</v>
      </c>
      <c r="E245" s="156">
        <f>(C245-D245)/C245</f>
        <v>2.0379432274732615E-2</v>
      </c>
      <c r="F245" s="157">
        <f>SUM(F241:F244)</f>
        <v>6401565</v>
      </c>
      <c r="G245" s="158">
        <f>SUM(G241:G244)</f>
        <v>6324151</v>
      </c>
      <c r="H245" s="156">
        <f>(F245-G245)/F245</f>
        <v>1.2092980388389402E-2</v>
      </c>
    </row>
  </sheetData>
  <mergeCells count="24">
    <mergeCell ref="P225:S225"/>
    <mergeCell ref="A225:F225"/>
    <mergeCell ref="Q224:S224"/>
    <mergeCell ref="I224:M224"/>
    <mergeCell ref="A224:F224"/>
    <mergeCell ref="A244:B244"/>
    <mergeCell ref="A245:B245"/>
    <mergeCell ref="A229:C229"/>
    <mergeCell ref="C239:E239"/>
    <mergeCell ref="F239:H239"/>
    <mergeCell ref="A242:B242"/>
    <mergeCell ref="A243:B243"/>
    <mergeCell ref="A6:S6"/>
    <mergeCell ref="A7:S7"/>
    <mergeCell ref="A8:A9"/>
    <mergeCell ref="H8:K8"/>
    <mergeCell ref="L8:O8"/>
    <mergeCell ref="P8:S8"/>
    <mergeCell ref="D9:G9"/>
    <mergeCell ref="H9:K9"/>
    <mergeCell ref="C8:G8"/>
    <mergeCell ref="L9:O9"/>
    <mergeCell ref="P9:Q9"/>
    <mergeCell ref="R9:S9"/>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workbookViewId="0">
      <pane ySplit="5" topLeftCell="A6" activePane="bottomLeft" state="frozen"/>
      <selection pane="bottomLeft" activeCell="J7" sqref="J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09" t="s">
        <v>456</v>
      </c>
      <c r="B3" s="310"/>
      <c r="C3" s="310"/>
      <c r="D3" s="310"/>
      <c r="E3" s="310"/>
      <c r="F3" s="310"/>
      <c r="G3" s="311"/>
      <c r="H3" s="46"/>
    </row>
    <row r="4" spans="1:8" x14ac:dyDescent="0.25">
      <c r="A4" s="285" t="s">
        <v>366</v>
      </c>
      <c r="B4" s="106" t="s">
        <v>312</v>
      </c>
      <c r="C4" s="106" t="s">
        <v>313</v>
      </c>
      <c r="D4" s="285" t="s">
        <v>367</v>
      </c>
      <c r="E4" s="285"/>
      <c r="F4" s="285"/>
      <c r="G4" s="285"/>
      <c r="H4" s="47"/>
    </row>
    <row r="5" spans="1:8" x14ac:dyDescent="0.25">
      <c r="A5" s="304"/>
      <c r="B5" s="3">
        <f>PCR!B6</f>
        <v>46023</v>
      </c>
      <c r="C5" s="3">
        <f>B5</f>
        <v>46023</v>
      </c>
      <c r="D5" s="76" t="s">
        <v>367</v>
      </c>
      <c r="E5" s="76" t="s">
        <v>321</v>
      </c>
      <c r="F5" s="76" t="s">
        <v>368</v>
      </c>
      <c r="G5" s="76" t="s">
        <v>369</v>
      </c>
      <c r="H5" s="48"/>
    </row>
    <row r="6" spans="1:8" x14ac:dyDescent="0.25">
      <c r="A6" s="101" t="str">
        <f>'Data shares'!C2</f>
        <v>360ONE</v>
      </c>
      <c r="B6" s="144">
        <f>VLOOKUP($A6,'Data shares'!$C:$FA,7)</f>
        <v>1179.7</v>
      </c>
      <c r="C6" s="144">
        <f>VLOOKUP($A6,'Data shares'!$C:$FA,3)</f>
        <v>1182.5</v>
      </c>
      <c r="D6" s="144">
        <f>VLOOKUP($A6,'Data shares'!$C:$FA,23)</f>
        <v>2.8</v>
      </c>
      <c r="E6" s="145">
        <f>VLOOKUP($A6,'Data shares'!$C:$FA,26)*100</f>
        <v>0.24</v>
      </c>
      <c r="F6" s="144">
        <f>VLOOKUP($A6,'Data shares'!$C:$FA,24)</f>
        <v>-3.1</v>
      </c>
      <c r="G6" s="144">
        <f>VLOOKUP($A6,'Data shares'!$C:$FA,25)</f>
        <v>5.9</v>
      </c>
    </row>
    <row r="7" spans="1:8" x14ac:dyDescent="0.25">
      <c r="A7" s="101" t="str">
        <f>'Data shares'!C3</f>
        <v>ABB</v>
      </c>
      <c r="B7" s="144">
        <f>VLOOKUP($A7,'Data shares'!$C:$FA,7)</f>
        <v>5176.5</v>
      </c>
      <c r="C7" s="144">
        <f>VLOOKUP($A7,'Data shares'!$C:$FA,3)</f>
        <v>5209</v>
      </c>
      <c r="D7" s="144">
        <f>VLOOKUP($A7,'Data shares'!$C:$FA,23)</f>
        <v>32.5</v>
      </c>
      <c r="E7" s="145">
        <f>VLOOKUP($A7,'Data shares'!$C:$FA,26)*100</f>
        <v>0.63</v>
      </c>
      <c r="F7" s="144">
        <f>VLOOKUP($A7,'Data shares'!$C:$FA,24)</f>
        <v>34</v>
      </c>
      <c r="G7" s="144">
        <f>VLOOKUP($A7,'Data shares'!$C:$FA,25)</f>
        <v>-1.5</v>
      </c>
    </row>
    <row r="8" spans="1:8" x14ac:dyDescent="0.25">
      <c r="A8" s="101" t="str">
        <f>'Data shares'!C4</f>
        <v>ABCAPITAL</v>
      </c>
      <c r="B8" s="144">
        <f>VLOOKUP($A8,'Data shares'!$C:$FA,7)</f>
        <v>361.95</v>
      </c>
      <c r="C8" s="144">
        <f>VLOOKUP($A8,'Data shares'!$C:$FA,3)</f>
        <v>364.4</v>
      </c>
      <c r="D8" s="144">
        <f>VLOOKUP($A8,'Data shares'!$C:$FA,23)</f>
        <v>2.4500000000000002</v>
      </c>
      <c r="E8" s="145">
        <f>VLOOKUP($A8,'Data shares'!$C:$FA,26)*100</f>
        <v>0.67999999999999994</v>
      </c>
      <c r="F8" s="144">
        <f>VLOOKUP($A8,'Data shares'!$C:$FA,24)</f>
        <v>2.2999999999999998</v>
      </c>
      <c r="G8" s="144">
        <f>VLOOKUP($A8,'Data shares'!$C:$FA,25)</f>
        <v>0.15</v>
      </c>
    </row>
    <row r="9" spans="1:8" x14ac:dyDescent="0.25">
      <c r="A9" s="101" t="str">
        <f>'Data shares'!C5</f>
        <v>ADANIENSOL</v>
      </c>
      <c r="B9" s="144">
        <f>VLOOKUP($A9,'Data shares'!$C:$FA,7)</f>
        <v>1046.4000000000001</v>
      </c>
      <c r="C9" s="144">
        <f>VLOOKUP($A9,'Data shares'!$C:$FA,3)</f>
        <v>1053.5</v>
      </c>
      <c r="D9" s="144">
        <f>VLOOKUP($A9,'Data shares'!$C:$FA,23)</f>
        <v>7.1</v>
      </c>
      <c r="E9" s="145">
        <f>VLOOKUP($A9,'Data shares'!$C:$FA,26)*100</f>
        <v>0.67999999999999994</v>
      </c>
      <c r="F9" s="144">
        <f>VLOOKUP($A9,'Data shares'!$C:$FA,24)</f>
        <v>3.6</v>
      </c>
      <c r="G9" s="144">
        <f>VLOOKUP($A9,'Data shares'!$C:$FA,25)</f>
        <v>3.5</v>
      </c>
    </row>
    <row r="10" spans="1:8" x14ac:dyDescent="0.25">
      <c r="A10" s="101" t="str">
        <f>'Data shares'!C6</f>
        <v>ADANIENT</v>
      </c>
      <c r="B10" s="144">
        <f>VLOOKUP($A10,'Data shares'!$C:$FA,7)</f>
        <v>2260</v>
      </c>
      <c r="C10" s="144">
        <f>VLOOKUP($A10,'Data shares'!$C:$FA,3)</f>
        <v>2271.9</v>
      </c>
      <c r="D10" s="144">
        <f>VLOOKUP($A10,'Data shares'!$C:$FA,23)</f>
        <v>11.9</v>
      </c>
      <c r="E10" s="145">
        <f>VLOOKUP($A10,'Data shares'!$C:$FA,26)*100</f>
        <v>0.53</v>
      </c>
      <c r="F10" s="144">
        <f>VLOOKUP($A10,'Data shares'!$C:$FA,24)</f>
        <v>9.6</v>
      </c>
      <c r="G10" s="144">
        <f>VLOOKUP($A10,'Data shares'!$C:$FA,25)</f>
        <v>2.2999999999999998</v>
      </c>
    </row>
    <row r="11" spans="1:8" x14ac:dyDescent="0.25">
      <c r="A11" s="101" t="str">
        <f>'Data shares'!C7</f>
        <v>ADANIGREEN</v>
      </c>
      <c r="B11" s="144">
        <f>VLOOKUP($A11,'Data shares'!$C:$FA,7)</f>
        <v>1025.9000000000001</v>
      </c>
      <c r="C11" s="144">
        <f>VLOOKUP($A11,'Data shares'!$C:$FA,3)</f>
        <v>1032.8</v>
      </c>
      <c r="D11" s="144">
        <f>VLOOKUP($A11,'Data shares'!$C:$FA,23)</f>
        <v>6.9</v>
      </c>
      <c r="E11" s="145">
        <f>VLOOKUP($A11,'Data shares'!$C:$FA,26)*100</f>
        <v>0.67</v>
      </c>
      <c r="F11" s="144">
        <f>VLOOKUP($A11,'Data shares'!$C:$FA,24)</f>
        <v>6.5</v>
      </c>
      <c r="G11" s="144">
        <f>VLOOKUP($A11,'Data shares'!$C:$FA,25)</f>
        <v>0.4</v>
      </c>
    </row>
    <row r="12" spans="1:8" x14ac:dyDescent="0.25">
      <c r="A12" s="101" t="str">
        <f>'Data shares'!C8</f>
        <v>ADANIPORTS</v>
      </c>
      <c r="B12" s="144">
        <f>VLOOKUP($A12,'Data shares'!$C:$FA,7)</f>
        <v>1481.1</v>
      </c>
      <c r="C12" s="144">
        <f>VLOOKUP($A12,'Data shares'!$C:$FA,3)</f>
        <v>1488.5</v>
      </c>
      <c r="D12" s="144">
        <f>VLOOKUP($A12,'Data shares'!$C:$FA,23)</f>
        <v>7.4</v>
      </c>
      <c r="E12" s="145">
        <f>VLOOKUP($A12,'Data shares'!$C:$FA,26)*100</f>
        <v>0.5</v>
      </c>
      <c r="F12" s="144">
        <f>VLOOKUP($A12,'Data shares'!$C:$FA,24)</f>
        <v>8.8000000000000007</v>
      </c>
      <c r="G12" s="144">
        <f>VLOOKUP($A12,'Data shares'!$C:$FA,25)</f>
        <v>-1.4</v>
      </c>
    </row>
    <row r="13" spans="1:8" x14ac:dyDescent="0.25">
      <c r="A13" s="101" t="str">
        <f>'Data shares'!C9</f>
        <v>ALKEM</v>
      </c>
      <c r="B13" s="144">
        <f>VLOOKUP($A13,'Data shares'!$C:$FA,7)</f>
        <v>5463.5</v>
      </c>
      <c r="C13" s="144">
        <f>VLOOKUP($A13,'Data shares'!$C:$FA,3)</f>
        <v>5487</v>
      </c>
      <c r="D13" s="144">
        <f>VLOOKUP($A13,'Data shares'!$C:$FA,23)</f>
        <v>23.5</v>
      </c>
      <c r="E13" s="145">
        <f>VLOOKUP($A13,'Data shares'!$C:$FA,26)*100</f>
        <v>0.43</v>
      </c>
      <c r="F13" s="144">
        <f>VLOOKUP($A13,'Data shares'!$C:$FA,24)</f>
        <v>20.5</v>
      </c>
      <c r="G13" s="144">
        <f>VLOOKUP($A13,'Data shares'!$C:$FA,25)</f>
        <v>3</v>
      </c>
    </row>
    <row r="14" spans="1:8" x14ac:dyDescent="0.25">
      <c r="A14" s="101" t="str">
        <f>'Data shares'!C10</f>
        <v>AMBER</v>
      </c>
      <c r="B14" s="144">
        <f>VLOOKUP($A14,'Data shares'!$C:$FA,7)</f>
        <v>6447.5</v>
      </c>
      <c r="C14" s="144">
        <f>VLOOKUP($A14,'Data shares'!$C:$FA,3)</f>
        <v>6443</v>
      </c>
      <c r="D14" s="144">
        <f>VLOOKUP($A14,'Data shares'!$C:$FA,23)</f>
        <v>-4.5</v>
      </c>
      <c r="E14" s="145">
        <f>VLOOKUP($A14,'Data shares'!$C:$FA,26)*100</f>
        <v>-6.9999999999999993E-2</v>
      </c>
      <c r="F14" s="144">
        <f>VLOOKUP($A14,'Data shares'!$C:$FA,24)</f>
        <v>-21</v>
      </c>
      <c r="G14" s="144">
        <f>VLOOKUP($A14,'Data shares'!$C:$FA,25)</f>
        <v>16.5</v>
      </c>
    </row>
    <row r="15" spans="1:8" x14ac:dyDescent="0.25">
      <c r="A15" s="101" t="str">
        <f>'Data shares'!C11</f>
        <v>AMBUJACEM</v>
      </c>
      <c r="B15" s="144">
        <f>VLOOKUP($A15,'Data shares'!$C:$FA,7)</f>
        <v>559.65</v>
      </c>
      <c r="C15" s="144">
        <f>VLOOKUP($A15,'Data shares'!$C:$FA,3)</f>
        <v>563.25</v>
      </c>
      <c r="D15" s="144">
        <f>VLOOKUP($A15,'Data shares'!$C:$FA,23)</f>
        <v>3.6</v>
      </c>
      <c r="E15" s="145">
        <f>VLOOKUP($A15,'Data shares'!$C:$FA,26)*100</f>
        <v>0.64</v>
      </c>
      <c r="F15" s="144">
        <f>VLOOKUP($A15,'Data shares'!$C:$FA,24)</f>
        <v>2.65</v>
      </c>
      <c r="G15" s="144">
        <f>VLOOKUP($A15,'Data shares'!$C:$FA,25)</f>
        <v>0.95</v>
      </c>
    </row>
    <row r="16" spans="1:8" x14ac:dyDescent="0.25">
      <c r="A16" s="101" t="str">
        <f>'Data shares'!C12</f>
        <v>ANGELONE</v>
      </c>
      <c r="B16" s="144">
        <f>VLOOKUP($A16,'Data shares'!$C:$FA,7)</f>
        <v>2362.8000000000002</v>
      </c>
      <c r="C16" s="144">
        <f>VLOOKUP($A16,'Data shares'!$C:$FA,3)</f>
        <v>2366.6</v>
      </c>
      <c r="D16" s="144">
        <f>VLOOKUP($A16,'Data shares'!$C:$FA,23)</f>
        <v>3.8</v>
      </c>
      <c r="E16" s="145">
        <f>VLOOKUP($A16,'Data shares'!$C:$FA,26)*100</f>
        <v>0.16</v>
      </c>
      <c r="F16" s="144">
        <f>VLOOKUP($A16,'Data shares'!$C:$FA,24)</f>
        <v>4.0999999999999996</v>
      </c>
      <c r="G16" s="144">
        <f>VLOOKUP($A16,'Data shares'!$C:$FA,25)</f>
        <v>-0.3</v>
      </c>
    </row>
    <row r="17" spans="1:7" x14ac:dyDescent="0.25">
      <c r="A17" s="101" t="str">
        <f>'Data shares'!C13</f>
        <v>APLAPOLLO</v>
      </c>
      <c r="B17" s="144">
        <f>VLOOKUP($A17,'Data shares'!$C:$FA,7)</f>
        <v>1970</v>
      </c>
      <c r="C17" s="144">
        <f>VLOOKUP($A17,'Data shares'!$C:$FA,3)</f>
        <v>1983</v>
      </c>
      <c r="D17" s="144">
        <f>VLOOKUP($A17,'Data shares'!$C:$FA,23)</f>
        <v>13</v>
      </c>
      <c r="E17" s="145">
        <f>VLOOKUP($A17,'Data shares'!$C:$FA,26)*100</f>
        <v>0.66</v>
      </c>
      <c r="F17" s="144">
        <f>VLOOKUP($A17,'Data shares'!$C:$FA,24)</f>
        <v>11.7</v>
      </c>
      <c r="G17" s="144">
        <f>VLOOKUP($A17,'Data shares'!$C:$FA,25)</f>
        <v>1.3</v>
      </c>
    </row>
    <row r="18" spans="1:7" x14ac:dyDescent="0.25">
      <c r="A18" s="101" t="str">
        <f>'Data shares'!C14</f>
        <v>APOLLOHOSP</v>
      </c>
      <c r="B18" s="144">
        <f>VLOOKUP($A18,'Data shares'!$C:$FA,7)</f>
        <v>7111.5</v>
      </c>
      <c r="C18" s="144">
        <f>VLOOKUP($A18,'Data shares'!$C:$FA,3)</f>
        <v>7140</v>
      </c>
      <c r="D18" s="144">
        <f>VLOOKUP($A18,'Data shares'!$C:$FA,23)</f>
        <v>28.5</v>
      </c>
      <c r="E18" s="145">
        <f>VLOOKUP($A18,'Data shares'!$C:$FA,26)*100</f>
        <v>0.4</v>
      </c>
      <c r="F18" s="144">
        <f>VLOOKUP($A18,'Data shares'!$C:$FA,24)</f>
        <v>46</v>
      </c>
      <c r="G18" s="144">
        <f>VLOOKUP($A18,'Data shares'!$C:$FA,25)</f>
        <v>-17.5</v>
      </c>
    </row>
    <row r="19" spans="1:7" x14ac:dyDescent="0.25">
      <c r="A19" s="101" t="str">
        <f>'Data shares'!C15</f>
        <v>ASHOKLEY</v>
      </c>
      <c r="B19" s="144">
        <f>VLOOKUP($A19,'Data shares'!$C:$FA,7)</f>
        <v>184.88</v>
      </c>
      <c r="C19" s="144">
        <f>VLOOKUP($A19,'Data shares'!$C:$FA,3)</f>
        <v>182.04</v>
      </c>
      <c r="D19" s="144">
        <f>VLOOKUP($A19,'Data shares'!$C:$FA,23)</f>
        <v>-2.84</v>
      </c>
      <c r="E19" s="145">
        <f>VLOOKUP($A19,'Data shares'!$C:$FA,26)*100</f>
        <v>-1.54</v>
      </c>
      <c r="F19" s="144">
        <f>VLOOKUP($A19,'Data shares'!$C:$FA,24)</f>
        <v>-2.15</v>
      </c>
      <c r="G19" s="144">
        <f>VLOOKUP($A19,'Data shares'!$C:$FA,25)</f>
        <v>-0.69</v>
      </c>
    </row>
    <row r="20" spans="1:7" x14ac:dyDescent="0.25">
      <c r="A20" s="101" t="str">
        <f>'Data shares'!C16</f>
        <v>ASIANPAINT</v>
      </c>
      <c r="B20" s="144">
        <f>VLOOKUP($A20,'Data shares'!$C:$FA,7)</f>
        <v>2752</v>
      </c>
      <c r="C20" s="144">
        <f>VLOOKUP($A20,'Data shares'!$C:$FA,3)</f>
        <v>2766.6</v>
      </c>
      <c r="D20" s="144">
        <f>VLOOKUP($A20,'Data shares'!$C:$FA,23)</f>
        <v>14.6</v>
      </c>
      <c r="E20" s="145">
        <f>VLOOKUP($A20,'Data shares'!$C:$FA,26)*100</f>
        <v>0.53</v>
      </c>
      <c r="F20" s="144">
        <f>VLOOKUP($A20,'Data shares'!$C:$FA,24)</f>
        <v>12.4</v>
      </c>
      <c r="G20" s="144">
        <f>VLOOKUP($A20,'Data shares'!$C:$FA,25)</f>
        <v>2.2000000000000002</v>
      </c>
    </row>
    <row r="21" spans="1:7" x14ac:dyDescent="0.25">
      <c r="A21" s="101" t="str">
        <f>'Data shares'!C17</f>
        <v>ASTRAL</v>
      </c>
      <c r="B21" s="144">
        <f>VLOOKUP($A21,'Data shares'!$C:$FA,7)</f>
        <v>1434.9</v>
      </c>
      <c r="C21" s="144">
        <f>VLOOKUP($A21,'Data shares'!$C:$FA,3)</f>
        <v>1442.7</v>
      </c>
      <c r="D21" s="144">
        <f>VLOOKUP($A21,'Data shares'!$C:$FA,23)</f>
        <v>7.8</v>
      </c>
      <c r="E21" s="145">
        <f>VLOOKUP($A21,'Data shares'!$C:$FA,26)*100</f>
        <v>0.54</v>
      </c>
      <c r="F21" s="144">
        <f>VLOOKUP($A21,'Data shares'!$C:$FA,24)</f>
        <v>1</v>
      </c>
      <c r="G21" s="144">
        <f>VLOOKUP($A21,'Data shares'!$C:$FA,25)</f>
        <v>6.8</v>
      </c>
    </row>
    <row r="22" spans="1:7" x14ac:dyDescent="0.25">
      <c r="A22" s="101" t="str">
        <f>'Data shares'!C18</f>
        <v>AUBANK</v>
      </c>
      <c r="B22" s="144">
        <f>VLOOKUP($A22,'Data shares'!$C:$FA,7)</f>
        <v>999.45</v>
      </c>
      <c r="C22" s="144">
        <f>VLOOKUP($A22,'Data shares'!$C:$FA,3)</f>
        <v>1002.85</v>
      </c>
      <c r="D22" s="144">
        <f>VLOOKUP($A22,'Data shares'!$C:$FA,23)</f>
        <v>3.4</v>
      </c>
      <c r="E22" s="145">
        <f>VLOOKUP($A22,'Data shares'!$C:$FA,26)*100</f>
        <v>0.33999999999999997</v>
      </c>
      <c r="F22" s="144">
        <f>VLOOKUP($A22,'Data shares'!$C:$FA,24)</f>
        <v>5.65</v>
      </c>
      <c r="G22" s="144">
        <f>VLOOKUP($A22,'Data shares'!$C:$FA,25)</f>
        <v>-2.25</v>
      </c>
    </row>
    <row r="23" spans="1:7" x14ac:dyDescent="0.25">
      <c r="A23" s="101" t="str">
        <f>'Data shares'!C19</f>
        <v>AUROPHARMA</v>
      </c>
      <c r="B23" s="144">
        <f>VLOOKUP($A23,'Data shares'!$C:$FA,7)</f>
        <v>1193</v>
      </c>
      <c r="C23" s="144">
        <f>VLOOKUP($A23,'Data shares'!$C:$FA,3)</f>
        <v>1199.7</v>
      </c>
      <c r="D23" s="144">
        <f>VLOOKUP($A23,'Data shares'!$C:$FA,23)</f>
        <v>6.7</v>
      </c>
      <c r="E23" s="145">
        <f>VLOOKUP($A23,'Data shares'!$C:$FA,26)*100</f>
        <v>0.55999999999999994</v>
      </c>
      <c r="F23" s="144">
        <f>VLOOKUP($A23,'Data shares'!$C:$FA,24)</f>
        <v>6.5</v>
      </c>
      <c r="G23" s="144">
        <f>VLOOKUP($A23,'Data shares'!$C:$FA,25)</f>
        <v>0.2</v>
      </c>
    </row>
    <row r="24" spans="1:7" x14ac:dyDescent="0.25">
      <c r="A24" s="101" t="str">
        <f>'Data shares'!C20</f>
        <v>AXISBANK</v>
      </c>
      <c r="B24" s="144">
        <f>VLOOKUP($A24,'Data shares'!$C:$FA,7)</f>
        <v>1274.4000000000001</v>
      </c>
      <c r="C24" s="144">
        <f>VLOOKUP($A24,'Data shares'!$C:$FA,3)</f>
        <v>1279.0999999999999</v>
      </c>
      <c r="D24" s="144">
        <f>VLOOKUP($A24,'Data shares'!$C:$FA,23)</f>
        <v>4.7</v>
      </c>
      <c r="E24" s="145">
        <f>VLOOKUP($A24,'Data shares'!$C:$FA,26)*100</f>
        <v>0.37</v>
      </c>
      <c r="F24" s="144">
        <f>VLOOKUP($A24,'Data shares'!$C:$FA,24)</f>
        <v>4.8</v>
      </c>
      <c r="G24" s="144">
        <f>VLOOKUP($A24,'Data shares'!$C:$FA,25)</f>
        <v>-0.1</v>
      </c>
    </row>
    <row r="25" spans="1:7" x14ac:dyDescent="0.25">
      <c r="A25" s="101" t="str">
        <f>'Data shares'!C21</f>
        <v>BAJAJ-AUTO</v>
      </c>
      <c r="B25" s="144">
        <f>VLOOKUP($A25,'Data shares'!$C:$FA,7)</f>
        <v>9558</v>
      </c>
      <c r="C25" s="144">
        <f>VLOOKUP($A25,'Data shares'!$C:$FA,3)</f>
        <v>9611</v>
      </c>
      <c r="D25" s="144">
        <f>VLOOKUP($A25,'Data shares'!$C:$FA,23)</f>
        <v>53</v>
      </c>
      <c r="E25" s="145">
        <f>VLOOKUP($A25,'Data shares'!$C:$FA,26)*100</f>
        <v>0.54999999999999993</v>
      </c>
      <c r="F25" s="144">
        <f>VLOOKUP($A25,'Data shares'!$C:$FA,24)</f>
        <v>59</v>
      </c>
      <c r="G25" s="144">
        <f>VLOOKUP($A25,'Data shares'!$C:$FA,25)</f>
        <v>-6</v>
      </c>
    </row>
    <row r="26" spans="1:7" x14ac:dyDescent="0.25">
      <c r="A26" s="101" t="str">
        <f>'Data shares'!C22</f>
        <v>BAJAJFINSV</v>
      </c>
      <c r="B26" s="144">
        <f>VLOOKUP($A26,'Data shares'!$C:$FA,7)</f>
        <v>2037</v>
      </c>
      <c r="C26" s="144">
        <f>VLOOKUP($A26,'Data shares'!$C:$FA,3)</f>
        <v>2044.6</v>
      </c>
      <c r="D26" s="144">
        <f>VLOOKUP($A26,'Data shares'!$C:$FA,23)</f>
        <v>7.6</v>
      </c>
      <c r="E26" s="145">
        <f>VLOOKUP($A26,'Data shares'!$C:$FA,26)*100</f>
        <v>0.37</v>
      </c>
      <c r="F26" s="144">
        <f>VLOOKUP($A26,'Data shares'!$C:$FA,24)</f>
        <v>7.1</v>
      </c>
      <c r="G26" s="144">
        <f>VLOOKUP($A26,'Data shares'!$C:$FA,25)</f>
        <v>0.5</v>
      </c>
    </row>
    <row r="27" spans="1:7" x14ac:dyDescent="0.25">
      <c r="A27" s="101" t="str">
        <f>'Data shares'!C23</f>
        <v>BAJAJHLDNG</v>
      </c>
      <c r="B27" s="144">
        <f>VLOOKUP($A27,'Data shares'!$C:$FA,7)</f>
        <v>11342</v>
      </c>
      <c r="C27" s="144">
        <f>VLOOKUP($A27,'Data shares'!$C:$FA,3)</f>
        <v>11420</v>
      </c>
      <c r="D27" s="144">
        <f>VLOOKUP($A27,'Data shares'!$C:$FA,23)</f>
        <v>78</v>
      </c>
      <c r="E27" s="145">
        <f>VLOOKUP($A27,'Data shares'!$C:$FA,26)*100</f>
        <v>0.69</v>
      </c>
      <c r="F27" s="144">
        <f>VLOOKUP($A27,'Data shares'!$C:$FA,24)</f>
        <v>69</v>
      </c>
      <c r="G27" s="144">
        <f>VLOOKUP($A27,'Data shares'!$C:$FA,25)</f>
        <v>9</v>
      </c>
    </row>
    <row r="28" spans="1:7" x14ac:dyDescent="0.25">
      <c r="A28" s="101" t="str">
        <f>'Data shares'!C24</f>
        <v>BAJFINANCE</v>
      </c>
      <c r="B28" s="144">
        <f>VLOOKUP($A28,'Data shares'!$C:$FA,7)</f>
        <v>973.1</v>
      </c>
      <c r="C28" s="144">
        <f>VLOOKUP($A28,'Data shares'!$C:$FA,3)</f>
        <v>979.9</v>
      </c>
      <c r="D28" s="144">
        <f>VLOOKUP($A28,'Data shares'!$C:$FA,23)</f>
        <v>6.8</v>
      </c>
      <c r="E28" s="145">
        <f>VLOOKUP($A28,'Data shares'!$C:$FA,26)*100</f>
        <v>0.70000000000000007</v>
      </c>
      <c r="F28" s="144">
        <f>VLOOKUP($A28,'Data shares'!$C:$FA,24)</f>
        <v>6.3</v>
      </c>
      <c r="G28" s="144">
        <f>VLOOKUP($A28,'Data shares'!$C:$FA,25)</f>
        <v>0.5</v>
      </c>
    </row>
    <row r="29" spans="1:7" x14ac:dyDescent="0.25">
      <c r="A29" s="101" t="str">
        <f>'Data shares'!C25</f>
        <v>BANDHANBNK</v>
      </c>
      <c r="B29" s="144">
        <f>VLOOKUP($A29,'Data shares'!$C:$FA,7)</f>
        <v>144.18</v>
      </c>
      <c r="C29" s="144">
        <f>VLOOKUP($A29,'Data shares'!$C:$FA,3)</f>
        <v>145.15</v>
      </c>
      <c r="D29" s="144">
        <f>VLOOKUP($A29,'Data shares'!$C:$FA,23)</f>
        <v>0.97</v>
      </c>
      <c r="E29" s="145">
        <f>VLOOKUP($A29,'Data shares'!$C:$FA,26)*100</f>
        <v>0.67</v>
      </c>
      <c r="F29" s="144">
        <f>VLOOKUP($A29,'Data shares'!$C:$FA,24)</f>
        <v>0.91</v>
      </c>
      <c r="G29" s="144">
        <f>VLOOKUP($A29,'Data shares'!$C:$FA,25)</f>
        <v>0.06</v>
      </c>
    </row>
    <row r="30" spans="1:7" x14ac:dyDescent="0.25">
      <c r="A30" s="101" t="str">
        <f>'Data shares'!C26</f>
        <v>BANKBARODA</v>
      </c>
      <c r="B30" s="144">
        <f>VLOOKUP($A30,'Data shares'!$C:$FA,7)</f>
        <v>300.75</v>
      </c>
      <c r="C30" s="144">
        <f>VLOOKUP($A30,'Data shares'!$C:$FA,3)</f>
        <v>302.85000000000002</v>
      </c>
      <c r="D30" s="144">
        <f>VLOOKUP($A30,'Data shares'!$C:$FA,23)</f>
        <v>2.1</v>
      </c>
      <c r="E30" s="145">
        <f>VLOOKUP($A30,'Data shares'!$C:$FA,26)*100</f>
        <v>0.70000000000000007</v>
      </c>
      <c r="F30" s="144">
        <f>VLOOKUP($A30,'Data shares'!$C:$FA,24)</f>
        <v>1.95</v>
      </c>
      <c r="G30" s="144">
        <f>VLOOKUP($A30,'Data shares'!$C:$FA,25)</f>
        <v>0.15</v>
      </c>
    </row>
    <row r="31" spans="1:7" x14ac:dyDescent="0.25">
      <c r="A31" s="101" t="str">
        <f>'Data shares'!C27</f>
        <v>BANKINDIA</v>
      </c>
      <c r="B31" s="144">
        <f>VLOOKUP($A31,'Data shares'!$C:$FA,7)</f>
        <v>146.99</v>
      </c>
      <c r="C31" s="144">
        <f>VLOOKUP($A31,'Data shares'!$C:$FA,3)</f>
        <v>147.97999999999999</v>
      </c>
      <c r="D31" s="144">
        <f>VLOOKUP($A31,'Data shares'!$C:$FA,23)</f>
        <v>0.99</v>
      </c>
      <c r="E31" s="145">
        <f>VLOOKUP($A31,'Data shares'!$C:$FA,26)*100</f>
        <v>0.67</v>
      </c>
      <c r="F31" s="144">
        <f>VLOOKUP($A31,'Data shares'!$C:$FA,24)</f>
        <v>0.75</v>
      </c>
      <c r="G31" s="144">
        <f>VLOOKUP($A31,'Data shares'!$C:$FA,25)</f>
        <v>0.24</v>
      </c>
    </row>
    <row r="32" spans="1:7" x14ac:dyDescent="0.25">
      <c r="A32" s="101" t="str">
        <f>'Data shares'!C28</f>
        <v>BANKNIFTY</v>
      </c>
      <c r="B32" s="144">
        <f>VLOOKUP($A32,'Data shares'!$C:$FA,7)</f>
        <v>59711.55</v>
      </c>
      <c r="C32" s="144">
        <f>VLOOKUP($A32,'Data shares'!$C:$FA,3)</f>
        <v>59955.6</v>
      </c>
      <c r="D32" s="144">
        <f>VLOOKUP($A32,'Data shares'!$C:$FA,23)</f>
        <v>244.05</v>
      </c>
      <c r="E32" s="145">
        <f>VLOOKUP($A32,'Data shares'!$C:$FA,26)*100</f>
        <v>0.41000000000000003</v>
      </c>
      <c r="F32" s="144">
        <f>VLOOKUP($A32,'Data shares'!$C:$FA,24)</f>
        <v>301.75</v>
      </c>
      <c r="G32" s="144">
        <f>VLOOKUP($A32,'Data shares'!$C:$FA,25)</f>
        <v>-57.7</v>
      </c>
    </row>
    <row r="33" spans="1:7" x14ac:dyDescent="0.25">
      <c r="A33" s="101" t="str">
        <f>'Data shares'!C29</f>
        <v>BDL</v>
      </c>
      <c r="B33" s="144">
        <f>VLOOKUP($A33,'Data shares'!$C:$FA,7)</f>
        <v>1481.5</v>
      </c>
      <c r="C33" s="144">
        <f>VLOOKUP($A33,'Data shares'!$C:$FA,3)</f>
        <v>1487.2</v>
      </c>
      <c r="D33" s="144">
        <f>VLOOKUP($A33,'Data shares'!$C:$FA,23)</f>
        <v>5.7</v>
      </c>
      <c r="E33" s="145">
        <f>VLOOKUP($A33,'Data shares'!$C:$FA,26)*100</f>
        <v>0.38</v>
      </c>
      <c r="F33" s="144">
        <f>VLOOKUP($A33,'Data shares'!$C:$FA,24)</f>
        <v>8.3000000000000007</v>
      </c>
      <c r="G33" s="144">
        <f>VLOOKUP($A33,'Data shares'!$C:$FA,25)</f>
        <v>-2.6</v>
      </c>
    </row>
    <row r="34" spans="1:7" x14ac:dyDescent="0.25">
      <c r="A34" s="101" t="str">
        <f>'Data shares'!C30</f>
        <v>BEL</v>
      </c>
      <c r="B34" s="144">
        <f>VLOOKUP($A34,'Data shares'!$C:$FA,7)</f>
        <v>397.7</v>
      </c>
      <c r="C34" s="144">
        <f>VLOOKUP($A34,'Data shares'!$C:$FA,3)</f>
        <v>400.3</v>
      </c>
      <c r="D34" s="144">
        <f>VLOOKUP($A34,'Data shares'!$C:$FA,23)</f>
        <v>2.6</v>
      </c>
      <c r="E34" s="145">
        <f>VLOOKUP($A34,'Data shares'!$C:$FA,26)*100</f>
        <v>0.65</v>
      </c>
      <c r="F34" s="144">
        <f>VLOOKUP($A34,'Data shares'!$C:$FA,24)</f>
        <v>2.6</v>
      </c>
      <c r="G34" s="144">
        <f>VLOOKUP($A34,'Data shares'!$C:$FA,25)</f>
        <v>0</v>
      </c>
    </row>
    <row r="35" spans="1:7" x14ac:dyDescent="0.25">
      <c r="A35" s="101" t="str">
        <f>'Data shares'!C31</f>
        <v>BHARATFORG</v>
      </c>
      <c r="B35" s="144">
        <f>VLOOKUP($A35,'Data shares'!$C:$FA,7)</f>
        <v>1464.4</v>
      </c>
      <c r="C35" s="144">
        <f>VLOOKUP($A35,'Data shares'!$C:$FA,3)</f>
        <v>1473.8</v>
      </c>
      <c r="D35" s="144">
        <f>VLOOKUP($A35,'Data shares'!$C:$FA,23)</f>
        <v>9.4</v>
      </c>
      <c r="E35" s="145">
        <f>VLOOKUP($A35,'Data shares'!$C:$FA,26)*100</f>
        <v>0.64</v>
      </c>
      <c r="F35" s="144">
        <f>VLOOKUP($A35,'Data shares'!$C:$FA,24)</f>
        <v>6.4</v>
      </c>
      <c r="G35" s="144">
        <f>VLOOKUP($A35,'Data shares'!$C:$FA,25)</f>
        <v>3</v>
      </c>
    </row>
    <row r="36" spans="1:7" x14ac:dyDescent="0.25">
      <c r="A36" s="101" t="str">
        <f>'Data shares'!C32</f>
        <v>BHARTIARTL</v>
      </c>
      <c r="B36" s="144">
        <f>VLOOKUP($A36,'Data shares'!$C:$FA,7)</f>
        <v>2110.4</v>
      </c>
      <c r="C36" s="144">
        <f>VLOOKUP($A36,'Data shares'!$C:$FA,3)</f>
        <v>2123.6</v>
      </c>
      <c r="D36" s="144">
        <f>VLOOKUP($A36,'Data shares'!$C:$FA,23)</f>
        <v>13.2</v>
      </c>
      <c r="E36" s="145">
        <f>VLOOKUP($A36,'Data shares'!$C:$FA,26)*100</f>
        <v>0.63</v>
      </c>
      <c r="F36" s="144">
        <f>VLOOKUP($A36,'Data shares'!$C:$FA,24)</f>
        <v>13.3</v>
      </c>
      <c r="G36" s="144">
        <f>VLOOKUP($A36,'Data shares'!$C:$FA,25)</f>
        <v>-0.1</v>
      </c>
    </row>
    <row r="37" spans="1:7" x14ac:dyDescent="0.25">
      <c r="A37" s="101" t="str">
        <f>'Data shares'!C33</f>
        <v>BHEL</v>
      </c>
      <c r="B37" s="144">
        <f>VLOOKUP($A37,'Data shares'!$C:$FA,7)</f>
        <v>291.45</v>
      </c>
      <c r="C37" s="144">
        <f>VLOOKUP($A37,'Data shares'!$C:$FA,3)</f>
        <v>293.39999999999998</v>
      </c>
      <c r="D37" s="144">
        <f>VLOOKUP($A37,'Data shares'!$C:$FA,23)</f>
        <v>1.95</v>
      </c>
      <c r="E37" s="145">
        <f>VLOOKUP($A37,'Data shares'!$C:$FA,26)*100</f>
        <v>0.67</v>
      </c>
      <c r="F37" s="144">
        <f>VLOOKUP($A37,'Data shares'!$C:$FA,24)</f>
        <v>1.75</v>
      </c>
      <c r="G37" s="144">
        <f>VLOOKUP($A37,'Data shares'!$C:$FA,25)</f>
        <v>0.2</v>
      </c>
    </row>
    <row r="38" spans="1:7" x14ac:dyDescent="0.25">
      <c r="A38" s="101" t="str">
        <f>'Data shares'!C34</f>
        <v>BIOCON</v>
      </c>
      <c r="B38" s="144">
        <f>VLOOKUP($A38,'Data shares'!$C:$FA,7)</f>
        <v>387.75</v>
      </c>
      <c r="C38" s="144">
        <f>VLOOKUP($A38,'Data shares'!$C:$FA,3)</f>
        <v>390.35</v>
      </c>
      <c r="D38" s="144">
        <f>VLOOKUP($A38,'Data shares'!$C:$FA,23)</f>
        <v>2.6</v>
      </c>
      <c r="E38" s="145">
        <f>VLOOKUP($A38,'Data shares'!$C:$FA,26)*100</f>
        <v>0.67</v>
      </c>
      <c r="F38" s="144">
        <f>VLOOKUP($A38,'Data shares'!$C:$FA,24)</f>
        <v>2</v>
      </c>
      <c r="G38" s="144">
        <f>VLOOKUP($A38,'Data shares'!$C:$FA,25)</f>
        <v>0.6</v>
      </c>
    </row>
    <row r="39" spans="1:7" x14ac:dyDescent="0.25">
      <c r="A39" s="101" t="str">
        <f>'Data shares'!C35</f>
        <v>BLUESTARCO</v>
      </c>
      <c r="B39" s="144">
        <f>VLOOKUP($A39,'Data shares'!$C:$FA,7)</f>
        <v>1772.2</v>
      </c>
      <c r="C39" s="144">
        <f>VLOOKUP($A39,'Data shares'!$C:$FA,3)</f>
        <v>1779.7</v>
      </c>
      <c r="D39" s="144">
        <f>VLOOKUP($A39,'Data shares'!$C:$FA,23)</f>
        <v>7.5</v>
      </c>
      <c r="E39" s="145">
        <f>VLOOKUP($A39,'Data shares'!$C:$FA,26)*100</f>
        <v>0.42</v>
      </c>
      <c r="F39" s="144">
        <f>VLOOKUP($A39,'Data shares'!$C:$FA,24)</f>
        <v>9.1</v>
      </c>
      <c r="G39" s="144">
        <f>VLOOKUP($A39,'Data shares'!$C:$FA,25)</f>
        <v>-1.6</v>
      </c>
    </row>
    <row r="40" spans="1:7" x14ac:dyDescent="0.25">
      <c r="A40" s="101" t="str">
        <f>'Data shares'!C36</f>
        <v>BOSCHLTD</v>
      </c>
      <c r="B40" s="144">
        <f>VLOOKUP($A40,'Data shares'!$C:$FA,7)</f>
        <v>36140</v>
      </c>
      <c r="C40" s="144">
        <f>VLOOKUP($A40,'Data shares'!$C:$FA,3)</f>
        <v>36325</v>
      </c>
      <c r="D40" s="144">
        <f>VLOOKUP($A40,'Data shares'!$C:$FA,23)</f>
        <v>185</v>
      </c>
      <c r="E40" s="145">
        <f>VLOOKUP($A40,'Data shares'!$C:$FA,26)*100</f>
        <v>0.51</v>
      </c>
      <c r="F40" s="144">
        <f>VLOOKUP($A40,'Data shares'!$C:$FA,24)</f>
        <v>170</v>
      </c>
      <c r="G40" s="144">
        <f>VLOOKUP($A40,'Data shares'!$C:$FA,25)</f>
        <v>15</v>
      </c>
    </row>
    <row r="41" spans="1:7" x14ac:dyDescent="0.25">
      <c r="A41" s="101" t="str">
        <f>'Data shares'!C37</f>
        <v>BPCL</v>
      </c>
      <c r="B41" s="144">
        <f>VLOOKUP($A41,'Data shares'!$C:$FA,7)</f>
        <v>381.5</v>
      </c>
      <c r="C41" s="144">
        <f>VLOOKUP($A41,'Data shares'!$C:$FA,3)</f>
        <v>383.6</v>
      </c>
      <c r="D41" s="144">
        <f>VLOOKUP($A41,'Data shares'!$C:$FA,23)</f>
        <v>2.1</v>
      </c>
      <c r="E41" s="145">
        <f>VLOOKUP($A41,'Data shares'!$C:$FA,26)*100</f>
        <v>0.54999999999999993</v>
      </c>
      <c r="F41" s="144">
        <f>VLOOKUP($A41,'Data shares'!$C:$FA,24)</f>
        <v>2.35</v>
      </c>
      <c r="G41" s="144">
        <f>VLOOKUP($A41,'Data shares'!$C:$FA,25)</f>
        <v>-0.25</v>
      </c>
    </row>
    <row r="42" spans="1:7" x14ac:dyDescent="0.25">
      <c r="A42" s="101" t="str">
        <f>'Data shares'!C38</f>
        <v>BRITANNIA</v>
      </c>
      <c r="B42" s="144">
        <f>VLOOKUP($A42,'Data shares'!$C:$FA,7)</f>
        <v>6009.5</v>
      </c>
      <c r="C42" s="144">
        <f>VLOOKUP($A42,'Data shares'!$C:$FA,3)</f>
        <v>6050</v>
      </c>
      <c r="D42" s="144">
        <f>VLOOKUP($A42,'Data shares'!$C:$FA,23)</f>
        <v>40.5</v>
      </c>
      <c r="E42" s="145">
        <f>VLOOKUP($A42,'Data shares'!$C:$FA,26)*100</f>
        <v>0.67</v>
      </c>
      <c r="F42" s="144">
        <f>VLOOKUP($A42,'Data shares'!$C:$FA,24)</f>
        <v>39</v>
      </c>
      <c r="G42" s="144">
        <f>VLOOKUP($A42,'Data shares'!$C:$FA,25)</f>
        <v>1.5</v>
      </c>
    </row>
    <row r="43" spans="1:7" x14ac:dyDescent="0.25">
      <c r="A43" s="101" t="str">
        <f>'Data shares'!C39</f>
        <v>BSE</v>
      </c>
      <c r="B43" s="144">
        <f>VLOOKUP($A43,'Data shares'!$C:$FA,7)</f>
        <v>2628</v>
      </c>
      <c r="C43" s="144">
        <f>VLOOKUP($A43,'Data shares'!$C:$FA,3)</f>
        <v>2644.6</v>
      </c>
      <c r="D43" s="144">
        <f>VLOOKUP($A43,'Data shares'!$C:$FA,23)</f>
        <v>16.600000000000001</v>
      </c>
      <c r="E43" s="145">
        <f>VLOOKUP($A43,'Data shares'!$C:$FA,26)*100</f>
        <v>0.63</v>
      </c>
      <c r="F43" s="144">
        <f>VLOOKUP($A43,'Data shares'!$C:$FA,24)</f>
        <v>17</v>
      </c>
      <c r="G43" s="144">
        <f>VLOOKUP($A43,'Data shares'!$C:$FA,25)</f>
        <v>-0.4</v>
      </c>
    </row>
    <row r="44" spans="1:7" x14ac:dyDescent="0.25">
      <c r="A44" s="101" t="str">
        <f>'Data shares'!C40</f>
        <v>CAMS</v>
      </c>
      <c r="B44" s="144">
        <f>VLOOKUP($A44,'Data shares'!$C:$FA,7)</f>
        <v>735.1</v>
      </c>
      <c r="C44" s="144">
        <f>VLOOKUP($A44,'Data shares'!$C:$FA,3)</f>
        <v>739.95</v>
      </c>
      <c r="D44" s="144">
        <f>VLOOKUP($A44,'Data shares'!$C:$FA,23)</f>
        <v>4.8499999999999996</v>
      </c>
      <c r="E44" s="145">
        <f>VLOOKUP($A44,'Data shares'!$C:$FA,26)*100</f>
        <v>0.66</v>
      </c>
      <c r="F44" s="144">
        <f>VLOOKUP($A44,'Data shares'!$C:$FA,24)</f>
        <v>4.5</v>
      </c>
      <c r="G44" s="144">
        <f>VLOOKUP($A44,'Data shares'!$C:$FA,25)</f>
        <v>0.35</v>
      </c>
    </row>
    <row r="45" spans="1:7" x14ac:dyDescent="0.25">
      <c r="A45" s="101" t="str">
        <f>'Data shares'!C41</f>
        <v>CANBK</v>
      </c>
      <c r="B45" s="144">
        <f>VLOOKUP($A45,'Data shares'!$C:$FA,7)</f>
        <v>154.24</v>
      </c>
      <c r="C45" s="144">
        <f>VLOOKUP($A45,'Data shares'!$C:$FA,3)</f>
        <v>155.03</v>
      </c>
      <c r="D45" s="144">
        <f>VLOOKUP($A45,'Data shares'!$C:$FA,23)</f>
        <v>0.79</v>
      </c>
      <c r="E45" s="145">
        <f>VLOOKUP($A45,'Data shares'!$C:$FA,26)*100</f>
        <v>0.51</v>
      </c>
      <c r="F45" s="144">
        <f>VLOOKUP($A45,'Data shares'!$C:$FA,24)</f>
        <v>0.22</v>
      </c>
      <c r="G45" s="144">
        <f>VLOOKUP($A45,'Data shares'!$C:$FA,25)</f>
        <v>0.56999999999999995</v>
      </c>
    </row>
    <row r="46" spans="1:7" x14ac:dyDescent="0.25">
      <c r="A46" s="101" t="str">
        <f>'Data shares'!C42</f>
        <v>CDSL</v>
      </c>
      <c r="B46" s="144">
        <f>VLOOKUP($A46,'Data shares'!$C:$FA,7)</f>
        <v>1446.2</v>
      </c>
      <c r="C46" s="144">
        <f>VLOOKUP($A46,'Data shares'!$C:$FA,3)</f>
        <v>1455.2</v>
      </c>
      <c r="D46" s="144">
        <f>VLOOKUP($A46,'Data shares'!$C:$FA,23)</f>
        <v>9</v>
      </c>
      <c r="E46" s="145">
        <f>VLOOKUP($A46,'Data shares'!$C:$FA,26)*100</f>
        <v>0.62</v>
      </c>
      <c r="F46" s="144">
        <f>VLOOKUP($A46,'Data shares'!$C:$FA,24)</f>
        <v>9.1</v>
      </c>
      <c r="G46" s="144">
        <f>VLOOKUP($A46,'Data shares'!$C:$FA,25)</f>
        <v>-0.1</v>
      </c>
    </row>
    <row r="47" spans="1:7" x14ac:dyDescent="0.25">
      <c r="A47" s="101" t="str">
        <f>'Data shares'!C43</f>
        <v>CGPOWER</v>
      </c>
      <c r="B47" s="144">
        <f>VLOOKUP($A47,'Data shares'!$C:$FA,7)</f>
        <v>637.9</v>
      </c>
      <c r="C47" s="144">
        <f>VLOOKUP($A47,'Data shares'!$C:$FA,3)</f>
        <v>641.85</v>
      </c>
      <c r="D47" s="144">
        <f>VLOOKUP($A47,'Data shares'!$C:$FA,23)</f>
        <v>3.95</v>
      </c>
      <c r="E47" s="145">
        <f>VLOOKUP($A47,'Data shares'!$C:$FA,26)*100</f>
        <v>0.62</v>
      </c>
      <c r="F47" s="144">
        <f>VLOOKUP($A47,'Data shares'!$C:$FA,24)</f>
        <v>2.4</v>
      </c>
      <c r="G47" s="144">
        <f>VLOOKUP($A47,'Data shares'!$C:$FA,25)</f>
        <v>1.55</v>
      </c>
    </row>
    <row r="48" spans="1:7" x14ac:dyDescent="0.25">
      <c r="A48" s="101" t="str">
        <f>'Data shares'!C44</f>
        <v>CHOLAFIN</v>
      </c>
      <c r="B48" s="144">
        <f>VLOOKUP($A48,'Data shares'!$C:$FA,7)</f>
        <v>1724</v>
      </c>
      <c r="C48" s="144">
        <f>VLOOKUP($A48,'Data shares'!$C:$FA,3)</f>
        <v>1735.1</v>
      </c>
      <c r="D48" s="144">
        <f>VLOOKUP($A48,'Data shares'!$C:$FA,23)</f>
        <v>11.1</v>
      </c>
      <c r="E48" s="145">
        <f>VLOOKUP($A48,'Data shares'!$C:$FA,26)*100</f>
        <v>0.64</v>
      </c>
      <c r="F48" s="144">
        <f>VLOOKUP($A48,'Data shares'!$C:$FA,24)</f>
        <v>10.6</v>
      </c>
      <c r="G48" s="144">
        <f>VLOOKUP($A48,'Data shares'!$C:$FA,25)</f>
        <v>0.5</v>
      </c>
    </row>
    <row r="49" spans="1:7" x14ac:dyDescent="0.25">
      <c r="A49" s="101" t="str">
        <f>'Data shares'!C45</f>
        <v>CIPLA</v>
      </c>
      <c r="B49" s="144">
        <f>VLOOKUP($A49,'Data shares'!$C:$FA,7)</f>
        <v>1500.9</v>
      </c>
      <c r="C49" s="144">
        <f>VLOOKUP($A49,'Data shares'!$C:$FA,3)</f>
        <v>1510.2</v>
      </c>
      <c r="D49" s="144">
        <f>VLOOKUP($A49,'Data shares'!$C:$FA,23)</f>
        <v>9.3000000000000007</v>
      </c>
      <c r="E49" s="145">
        <f>VLOOKUP($A49,'Data shares'!$C:$FA,26)*100</f>
        <v>0.62</v>
      </c>
      <c r="F49" s="144">
        <f>VLOOKUP($A49,'Data shares'!$C:$FA,24)</f>
        <v>5.0999999999999996</v>
      </c>
      <c r="G49" s="144">
        <f>VLOOKUP($A49,'Data shares'!$C:$FA,25)</f>
        <v>4.2</v>
      </c>
    </row>
    <row r="50" spans="1:7" x14ac:dyDescent="0.25">
      <c r="A50" s="101" t="str">
        <f>'Data shares'!C46</f>
        <v>COALINDIA</v>
      </c>
      <c r="B50" s="144">
        <f>VLOOKUP($A50,'Data shares'!$C:$FA,7)</f>
        <v>400.45</v>
      </c>
      <c r="C50" s="144">
        <f>VLOOKUP($A50,'Data shares'!$C:$FA,3)</f>
        <v>402.4</v>
      </c>
      <c r="D50" s="144">
        <f>VLOOKUP($A50,'Data shares'!$C:$FA,23)</f>
        <v>1.95</v>
      </c>
      <c r="E50" s="145">
        <f>VLOOKUP($A50,'Data shares'!$C:$FA,26)*100</f>
        <v>0.49</v>
      </c>
      <c r="F50" s="144">
        <f>VLOOKUP($A50,'Data shares'!$C:$FA,24)</f>
        <v>1.45</v>
      </c>
      <c r="G50" s="144">
        <f>VLOOKUP($A50,'Data shares'!$C:$FA,25)</f>
        <v>0.5</v>
      </c>
    </row>
    <row r="51" spans="1:7" x14ac:dyDescent="0.25">
      <c r="A51" s="101" t="str">
        <f>'Data shares'!C47</f>
        <v>COFORGE</v>
      </c>
      <c r="B51" s="144">
        <f>VLOOKUP($A51,'Data shares'!$C:$FA,7)</f>
        <v>1655.8</v>
      </c>
      <c r="C51" s="144">
        <f>VLOOKUP($A51,'Data shares'!$C:$FA,3)</f>
        <v>1667.2</v>
      </c>
      <c r="D51" s="144">
        <f>VLOOKUP($A51,'Data shares'!$C:$FA,23)</f>
        <v>11.4</v>
      </c>
      <c r="E51" s="145">
        <f>VLOOKUP($A51,'Data shares'!$C:$FA,26)*100</f>
        <v>0.69</v>
      </c>
      <c r="F51" s="144">
        <f>VLOOKUP($A51,'Data shares'!$C:$FA,24)</f>
        <v>6</v>
      </c>
      <c r="G51" s="144">
        <f>VLOOKUP($A51,'Data shares'!$C:$FA,25)</f>
        <v>5.4</v>
      </c>
    </row>
    <row r="52" spans="1:7" x14ac:dyDescent="0.25">
      <c r="A52" s="101" t="str">
        <f>'Data shares'!C48</f>
        <v>COLPAL</v>
      </c>
      <c r="B52" s="144">
        <f>VLOOKUP($A52,'Data shares'!$C:$FA,7)</f>
        <v>2093.8000000000002</v>
      </c>
      <c r="C52" s="144">
        <f>VLOOKUP($A52,'Data shares'!$C:$FA,3)</f>
        <v>2098.6999999999998</v>
      </c>
      <c r="D52" s="144">
        <f>VLOOKUP($A52,'Data shares'!$C:$FA,23)</f>
        <v>4.9000000000000004</v>
      </c>
      <c r="E52" s="145">
        <f>VLOOKUP($A52,'Data shares'!$C:$FA,26)*100</f>
        <v>0.22999999999999998</v>
      </c>
      <c r="F52" s="144">
        <f>VLOOKUP($A52,'Data shares'!$C:$FA,24)</f>
        <v>13.6</v>
      </c>
      <c r="G52" s="144">
        <f>VLOOKUP($A52,'Data shares'!$C:$FA,25)</f>
        <v>-8.6999999999999993</v>
      </c>
    </row>
    <row r="53" spans="1:7" x14ac:dyDescent="0.25">
      <c r="A53" s="101" t="str">
        <f>'Data shares'!C49</f>
        <v>CONCOR</v>
      </c>
      <c r="B53" s="144">
        <f>VLOOKUP($A53,'Data shares'!$C:$FA,7)</f>
        <v>524.25</v>
      </c>
      <c r="C53" s="144">
        <f>VLOOKUP($A53,'Data shares'!$C:$FA,3)</f>
        <v>527</v>
      </c>
      <c r="D53" s="144">
        <f>VLOOKUP($A53,'Data shares'!$C:$FA,23)</f>
        <v>2.75</v>
      </c>
      <c r="E53" s="145">
        <f>VLOOKUP($A53,'Data shares'!$C:$FA,26)*100</f>
        <v>0.52</v>
      </c>
      <c r="F53" s="144">
        <f>VLOOKUP($A53,'Data shares'!$C:$FA,24)</f>
        <v>1.9</v>
      </c>
      <c r="G53" s="144">
        <f>VLOOKUP($A53,'Data shares'!$C:$FA,25)</f>
        <v>0.85</v>
      </c>
    </row>
    <row r="54" spans="1:7" x14ac:dyDescent="0.25">
      <c r="A54" s="101" t="str">
        <f>'Data shares'!C50</f>
        <v>CROMPTON</v>
      </c>
      <c r="B54" s="144">
        <f>VLOOKUP($A54,'Data shares'!$C:$FA,7)</f>
        <v>249.25</v>
      </c>
      <c r="C54" s="144">
        <f>VLOOKUP($A54,'Data shares'!$C:$FA,3)</f>
        <v>250.85</v>
      </c>
      <c r="D54" s="144">
        <f>VLOOKUP($A54,'Data shares'!$C:$FA,23)</f>
        <v>1.6</v>
      </c>
      <c r="E54" s="145">
        <f>VLOOKUP($A54,'Data shares'!$C:$FA,26)*100</f>
        <v>0.64</v>
      </c>
      <c r="F54" s="144">
        <f>VLOOKUP($A54,'Data shares'!$C:$FA,24)</f>
        <v>1.8</v>
      </c>
      <c r="G54" s="144">
        <f>VLOOKUP($A54,'Data shares'!$C:$FA,25)</f>
        <v>-0.2</v>
      </c>
    </row>
    <row r="55" spans="1:7" x14ac:dyDescent="0.25">
      <c r="A55" s="101" t="str">
        <f>'Data shares'!C51</f>
        <v>CUMMINSIND</v>
      </c>
      <c r="B55" s="144">
        <f>VLOOKUP($A55,'Data shares'!$C:$FA,7)</f>
        <v>4470.6000000000004</v>
      </c>
      <c r="C55" s="144">
        <f>VLOOKUP($A55,'Data shares'!$C:$FA,3)</f>
        <v>4495.3</v>
      </c>
      <c r="D55" s="144">
        <f>VLOOKUP($A55,'Data shares'!$C:$FA,23)</f>
        <v>24.7</v>
      </c>
      <c r="E55" s="145">
        <f>VLOOKUP($A55,'Data shares'!$C:$FA,26)*100</f>
        <v>0.54999999999999993</v>
      </c>
      <c r="F55" s="144">
        <f>VLOOKUP($A55,'Data shares'!$C:$FA,24)</f>
        <v>10.199999999999999</v>
      </c>
      <c r="G55" s="144">
        <f>VLOOKUP($A55,'Data shares'!$C:$FA,25)</f>
        <v>14.5</v>
      </c>
    </row>
    <row r="56" spans="1:7" x14ac:dyDescent="0.25">
      <c r="A56" s="101" t="str">
        <f>'Data shares'!C52</f>
        <v>DABUR</v>
      </c>
      <c r="B56" s="144">
        <f>VLOOKUP($A56,'Data shares'!$C:$FA,7)</f>
        <v>499.95</v>
      </c>
      <c r="C56" s="144">
        <f>VLOOKUP($A56,'Data shares'!$C:$FA,3)</f>
        <v>503.3</v>
      </c>
      <c r="D56" s="144">
        <f>VLOOKUP($A56,'Data shares'!$C:$FA,23)</f>
        <v>3.35</v>
      </c>
      <c r="E56" s="145">
        <f>VLOOKUP($A56,'Data shares'!$C:$FA,26)*100</f>
        <v>0.67</v>
      </c>
      <c r="F56" s="144">
        <f>VLOOKUP($A56,'Data shares'!$C:$FA,24)</f>
        <v>3.25</v>
      </c>
      <c r="G56" s="144">
        <f>VLOOKUP($A56,'Data shares'!$C:$FA,25)</f>
        <v>0.1</v>
      </c>
    </row>
    <row r="57" spans="1:7" x14ac:dyDescent="0.25">
      <c r="A57" s="101" t="str">
        <f>'Data shares'!C53</f>
        <v>DALBHARAT</v>
      </c>
      <c r="B57" s="144">
        <f>VLOOKUP($A57,'Data shares'!$C:$FA,7)</f>
        <v>2136.1999999999998</v>
      </c>
      <c r="C57" s="144">
        <f>VLOOKUP($A57,'Data shares'!$C:$FA,3)</f>
        <v>2150.4</v>
      </c>
      <c r="D57" s="144">
        <f>VLOOKUP($A57,'Data shares'!$C:$FA,23)</f>
        <v>14.2</v>
      </c>
      <c r="E57" s="145">
        <f>VLOOKUP($A57,'Data shares'!$C:$FA,26)*100</f>
        <v>0.66</v>
      </c>
      <c r="F57" s="144">
        <f>VLOOKUP($A57,'Data shares'!$C:$FA,24)</f>
        <v>16.2</v>
      </c>
      <c r="G57" s="144">
        <f>VLOOKUP($A57,'Data shares'!$C:$FA,25)</f>
        <v>-2</v>
      </c>
    </row>
    <row r="58" spans="1:7" x14ac:dyDescent="0.25">
      <c r="A58" s="101" t="str">
        <f>'Data shares'!C54</f>
        <v>DELHIVERY</v>
      </c>
      <c r="B58" s="144">
        <f>VLOOKUP($A58,'Data shares'!$C:$FA,7)</f>
        <v>400.6</v>
      </c>
      <c r="C58" s="144">
        <f>VLOOKUP($A58,'Data shares'!$C:$FA,3)</f>
        <v>403.3</v>
      </c>
      <c r="D58" s="144">
        <f>VLOOKUP($A58,'Data shares'!$C:$FA,23)</f>
        <v>2.7</v>
      </c>
      <c r="E58" s="145">
        <f>VLOOKUP($A58,'Data shares'!$C:$FA,26)*100</f>
        <v>0.67</v>
      </c>
      <c r="F58" s="144">
        <f>VLOOKUP($A58,'Data shares'!$C:$FA,24)</f>
        <v>2.2999999999999998</v>
      </c>
      <c r="G58" s="144">
        <f>VLOOKUP($A58,'Data shares'!$C:$FA,25)</f>
        <v>0.4</v>
      </c>
    </row>
    <row r="59" spans="1:7" x14ac:dyDescent="0.25">
      <c r="A59" s="101" t="str">
        <f>'Data shares'!C55</f>
        <v>DIVISLAB</v>
      </c>
      <c r="B59" s="144">
        <f>VLOOKUP($A59,'Data shares'!$C:$FA,7)</f>
        <v>6344</v>
      </c>
      <c r="C59" s="144">
        <f>VLOOKUP($A59,'Data shares'!$C:$FA,3)</f>
        <v>6385</v>
      </c>
      <c r="D59" s="144">
        <f>VLOOKUP($A59,'Data shares'!$C:$FA,23)</f>
        <v>41</v>
      </c>
      <c r="E59" s="145">
        <f>VLOOKUP($A59,'Data shares'!$C:$FA,26)*100</f>
        <v>0.65</v>
      </c>
      <c r="F59" s="144">
        <f>VLOOKUP($A59,'Data shares'!$C:$FA,24)</f>
        <v>35.5</v>
      </c>
      <c r="G59" s="144">
        <f>VLOOKUP($A59,'Data shares'!$C:$FA,25)</f>
        <v>5.5</v>
      </c>
    </row>
    <row r="60" spans="1:7" x14ac:dyDescent="0.25">
      <c r="A60" s="101" t="str">
        <f>'Data shares'!C56</f>
        <v>DIXON</v>
      </c>
      <c r="B60" s="144">
        <f>VLOOKUP($A60,'Data shares'!$C:$FA,7)</f>
        <v>12091</v>
      </c>
      <c r="C60" s="144">
        <f>VLOOKUP($A60,'Data shares'!$C:$FA,3)</f>
        <v>12184</v>
      </c>
      <c r="D60" s="144">
        <f>VLOOKUP($A60,'Data shares'!$C:$FA,23)</f>
        <v>93</v>
      </c>
      <c r="E60" s="145">
        <f>VLOOKUP($A60,'Data shares'!$C:$FA,26)*100</f>
        <v>0.77</v>
      </c>
      <c r="F60" s="144">
        <f>VLOOKUP($A60,'Data shares'!$C:$FA,24)</f>
        <v>48</v>
      </c>
      <c r="G60" s="144">
        <f>VLOOKUP($A60,'Data shares'!$C:$FA,25)</f>
        <v>45</v>
      </c>
    </row>
    <row r="61" spans="1:7" x14ac:dyDescent="0.25">
      <c r="A61" s="101" t="str">
        <f>'Data shares'!C57</f>
        <v>DLF</v>
      </c>
      <c r="B61" s="144">
        <f>VLOOKUP($A61,'Data shares'!$C:$FA,7)</f>
        <v>691.4</v>
      </c>
      <c r="C61" s="144">
        <f>VLOOKUP($A61,'Data shares'!$C:$FA,3)</f>
        <v>695.45</v>
      </c>
      <c r="D61" s="144">
        <f>VLOOKUP($A61,'Data shares'!$C:$FA,23)</f>
        <v>4.05</v>
      </c>
      <c r="E61" s="145">
        <f>VLOOKUP($A61,'Data shares'!$C:$FA,26)*100</f>
        <v>0.59</v>
      </c>
      <c r="F61" s="144">
        <f>VLOOKUP($A61,'Data shares'!$C:$FA,24)</f>
        <v>4.4000000000000004</v>
      </c>
      <c r="G61" s="144">
        <f>VLOOKUP($A61,'Data shares'!$C:$FA,25)</f>
        <v>-0.35</v>
      </c>
    </row>
    <row r="62" spans="1:7" x14ac:dyDescent="0.25">
      <c r="A62" s="101" t="str">
        <f>'Data shares'!C58</f>
        <v>DMART</v>
      </c>
      <c r="B62" s="144">
        <f>VLOOKUP($A62,'Data shares'!$C:$FA,7)</f>
        <v>3716.1</v>
      </c>
      <c r="C62" s="144">
        <f>VLOOKUP($A62,'Data shares'!$C:$FA,3)</f>
        <v>3714.2</v>
      </c>
      <c r="D62" s="144">
        <f>VLOOKUP($A62,'Data shares'!$C:$FA,23)</f>
        <v>-1.9</v>
      </c>
      <c r="E62" s="145">
        <f>VLOOKUP($A62,'Data shares'!$C:$FA,26)*100</f>
        <v>-0.05</v>
      </c>
      <c r="F62" s="144">
        <f>VLOOKUP($A62,'Data shares'!$C:$FA,24)</f>
        <v>14</v>
      </c>
      <c r="G62" s="144">
        <f>VLOOKUP($A62,'Data shares'!$C:$FA,25)</f>
        <v>-15.9</v>
      </c>
    </row>
    <row r="63" spans="1:7" x14ac:dyDescent="0.25">
      <c r="A63" s="101" t="str">
        <f>'Data shares'!C59</f>
        <v>DRREDDY</v>
      </c>
      <c r="B63" s="144">
        <f>VLOOKUP($A63,'Data shares'!$C:$FA,7)</f>
        <v>1253.4000000000001</v>
      </c>
      <c r="C63" s="144">
        <f>VLOOKUP($A63,'Data shares'!$C:$FA,3)</f>
        <v>1254.5999999999999</v>
      </c>
      <c r="D63" s="144">
        <f>VLOOKUP($A63,'Data shares'!$C:$FA,23)</f>
        <v>1.2</v>
      </c>
      <c r="E63" s="145">
        <f>VLOOKUP($A63,'Data shares'!$C:$FA,26)*100</f>
        <v>0.1</v>
      </c>
      <c r="F63" s="144">
        <f>VLOOKUP($A63,'Data shares'!$C:$FA,24)</f>
        <v>2.2999999999999998</v>
      </c>
      <c r="G63" s="144">
        <f>VLOOKUP($A63,'Data shares'!$C:$FA,25)</f>
        <v>-1.1000000000000001</v>
      </c>
    </row>
    <row r="64" spans="1:7" x14ac:dyDescent="0.25">
      <c r="A64" s="101" t="str">
        <f>'Data shares'!C60</f>
        <v>EICHERMOT</v>
      </c>
      <c r="B64" s="144">
        <f>VLOOKUP($A64,'Data shares'!$C:$FA,7)</f>
        <v>7348</v>
      </c>
      <c r="C64" s="144">
        <f>VLOOKUP($A64,'Data shares'!$C:$FA,3)</f>
        <v>7381.5</v>
      </c>
      <c r="D64" s="144">
        <f>VLOOKUP($A64,'Data shares'!$C:$FA,23)</f>
        <v>33.5</v>
      </c>
      <c r="E64" s="145">
        <f>VLOOKUP($A64,'Data shares'!$C:$FA,26)*100</f>
        <v>0.45999999999999996</v>
      </c>
      <c r="F64" s="144">
        <f>VLOOKUP($A64,'Data shares'!$C:$FA,24)</f>
        <v>28.5</v>
      </c>
      <c r="G64" s="144">
        <f>VLOOKUP($A64,'Data shares'!$C:$FA,25)</f>
        <v>5</v>
      </c>
    </row>
    <row r="65" spans="1:7" x14ac:dyDescent="0.25">
      <c r="A65" s="101" t="str">
        <f>'Data shares'!C61</f>
        <v>ETERNAL</v>
      </c>
      <c r="B65" s="144">
        <f>VLOOKUP($A65,'Data shares'!$C:$FA,7)</f>
        <v>283.8</v>
      </c>
      <c r="C65" s="144">
        <f>VLOOKUP($A65,'Data shares'!$C:$FA,3)</f>
        <v>284.89999999999998</v>
      </c>
      <c r="D65" s="144">
        <f>VLOOKUP($A65,'Data shares'!$C:$FA,23)</f>
        <v>1.1000000000000001</v>
      </c>
      <c r="E65" s="145">
        <f>VLOOKUP($A65,'Data shares'!$C:$FA,26)*100</f>
        <v>0.38999999999999996</v>
      </c>
      <c r="F65" s="144">
        <f>VLOOKUP($A65,'Data shares'!$C:$FA,24)</f>
        <v>1.75</v>
      </c>
      <c r="G65" s="144">
        <f>VLOOKUP($A65,'Data shares'!$C:$FA,25)</f>
        <v>-0.65</v>
      </c>
    </row>
    <row r="66" spans="1:7" x14ac:dyDescent="0.25">
      <c r="A66" s="101" t="str">
        <f>'Data shares'!C62</f>
        <v>EXIDEIND</v>
      </c>
      <c r="B66" s="144">
        <f>VLOOKUP($A66,'Data shares'!$C:$FA,7)</f>
        <v>363.25</v>
      </c>
      <c r="C66" s="144">
        <f>VLOOKUP($A66,'Data shares'!$C:$FA,3)</f>
        <v>365.2</v>
      </c>
      <c r="D66" s="144">
        <f>VLOOKUP($A66,'Data shares'!$C:$FA,23)</f>
        <v>1.95</v>
      </c>
      <c r="E66" s="145">
        <f>VLOOKUP($A66,'Data shares'!$C:$FA,26)*100</f>
        <v>0.54</v>
      </c>
      <c r="F66" s="144">
        <f>VLOOKUP($A66,'Data shares'!$C:$FA,24)</f>
        <v>2.4500000000000002</v>
      </c>
      <c r="G66" s="144">
        <f>VLOOKUP($A66,'Data shares'!$C:$FA,25)</f>
        <v>-0.5</v>
      </c>
    </row>
    <row r="67" spans="1:7" x14ac:dyDescent="0.25">
      <c r="A67" s="101" t="str">
        <f>'Data shares'!C63</f>
        <v>FEDERALBNK</v>
      </c>
      <c r="B67" s="144">
        <f>VLOOKUP($A67,'Data shares'!$C:$FA,7)</f>
        <v>266.25</v>
      </c>
      <c r="C67" s="144">
        <f>VLOOKUP($A67,'Data shares'!$C:$FA,3)</f>
        <v>266.85000000000002</v>
      </c>
      <c r="D67" s="144">
        <f>VLOOKUP($A67,'Data shares'!$C:$FA,23)</f>
        <v>0.6</v>
      </c>
      <c r="E67" s="145">
        <f>VLOOKUP($A67,'Data shares'!$C:$FA,26)*100</f>
        <v>0.22999999999999998</v>
      </c>
      <c r="F67" s="144">
        <f>VLOOKUP($A67,'Data shares'!$C:$FA,24)</f>
        <v>0.3</v>
      </c>
      <c r="G67" s="144">
        <f>VLOOKUP($A67,'Data shares'!$C:$FA,25)</f>
        <v>0.3</v>
      </c>
    </row>
    <row r="68" spans="1:7" x14ac:dyDescent="0.25">
      <c r="A68" s="101" t="str">
        <f>'Data shares'!C64</f>
        <v>FINNIFTY</v>
      </c>
      <c r="B68" s="144">
        <f>VLOOKUP($A68,'Data shares'!$C:$FA,7)</f>
        <v>27666.799999999999</v>
      </c>
      <c r="C68" s="144">
        <f>VLOOKUP($A68,'Data shares'!$C:$FA,3)</f>
        <v>27798.3</v>
      </c>
      <c r="D68" s="144">
        <f>VLOOKUP($A68,'Data shares'!$C:$FA,23)</f>
        <v>131.5</v>
      </c>
      <c r="E68" s="145">
        <f>VLOOKUP($A68,'Data shares'!$C:$FA,26)*100</f>
        <v>0.48</v>
      </c>
      <c r="F68" s="144">
        <f>VLOOKUP($A68,'Data shares'!$C:$FA,24)</f>
        <v>150.30000000000001</v>
      </c>
      <c r="G68" s="144">
        <f>VLOOKUP($A68,'Data shares'!$C:$FA,25)</f>
        <v>-18.8</v>
      </c>
    </row>
    <row r="69" spans="1:7" x14ac:dyDescent="0.25">
      <c r="A69" s="101" t="str">
        <f>'Data shares'!C65</f>
        <v>FORTIS</v>
      </c>
      <c r="B69" s="144">
        <f>VLOOKUP($A69,'Data shares'!$C:$FA,7)</f>
        <v>900.55</v>
      </c>
      <c r="C69" s="144">
        <f>VLOOKUP($A69,'Data shares'!$C:$FA,3)</f>
        <v>904.9</v>
      </c>
      <c r="D69" s="144">
        <f>VLOOKUP($A69,'Data shares'!$C:$FA,23)</f>
        <v>4.3499999999999996</v>
      </c>
      <c r="E69" s="145">
        <f>VLOOKUP($A69,'Data shares'!$C:$FA,26)*100</f>
        <v>0.48</v>
      </c>
      <c r="F69" s="144">
        <f>VLOOKUP($A69,'Data shares'!$C:$FA,24)</f>
        <v>5.3</v>
      </c>
      <c r="G69" s="144">
        <f>VLOOKUP($A69,'Data shares'!$C:$FA,25)</f>
        <v>-0.95</v>
      </c>
    </row>
    <row r="70" spans="1:7" x14ac:dyDescent="0.25">
      <c r="A70" s="101" t="str">
        <f>'Data shares'!C66</f>
        <v>GAIL</v>
      </c>
      <c r="B70" s="144">
        <f>VLOOKUP($A70,'Data shares'!$C:$FA,7)</f>
        <v>171.77</v>
      </c>
      <c r="C70" s="144">
        <f>VLOOKUP($A70,'Data shares'!$C:$FA,3)</f>
        <v>172.82</v>
      </c>
      <c r="D70" s="144">
        <f>VLOOKUP($A70,'Data shares'!$C:$FA,23)</f>
        <v>1.05</v>
      </c>
      <c r="E70" s="145">
        <f>VLOOKUP($A70,'Data shares'!$C:$FA,26)*100</f>
        <v>0.61</v>
      </c>
      <c r="F70" s="144">
        <f>VLOOKUP($A70,'Data shares'!$C:$FA,24)</f>
        <v>0.98</v>
      </c>
      <c r="G70" s="144">
        <f>VLOOKUP($A70,'Data shares'!$C:$FA,25)</f>
        <v>7.0000000000000007E-2</v>
      </c>
    </row>
    <row r="71" spans="1:7" x14ac:dyDescent="0.25">
      <c r="A71" s="101" t="str">
        <f>'Data shares'!C67</f>
        <v>GLENMARK</v>
      </c>
      <c r="B71" s="144">
        <f>VLOOKUP($A71,'Data shares'!$C:$FA,7)</f>
        <v>2026.2</v>
      </c>
      <c r="C71" s="144">
        <f>VLOOKUP($A71,'Data shares'!$C:$FA,3)</f>
        <v>2034</v>
      </c>
      <c r="D71" s="144">
        <f>VLOOKUP($A71,'Data shares'!$C:$FA,23)</f>
        <v>7.8</v>
      </c>
      <c r="E71" s="145">
        <f>VLOOKUP($A71,'Data shares'!$C:$FA,26)*100</f>
        <v>0.38</v>
      </c>
      <c r="F71" s="144">
        <f>VLOOKUP($A71,'Data shares'!$C:$FA,24)</f>
        <v>7.6</v>
      </c>
      <c r="G71" s="144">
        <f>VLOOKUP($A71,'Data shares'!$C:$FA,25)</f>
        <v>0.2</v>
      </c>
    </row>
    <row r="72" spans="1:7" x14ac:dyDescent="0.25">
      <c r="A72" s="101" t="str">
        <f>'Data shares'!C68</f>
        <v>GMRAIRPORT</v>
      </c>
      <c r="B72" s="144">
        <f>VLOOKUP($A72,'Data shares'!$C:$FA,7)</f>
        <v>105.5</v>
      </c>
      <c r="C72" s="144">
        <f>VLOOKUP($A72,'Data shares'!$C:$FA,3)</f>
        <v>106.2</v>
      </c>
      <c r="D72" s="144">
        <f>VLOOKUP($A72,'Data shares'!$C:$FA,23)</f>
        <v>0.7</v>
      </c>
      <c r="E72" s="145">
        <f>VLOOKUP($A72,'Data shares'!$C:$FA,26)*100</f>
        <v>0.66</v>
      </c>
      <c r="F72" s="144">
        <f>VLOOKUP($A72,'Data shares'!$C:$FA,24)</f>
        <v>0.46</v>
      </c>
      <c r="G72" s="144">
        <f>VLOOKUP($A72,'Data shares'!$C:$FA,25)</f>
        <v>0.24</v>
      </c>
    </row>
    <row r="73" spans="1:7" x14ac:dyDescent="0.25">
      <c r="A73" s="101" t="str">
        <f>'Data shares'!C69</f>
        <v>GODREJCP</v>
      </c>
      <c r="B73" s="144">
        <f>VLOOKUP($A73,'Data shares'!$C:$FA,7)</f>
        <v>1243.4000000000001</v>
      </c>
      <c r="C73" s="144">
        <f>VLOOKUP($A73,'Data shares'!$C:$FA,3)</f>
        <v>1247.7</v>
      </c>
      <c r="D73" s="144">
        <f>VLOOKUP($A73,'Data shares'!$C:$FA,23)</f>
        <v>4.3</v>
      </c>
      <c r="E73" s="145">
        <f>VLOOKUP($A73,'Data shares'!$C:$FA,26)*100</f>
        <v>0.35000000000000003</v>
      </c>
      <c r="F73" s="144">
        <f>VLOOKUP($A73,'Data shares'!$C:$FA,24)</f>
        <v>4.5999999999999996</v>
      </c>
      <c r="G73" s="144">
        <f>VLOOKUP($A73,'Data shares'!$C:$FA,25)</f>
        <v>-0.3</v>
      </c>
    </row>
    <row r="74" spans="1:7" x14ac:dyDescent="0.25">
      <c r="A74" s="101" t="str">
        <f>'Data shares'!C70</f>
        <v>GODREJPROP</v>
      </c>
      <c r="B74" s="144">
        <f>VLOOKUP($A74,'Data shares'!$C:$FA,7)</f>
        <v>2015.3</v>
      </c>
      <c r="C74" s="144">
        <f>VLOOKUP($A74,'Data shares'!$C:$FA,3)</f>
        <v>2029.2</v>
      </c>
      <c r="D74" s="144">
        <f>VLOOKUP($A74,'Data shares'!$C:$FA,23)</f>
        <v>13.9</v>
      </c>
      <c r="E74" s="145">
        <f>VLOOKUP($A74,'Data shares'!$C:$FA,26)*100</f>
        <v>0.69</v>
      </c>
      <c r="F74" s="144">
        <f>VLOOKUP($A74,'Data shares'!$C:$FA,24)</f>
        <v>13</v>
      </c>
      <c r="G74" s="144">
        <f>VLOOKUP($A74,'Data shares'!$C:$FA,25)</f>
        <v>0.9</v>
      </c>
    </row>
    <row r="75" spans="1:7" x14ac:dyDescent="0.25">
      <c r="A75" s="101" t="str">
        <f>'Data shares'!C71</f>
        <v>GRASIM</v>
      </c>
      <c r="B75" s="144">
        <f>VLOOKUP($A75,'Data shares'!$C:$FA,7)</f>
        <v>2851.7</v>
      </c>
      <c r="C75" s="144">
        <f>VLOOKUP($A75,'Data shares'!$C:$FA,3)</f>
        <v>2871</v>
      </c>
      <c r="D75" s="144">
        <f>VLOOKUP($A75,'Data shares'!$C:$FA,23)</f>
        <v>19.3</v>
      </c>
      <c r="E75" s="145">
        <f>VLOOKUP($A75,'Data shares'!$C:$FA,26)*100</f>
        <v>0.67999999999999994</v>
      </c>
      <c r="F75" s="144">
        <f>VLOOKUP($A75,'Data shares'!$C:$FA,24)</f>
        <v>14.1</v>
      </c>
      <c r="G75" s="144">
        <f>VLOOKUP($A75,'Data shares'!$C:$FA,25)</f>
        <v>5.2</v>
      </c>
    </row>
    <row r="76" spans="1:7" x14ac:dyDescent="0.25">
      <c r="A76" s="101" t="str">
        <f>'Data shares'!C72</f>
        <v>HAL</v>
      </c>
      <c r="B76" s="144">
        <f>VLOOKUP($A76,'Data shares'!$C:$FA,7)</f>
        <v>4397.8999999999996</v>
      </c>
      <c r="C76" s="144">
        <f>VLOOKUP($A76,'Data shares'!$C:$FA,3)</f>
        <v>4417.5</v>
      </c>
      <c r="D76" s="144">
        <f>VLOOKUP($A76,'Data shares'!$C:$FA,23)</f>
        <v>19.600000000000001</v>
      </c>
      <c r="E76" s="145">
        <f>VLOOKUP($A76,'Data shares'!$C:$FA,26)*100</f>
        <v>0.44999999999999996</v>
      </c>
      <c r="F76" s="144">
        <f>VLOOKUP($A76,'Data shares'!$C:$FA,24)</f>
        <v>23</v>
      </c>
      <c r="G76" s="144">
        <f>VLOOKUP($A76,'Data shares'!$C:$FA,25)</f>
        <v>-3.4</v>
      </c>
    </row>
    <row r="77" spans="1:7" x14ac:dyDescent="0.25">
      <c r="A77" s="101" t="str">
        <f>'Data shares'!C73</f>
        <v>HAVELLS</v>
      </c>
      <c r="B77" s="144">
        <f>VLOOKUP($A77,'Data shares'!$C:$FA,7)</f>
        <v>1417.5</v>
      </c>
      <c r="C77" s="144">
        <f>VLOOKUP($A77,'Data shares'!$C:$FA,3)</f>
        <v>1424.8</v>
      </c>
      <c r="D77" s="144">
        <f>VLOOKUP($A77,'Data shares'!$C:$FA,23)</f>
        <v>7.3</v>
      </c>
      <c r="E77" s="145">
        <f>VLOOKUP($A77,'Data shares'!$C:$FA,26)*100</f>
        <v>0.51</v>
      </c>
      <c r="F77" s="144">
        <f>VLOOKUP($A77,'Data shares'!$C:$FA,24)</f>
        <v>7.6</v>
      </c>
      <c r="G77" s="144">
        <f>VLOOKUP($A77,'Data shares'!$C:$FA,25)</f>
        <v>-0.3</v>
      </c>
    </row>
    <row r="78" spans="1:7" x14ac:dyDescent="0.25">
      <c r="A78" s="101" t="str">
        <f>'Data shares'!C74</f>
        <v>HCLTECH</v>
      </c>
      <c r="B78" s="144">
        <f>VLOOKUP($A78,'Data shares'!$C:$FA,7)</f>
        <v>1634.5</v>
      </c>
      <c r="C78" s="144">
        <f>VLOOKUP($A78,'Data shares'!$C:$FA,3)</f>
        <v>1628.5</v>
      </c>
      <c r="D78" s="144">
        <f>VLOOKUP($A78,'Data shares'!$C:$FA,23)</f>
        <v>-6</v>
      </c>
      <c r="E78" s="145">
        <f>VLOOKUP($A78,'Data shares'!$C:$FA,26)*100</f>
        <v>-0.37</v>
      </c>
      <c r="F78" s="144">
        <f>VLOOKUP($A78,'Data shares'!$C:$FA,24)</f>
        <v>-5</v>
      </c>
      <c r="G78" s="144">
        <f>VLOOKUP($A78,'Data shares'!$C:$FA,25)</f>
        <v>-1</v>
      </c>
    </row>
    <row r="79" spans="1:7" x14ac:dyDescent="0.25">
      <c r="A79" s="101" t="str">
        <f>'Data shares'!C75</f>
        <v>HDFCAMC</v>
      </c>
      <c r="B79" s="144">
        <f>VLOOKUP($A79,'Data shares'!$C:$FA,7)</f>
        <v>2648.2</v>
      </c>
      <c r="C79" s="144">
        <f>VLOOKUP($A79,'Data shares'!$C:$FA,3)</f>
        <v>2663.1</v>
      </c>
      <c r="D79" s="144">
        <f>VLOOKUP($A79,'Data shares'!$C:$FA,23)</f>
        <v>14.9</v>
      </c>
      <c r="E79" s="145">
        <f>VLOOKUP($A79,'Data shares'!$C:$FA,26)*100</f>
        <v>0.55999999999999994</v>
      </c>
      <c r="F79" s="144">
        <f>VLOOKUP($A79,'Data shares'!$C:$FA,24)</f>
        <v>15</v>
      </c>
      <c r="G79" s="144">
        <f>VLOOKUP($A79,'Data shares'!$C:$FA,25)</f>
        <v>-0.1</v>
      </c>
    </row>
    <row r="80" spans="1:7" x14ac:dyDescent="0.25">
      <c r="A80" s="101" t="str">
        <f>'Data shares'!C76</f>
        <v>HDFCBANK</v>
      </c>
      <c r="B80" s="144">
        <f>VLOOKUP($A80,'Data shares'!$C:$FA,7)</f>
        <v>991.15</v>
      </c>
      <c r="C80" s="144">
        <f>VLOOKUP($A80,'Data shares'!$C:$FA,3)</f>
        <v>995.35</v>
      </c>
      <c r="D80" s="144">
        <f>VLOOKUP($A80,'Data shares'!$C:$FA,23)</f>
        <v>4.2</v>
      </c>
      <c r="E80" s="145">
        <f>VLOOKUP($A80,'Data shares'!$C:$FA,26)*100</f>
        <v>0.42</v>
      </c>
      <c r="F80" s="144">
        <f>VLOOKUP($A80,'Data shares'!$C:$FA,24)</f>
        <v>6.2</v>
      </c>
      <c r="G80" s="144">
        <f>VLOOKUP($A80,'Data shares'!$C:$FA,25)</f>
        <v>-2</v>
      </c>
    </row>
    <row r="81" spans="1:7" x14ac:dyDescent="0.25">
      <c r="A81" s="101" t="str">
        <f>'Data shares'!C77</f>
        <v>HDFCLIFE</v>
      </c>
      <c r="B81" s="144">
        <f>VLOOKUP($A81,'Data shares'!$C:$FA,7)</f>
        <v>750.1</v>
      </c>
      <c r="C81" s="144">
        <f>VLOOKUP($A81,'Data shares'!$C:$FA,3)</f>
        <v>753.85</v>
      </c>
      <c r="D81" s="144">
        <f>VLOOKUP($A81,'Data shares'!$C:$FA,23)</f>
        <v>3.75</v>
      </c>
      <c r="E81" s="145">
        <f>VLOOKUP($A81,'Data shares'!$C:$FA,26)*100</f>
        <v>0.5</v>
      </c>
      <c r="F81" s="144">
        <f>VLOOKUP($A81,'Data shares'!$C:$FA,24)</f>
        <v>4.3</v>
      </c>
      <c r="G81" s="144">
        <f>VLOOKUP($A81,'Data shares'!$C:$FA,25)</f>
        <v>-0.55000000000000004</v>
      </c>
    </row>
    <row r="82" spans="1:7" x14ac:dyDescent="0.25">
      <c r="A82" s="101" t="str">
        <f>'Data shares'!C78</f>
        <v>HEROMOTOCO</v>
      </c>
      <c r="B82" s="144">
        <f>VLOOKUP($A82,'Data shares'!$C:$FA,7)</f>
        <v>5841.5</v>
      </c>
      <c r="C82" s="144">
        <f>VLOOKUP($A82,'Data shares'!$C:$FA,3)</f>
        <v>5860.5</v>
      </c>
      <c r="D82" s="144">
        <f>VLOOKUP($A82,'Data shares'!$C:$FA,23)</f>
        <v>19</v>
      </c>
      <c r="E82" s="145">
        <f>VLOOKUP($A82,'Data shares'!$C:$FA,26)*100</f>
        <v>0.33</v>
      </c>
      <c r="F82" s="144">
        <f>VLOOKUP($A82,'Data shares'!$C:$FA,24)</f>
        <v>22</v>
      </c>
      <c r="G82" s="144">
        <f>VLOOKUP($A82,'Data shares'!$C:$FA,25)</f>
        <v>-3</v>
      </c>
    </row>
    <row r="83" spans="1:7" x14ac:dyDescent="0.25">
      <c r="A83" s="101" t="str">
        <f>'Data shares'!C79</f>
        <v>HINDALCO</v>
      </c>
      <c r="B83" s="144">
        <f>VLOOKUP($A83,'Data shares'!$C:$FA,7)</f>
        <v>894.95</v>
      </c>
      <c r="C83" s="144">
        <f>VLOOKUP($A83,'Data shares'!$C:$FA,3)</f>
        <v>898.55</v>
      </c>
      <c r="D83" s="144">
        <f>VLOOKUP($A83,'Data shares'!$C:$FA,23)</f>
        <v>3.6</v>
      </c>
      <c r="E83" s="145">
        <f>VLOOKUP($A83,'Data shares'!$C:$FA,26)*100</f>
        <v>0.4</v>
      </c>
      <c r="F83" s="144">
        <f>VLOOKUP($A83,'Data shares'!$C:$FA,24)</f>
        <v>3.5</v>
      </c>
      <c r="G83" s="144">
        <f>VLOOKUP($A83,'Data shares'!$C:$FA,25)</f>
        <v>0.1</v>
      </c>
    </row>
    <row r="84" spans="1:7" x14ac:dyDescent="0.25">
      <c r="A84" s="101" t="str">
        <f>'Data shares'!C80</f>
        <v>HINDPETRO</v>
      </c>
      <c r="B84" s="144">
        <f>VLOOKUP($A84,'Data shares'!$C:$FA,7)</f>
        <v>498.6</v>
      </c>
      <c r="C84" s="144">
        <f>VLOOKUP($A84,'Data shares'!$C:$FA,3)</f>
        <v>500.45</v>
      </c>
      <c r="D84" s="144">
        <f>VLOOKUP($A84,'Data shares'!$C:$FA,23)</f>
        <v>1.85</v>
      </c>
      <c r="E84" s="145">
        <f>VLOOKUP($A84,'Data shares'!$C:$FA,26)*100</f>
        <v>0.37</v>
      </c>
      <c r="F84" s="144">
        <f>VLOOKUP($A84,'Data shares'!$C:$FA,24)</f>
        <v>2.0499999999999998</v>
      </c>
      <c r="G84" s="144">
        <f>VLOOKUP($A84,'Data shares'!$C:$FA,25)</f>
        <v>-0.2</v>
      </c>
    </row>
    <row r="85" spans="1:7" x14ac:dyDescent="0.25">
      <c r="A85" s="101" t="str">
        <f>'Data shares'!C81</f>
        <v>HINDUNILVR</v>
      </c>
      <c r="B85" s="144">
        <f>VLOOKUP($A85,'Data shares'!$C:$FA,7)</f>
        <v>2323</v>
      </c>
      <c r="C85" s="144">
        <f>VLOOKUP($A85,'Data shares'!$C:$FA,3)</f>
        <v>2331.1999999999998</v>
      </c>
      <c r="D85" s="144">
        <f>VLOOKUP($A85,'Data shares'!$C:$FA,23)</f>
        <v>8.1999999999999993</v>
      </c>
      <c r="E85" s="145">
        <f>VLOOKUP($A85,'Data shares'!$C:$FA,26)*100</f>
        <v>0.35000000000000003</v>
      </c>
      <c r="F85" s="144">
        <f>VLOOKUP($A85,'Data shares'!$C:$FA,24)</f>
        <v>8.5</v>
      </c>
      <c r="G85" s="144">
        <f>VLOOKUP($A85,'Data shares'!$C:$FA,25)</f>
        <v>-0.3</v>
      </c>
    </row>
    <row r="86" spans="1:7" x14ac:dyDescent="0.25">
      <c r="A86" s="101" t="str">
        <f>'Data shares'!C82</f>
        <v>HINDZINC</v>
      </c>
      <c r="B86" s="144">
        <f>VLOOKUP($A86,'Data shares'!$C:$FA,7)</f>
        <v>611.95000000000005</v>
      </c>
      <c r="C86" s="144">
        <f>VLOOKUP($A86,'Data shares'!$C:$FA,3)</f>
        <v>615.35</v>
      </c>
      <c r="D86" s="144">
        <f>VLOOKUP($A86,'Data shares'!$C:$FA,23)</f>
        <v>3.4</v>
      </c>
      <c r="E86" s="145">
        <f>VLOOKUP($A86,'Data shares'!$C:$FA,26)*100</f>
        <v>0.55999999999999994</v>
      </c>
      <c r="F86" s="144">
        <f>VLOOKUP($A86,'Data shares'!$C:$FA,24)</f>
        <v>3.85</v>
      </c>
      <c r="G86" s="144">
        <f>VLOOKUP($A86,'Data shares'!$C:$FA,25)</f>
        <v>-0.45</v>
      </c>
    </row>
    <row r="87" spans="1:7" x14ac:dyDescent="0.25">
      <c r="A87" s="101" t="str">
        <f>'Data shares'!C83</f>
        <v>HUDCO</v>
      </c>
      <c r="B87" s="144">
        <f>VLOOKUP($A87,'Data shares'!$C:$FA,7)</f>
        <v>227.58</v>
      </c>
      <c r="C87" s="144">
        <f>VLOOKUP($A87,'Data shares'!$C:$FA,3)</f>
        <v>229.16</v>
      </c>
      <c r="D87" s="144">
        <f>VLOOKUP($A87,'Data shares'!$C:$FA,23)</f>
        <v>1.58</v>
      </c>
      <c r="E87" s="145">
        <f>VLOOKUP($A87,'Data shares'!$C:$FA,26)*100</f>
        <v>0.69</v>
      </c>
      <c r="F87" s="144">
        <f>VLOOKUP($A87,'Data shares'!$C:$FA,24)</f>
        <v>1.24</v>
      </c>
      <c r="G87" s="144">
        <f>VLOOKUP($A87,'Data shares'!$C:$FA,25)</f>
        <v>0.34</v>
      </c>
    </row>
    <row r="88" spans="1:7" x14ac:dyDescent="0.25">
      <c r="A88" s="101" t="str">
        <f>'Data shares'!C84</f>
        <v>ICICIBANK</v>
      </c>
      <c r="B88" s="144">
        <f>VLOOKUP($A88,'Data shares'!$C:$FA,7)</f>
        <v>1338</v>
      </c>
      <c r="C88" s="144">
        <f>VLOOKUP($A88,'Data shares'!$C:$FA,3)</f>
        <v>1344.7</v>
      </c>
      <c r="D88" s="144">
        <f>VLOOKUP($A88,'Data shares'!$C:$FA,23)</f>
        <v>6.7</v>
      </c>
      <c r="E88" s="145">
        <f>VLOOKUP($A88,'Data shares'!$C:$FA,26)*100</f>
        <v>0.5</v>
      </c>
      <c r="F88" s="144">
        <f>VLOOKUP($A88,'Data shares'!$C:$FA,24)</f>
        <v>7.7</v>
      </c>
      <c r="G88" s="144">
        <f>VLOOKUP($A88,'Data shares'!$C:$FA,25)</f>
        <v>-1</v>
      </c>
    </row>
    <row r="89" spans="1:7" x14ac:dyDescent="0.25">
      <c r="A89" s="101" t="str">
        <f>'Data shares'!C85</f>
        <v>ICICIGI</v>
      </c>
      <c r="B89" s="144">
        <f>VLOOKUP($A89,'Data shares'!$C:$FA,7)</f>
        <v>1956.9</v>
      </c>
      <c r="C89" s="144">
        <f>VLOOKUP($A89,'Data shares'!$C:$FA,3)</f>
        <v>1961.2</v>
      </c>
      <c r="D89" s="144">
        <f>VLOOKUP($A89,'Data shares'!$C:$FA,23)</f>
        <v>4.3</v>
      </c>
      <c r="E89" s="145">
        <f>VLOOKUP($A89,'Data shares'!$C:$FA,26)*100</f>
        <v>0.22</v>
      </c>
      <c r="F89" s="144">
        <f>VLOOKUP($A89,'Data shares'!$C:$FA,24)</f>
        <v>10</v>
      </c>
      <c r="G89" s="144">
        <f>VLOOKUP($A89,'Data shares'!$C:$FA,25)</f>
        <v>-5.7</v>
      </c>
    </row>
    <row r="90" spans="1:7" x14ac:dyDescent="0.25">
      <c r="A90" s="101" t="str">
        <f>'Data shares'!C86</f>
        <v>ICICIPRULI</v>
      </c>
      <c r="B90" s="144">
        <f>VLOOKUP($A90,'Data shares'!$C:$FA,7)</f>
        <v>674.3</v>
      </c>
      <c r="C90" s="144">
        <f>VLOOKUP($A90,'Data shares'!$C:$FA,3)</f>
        <v>678.75</v>
      </c>
      <c r="D90" s="144">
        <f>VLOOKUP($A90,'Data shares'!$C:$FA,23)</f>
        <v>4.45</v>
      </c>
      <c r="E90" s="145">
        <f>VLOOKUP($A90,'Data shares'!$C:$FA,26)*100</f>
        <v>0.66</v>
      </c>
      <c r="F90" s="144">
        <f>VLOOKUP($A90,'Data shares'!$C:$FA,24)</f>
        <v>2.85</v>
      </c>
      <c r="G90" s="144">
        <f>VLOOKUP($A90,'Data shares'!$C:$FA,25)</f>
        <v>1.6</v>
      </c>
    </row>
    <row r="91" spans="1:7" x14ac:dyDescent="0.25">
      <c r="A91" s="101" t="str">
        <f>'Data shares'!C87</f>
        <v>IDEA</v>
      </c>
      <c r="B91" s="144">
        <f>VLOOKUP($A91,'Data shares'!$C:$FA,7)</f>
        <v>11.6</v>
      </c>
      <c r="C91" s="144">
        <f>VLOOKUP($A91,'Data shares'!$C:$FA,3)</f>
        <v>11.71</v>
      </c>
      <c r="D91" s="144">
        <f>VLOOKUP($A91,'Data shares'!$C:$FA,23)</f>
        <v>0.11</v>
      </c>
      <c r="E91" s="145">
        <f>VLOOKUP($A91,'Data shares'!$C:$FA,26)*100</f>
        <v>0.95</v>
      </c>
      <c r="F91" s="144">
        <f>VLOOKUP($A91,'Data shares'!$C:$FA,24)</f>
        <v>7.0000000000000007E-2</v>
      </c>
      <c r="G91" s="144">
        <f>VLOOKUP($A91,'Data shares'!$C:$FA,25)</f>
        <v>0.04</v>
      </c>
    </row>
    <row r="92" spans="1:7" x14ac:dyDescent="0.25">
      <c r="A92" s="101" t="str">
        <f>'Data shares'!C88</f>
        <v>IDFCFIRSTB</v>
      </c>
      <c r="B92" s="144">
        <f>VLOOKUP($A92,'Data shares'!$C:$FA,7)</f>
        <v>85.61</v>
      </c>
      <c r="C92" s="144">
        <f>VLOOKUP($A92,'Data shares'!$C:$FA,3)</f>
        <v>86.15</v>
      </c>
      <c r="D92" s="144">
        <f>VLOOKUP($A92,'Data shares'!$C:$FA,23)</f>
        <v>0.54</v>
      </c>
      <c r="E92" s="145">
        <f>VLOOKUP($A92,'Data shares'!$C:$FA,26)*100</f>
        <v>0.63</v>
      </c>
      <c r="F92" s="144">
        <f>VLOOKUP($A92,'Data shares'!$C:$FA,24)</f>
        <v>0.28999999999999998</v>
      </c>
      <c r="G92" s="144">
        <f>VLOOKUP($A92,'Data shares'!$C:$FA,25)</f>
        <v>0.25</v>
      </c>
    </row>
    <row r="93" spans="1:7" x14ac:dyDescent="0.25">
      <c r="A93" s="101" t="str">
        <f>'Data shares'!C89</f>
        <v>IEX</v>
      </c>
      <c r="B93" s="144">
        <f>VLOOKUP($A93,'Data shares'!$C:$FA,7)</f>
        <v>133.38999999999999</v>
      </c>
      <c r="C93" s="144">
        <f>VLOOKUP($A93,'Data shares'!$C:$FA,3)</f>
        <v>133.53</v>
      </c>
      <c r="D93" s="144">
        <f>VLOOKUP($A93,'Data shares'!$C:$FA,23)</f>
        <v>0.14000000000000001</v>
      </c>
      <c r="E93" s="145">
        <f>VLOOKUP($A93,'Data shares'!$C:$FA,26)*100</f>
        <v>0.1</v>
      </c>
      <c r="F93" s="144">
        <f>VLOOKUP($A93,'Data shares'!$C:$FA,24)</f>
        <v>0.35</v>
      </c>
      <c r="G93" s="144">
        <f>VLOOKUP($A93,'Data shares'!$C:$FA,25)</f>
        <v>-0.21</v>
      </c>
    </row>
    <row r="94" spans="1:7" x14ac:dyDescent="0.25">
      <c r="A94" s="101" t="str">
        <f>'Data shares'!C90</f>
        <v>IIFL</v>
      </c>
      <c r="B94" s="144">
        <f>VLOOKUP($A94,'Data shares'!$C:$FA,7)</f>
        <v>620.45000000000005</v>
      </c>
      <c r="C94" s="144">
        <f>VLOOKUP($A94,'Data shares'!$C:$FA,3)</f>
        <v>621.6</v>
      </c>
      <c r="D94" s="144">
        <f>VLOOKUP($A94,'Data shares'!$C:$FA,23)</f>
        <v>1.1499999999999999</v>
      </c>
      <c r="E94" s="145">
        <f>VLOOKUP($A94,'Data shares'!$C:$FA,26)*100</f>
        <v>0.19</v>
      </c>
      <c r="F94" s="144">
        <f>VLOOKUP($A94,'Data shares'!$C:$FA,24)</f>
        <v>0.85</v>
      </c>
      <c r="G94" s="144">
        <f>VLOOKUP($A94,'Data shares'!$C:$FA,25)</f>
        <v>0.3</v>
      </c>
    </row>
    <row r="95" spans="1:7" x14ac:dyDescent="0.25">
      <c r="A95" s="101" t="str">
        <f>'Data shares'!C91</f>
        <v>INDHOTEL</v>
      </c>
      <c r="B95" s="144">
        <f>VLOOKUP($A95,'Data shares'!$C:$FA,7)</f>
        <v>738.6</v>
      </c>
      <c r="C95" s="144">
        <f>VLOOKUP($A95,'Data shares'!$C:$FA,3)</f>
        <v>742.05</v>
      </c>
      <c r="D95" s="144">
        <f>VLOOKUP($A95,'Data shares'!$C:$FA,23)</f>
        <v>3.45</v>
      </c>
      <c r="E95" s="145">
        <f>VLOOKUP($A95,'Data shares'!$C:$FA,26)*100</f>
        <v>0.47000000000000003</v>
      </c>
      <c r="F95" s="144">
        <f>VLOOKUP($A95,'Data shares'!$C:$FA,24)</f>
        <v>2.5</v>
      </c>
      <c r="G95" s="144">
        <f>VLOOKUP($A95,'Data shares'!$C:$FA,25)</f>
        <v>0.95</v>
      </c>
    </row>
    <row r="96" spans="1:7" x14ac:dyDescent="0.25">
      <c r="A96" s="101" t="str">
        <f>'Data shares'!C92</f>
        <v>INDIANB</v>
      </c>
      <c r="B96" s="144">
        <f>VLOOKUP($A96,'Data shares'!$C:$FA,7)</f>
        <v>832.6</v>
      </c>
      <c r="C96" s="144">
        <f>VLOOKUP($A96,'Data shares'!$C:$FA,3)</f>
        <v>838.2</v>
      </c>
      <c r="D96" s="144">
        <f>VLOOKUP($A96,'Data shares'!$C:$FA,23)</f>
        <v>5.6</v>
      </c>
      <c r="E96" s="145">
        <f>VLOOKUP($A96,'Data shares'!$C:$FA,26)*100</f>
        <v>0.67</v>
      </c>
      <c r="F96" s="144">
        <f>VLOOKUP($A96,'Data shares'!$C:$FA,24)</f>
        <v>2.15</v>
      </c>
      <c r="G96" s="144">
        <f>VLOOKUP($A96,'Data shares'!$C:$FA,25)</f>
        <v>3.45</v>
      </c>
    </row>
    <row r="97" spans="1:7" x14ac:dyDescent="0.25">
      <c r="A97" s="101" t="str">
        <f>'Data shares'!C93</f>
        <v>INDIAVIX</v>
      </c>
      <c r="B97" s="144">
        <f>VLOOKUP($A97,'Data shares'!$C:$FA,7)</f>
        <v>9.19</v>
      </c>
      <c r="C97" s="144">
        <f>VLOOKUP($A97,'Data shares'!$C:$FA,3)</f>
        <v>9.19</v>
      </c>
      <c r="D97" s="144">
        <f>VLOOKUP($A97,'Data shares'!$C:$FA,23)</f>
        <v>0</v>
      </c>
      <c r="E97" s="145">
        <f>VLOOKUP($A97,'Data shares'!$C:$FA,26)*100</f>
        <v>0</v>
      </c>
      <c r="F97" s="144">
        <f>VLOOKUP($A97,'Data shares'!$C:$FA,24)</f>
        <v>0</v>
      </c>
      <c r="G97" s="144">
        <f>VLOOKUP($A97,'Data shares'!$C:$FA,25)</f>
        <v>0</v>
      </c>
    </row>
    <row r="98" spans="1:7" x14ac:dyDescent="0.25">
      <c r="A98" s="101" t="str">
        <f>'Data shares'!C94</f>
        <v>INDIGO</v>
      </c>
      <c r="B98" s="144">
        <f>VLOOKUP($A98,'Data shares'!$C:$FA,7)</f>
        <v>5110.5</v>
      </c>
      <c r="C98" s="144">
        <f>VLOOKUP($A98,'Data shares'!$C:$FA,3)</f>
        <v>5141.5</v>
      </c>
      <c r="D98" s="144">
        <f>VLOOKUP($A98,'Data shares'!$C:$FA,23)</f>
        <v>31</v>
      </c>
      <c r="E98" s="145">
        <f>VLOOKUP($A98,'Data shares'!$C:$FA,26)*100</f>
        <v>0.61</v>
      </c>
      <c r="F98" s="144">
        <f>VLOOKUP($A98,'Data shares'!$C:$FA,24)</f>
        <v>18</v>
      </c>
      <c r="G98" s="144">
        <f>VLOOKUP($A98,'Data shares'!$C:$FA,25)</f>
        <v>13</v>
      </c>
    </row>
    <row r="99" spans="1:7" x14ac:dyDescent="0.25">
      <c r="A99" s="101" t="str">
        <f>'Data shares'!C95</f>
        <v>INDUSINDBK</v>
      </c>
      <c r="B99" s="144">
        <f>VLOOKUP($A99,'Data shares'!$C:$FA,7)</f>
        <v>890.2</v>
      </c>
      <c r="C99" s="144">
        <f>VLOOKUP($A99,'Data shares'!$C:$FA,3)</f>
        <v>893.65</v>
      </c>
      <c r="D99" s="144">
        <f>VLOOKUP($A99,'Data shares'!$C:$FA,23)</f>
        <v>3.45</v>
      </c>
      <c r="E99" s="145">
        <f>VLOOKUP($A99,'Data shares'!$C:$FA,26)*100</f>
        <v>0.38999999999999996</v>
      </c>
      <c r="F99" s="144">
        <f>VLOOKUP($A99,'Data shares'!$C:$FA,24)</f>
        <v>3.25</v>
      </c>
      <c r="G99" s="144">
        <f>VLOOKUP($A99,'Data shares'!$C:$FA,25)</f>
        <v>0.2</v>
      </c>
    </row>
    <row r="100" spans="1:7" x14ac:dyDescent="0.25">
      <c r="A100" s="101" t="str">
        <f>'Data shares'!C96</f>
        <v>INDUSTOWER</v>
      </c>
      <c r="B100" s="144">
        <f>VLOOKUP($A100,'Data shares'!$C:$FA,7)</f>
        <v>435.8</v>
      </c>
      <c r="C100" s="144">
        <f>VLOOKUP($A100,'Data shares'!$C:$FA,3)</f>
        <v>438.8</v>
      </c>
      <c r="D100" s="144">
        <f>VLOOKUP($A100,'Data shares'!$C:$FA,23)</f>
        <v>3</v>
      </c>
      <c r="E100" s="145">
        <f>VLOOKUP($A100,'Data shares'!$C:$FA,26)*100</f>
        <v>0.69</v>
      </c>
      <c r="F100" s="144">
        <f>VLOOKUP($A100,'Data shares'!$C:$FA,24)</f>
        <v>2.4500000000000002</v>
      </c>
      <c r="G100" s="144">
        <f>VLOOKUP($A100,'Data shares'!$C:$FA,25)</f>
        <v>0.55000000000000004</v>
      </c>
    </row>
    <row r="101" spans="1:7" x14ac:dyDescent="0.25">
      <c r="A101" s="101" t="str">
        <f>'Data shares'!C97</f>
        <v>INFY</v>
      </c>
      <c r="B101" s="144">
        <f>VLOOKUP($A101,'Data shares'!$C:$FA,7)</f>
        <v>1629.8</v>
      </c>
      <c r="C101" s="144">
        <f>VLOOKUP($A101,'Data shares'!$C:$FA,3)</f>
        <v>1637.3</v>
      </c>
      <c r="D101" s="144">
        <f>VLOOKUP($A101,'Data shares'!$C:$FA,23)</f>
        <v>7.5</v>
      </c>
      <c r="E101" s="145">
        <f>VLOOKUP($A101,'Data shares'!$C:$FA,26)*100</f>
        <v>0.45999999999999996</v>
      </c>
      <c r="F101" s="144">
        <f>VLOOKUP($A101,'Data shares'!$C:$FA,24)</f>
        <v>9.9</v>
      </c>
      <c r="G101" s="144">
        <f>VLOOKUP($A101,'Data shares'!$C:$FA,25)</f>
        <v>-2.4</v>
      </c>
    </row>
    <row r="102" spans="1:7" x14ac:dyDescent="0.25">
      <c r="A102" s="101" t="str">
        <f>'Data shares'!C98</f>
        <v>INOXWIND</v>
      </c>
      <c r="B102" s="144">
        <f>VLOOKUP($A102,'Data shares'!$C:$FA,7)</f>
        <v>122.85</v>
      </c>
      <c r="C102" s="144">
        <f>VLOOKUP($A102,'Data shares'!$C:$FA,3)</f>
        <v>123.68</v>
      </c>
      <c r="D102" s="144">
        <f>VLOOKUP($A102,'Data shares'!$C:$FA,23)</f>
        <v>0.83</v>
      </c>
      <c r="E102" s="145">
        <f>VLOOKUP($A102,'Data shares'!$C:$FA,26)*100</f>
        <v>0.67999999999999994</v>
      </c>
      <c r="F102" s="144">
        <f>VLOOKUP($A102,'Data shares'!$C:$FA,24)</f>
        <v>0.83</v>
      </c>
      <c r="G102" s="144">
        <f>VLOOKUP($A102,'Data shares'!$C:$FA,25)</f>
        <v>0</v>
      </c>
    </row>
    <row r="103" spans="1:7" x14ac:dyDescent="0.25">
      <c r="A103" s="101" t="str">
        <f>'Data shares'!C99</f>
        <v>IOC</v>
      </c>
      <c r="B103" s="144">
        <f>VLOOKUP($A103,'Data shares'!$C:$FA,7)</f>
        <v>165.88</v>
      </c>
      <c r="C103" s="144">
        <f>VLOOKUP($A103,'Data shares'!$C:$FA,3)</f>
        <v>166.99</v>
      </c>
      <c r="D103" s="144">
        <f>VLOOKUP($A103,'Data shares'!$C:$FA,23)</f>
        <v>1.1100000000000001</v>
      </c>
      <c r="E103" s="145">
        <f>VLOOKUP($A103,'Data shares'!$C:$FA,26)*100</f>
        <v>0.67</v>
      </c>
      <c r="F103" s="144">
        <f>VLOOKUP($A103,'Data shares'!$C:$FA,24)</f>
        <v>1.1200000000000001</v>
      </c>
      <c r="G103" s="144">
        <f>VLOOKUP($A103,'Data shares'!$C:$FA,25)</f>
        <v>-0.01</v>
      </c>
    </row>
    <row r="104" spans="1:7" x14ac:dyDescent="0.25">
      <c r="A104" s="101" t="str">
        <f>'Data shares'!C100</f>
        <v>IRCTC</v>
      </c>
      <c r="B104" s="144">
        <f>VLOOKUP($A104,'Data shares'!$C:$FA,7)</f>
        <v>685.65</v>
      </c>
      <c r="C104" s="144">
        <f>VLOOKUP($A104,'Data shares'!$C:$FA,3)</f>
        <v>688.75</v>
      </c>
      <c r="D104" s="144">
        <f>VLOOKUP($A104,'Data shares'!$C:$FA,23)</f>
        <v>3.1</v>
      </c>
      <c r="E104" s="145">
        <f>VLOOKUP($A104,'Data shares'!$C:$FA,26)*100</f>
        <v>0.44999999999999996</v>
      </c>
      <c r="F104" s="144">
        <f>VLOOKUP($A104,'Data shares'!$C:$FA,24)</f>
        <v>3.85</v>
      </c>
      <c r="G104" s="144">
        <f>VLOOKUP($A104,'Data shares'!$C:$FA,25)</f>
        <v>-0.75</v>
      </c>
    </row>
    <row r="105" spans="1:7" x14ac:dyDescent="0.25">
      <c r="A105" s="101" t="str">
        <f>'Data shares'!C101</f>
        <v>IREDA</v>
      </c>
      <c r="B105" s="144">
        <f>VLOOKUP($A105,'Data shares'!$C:$FA,7)</f>
        <v>139.36000000000001</v>
      </c>
      <c r="C105" s="144">
        <f>VLOOKUP($A105,'Data shares'!$C:$FA,3)</f>
        <v>139.15</v>
      </c>
      <c r="D105" s="144">
        <f>VLOOKUP($A105,'Data shares'!$C:$FA,23)</f>
        <v>-0.21</v>
      </c>
      <c r="E105" s="145">
        <f>VLOOKUP($A105,'Data shares'!$C:$FA,26)*100</f>
        <v>-0.15</v>
      </c>
      <c r="F105" s="144">
        <f>VLOOKUP($A105,'Data shares'!$C:$FA,24)</f>
        <v>0.72</v>
      </c>
      <c r="G105" s="144">
        <f>VLOOKUP($A105,'Data shares'!$C:$FA,25)</f>
        <v>-0.93</v>
      </c>
    </row>
    <row r="106" spans="1:7" x14ac:dyDescent="0.25">
      <c r="A106" s="101" t="str">
        <f>'Data shares'!C102</f>
        <v>IRFC</v>
      </c>
      <c r="B106" s="144">
        <f>VLOOKUP($A106,'Data shares'!$C:$FA,7)</f>
        <v>125.79</v>
      </c>
      <c r="C106" s="144">
        <f>VLOOKUP($A106,'Data shares'!$C:$FA,3)</f>
        <v>126.52</v>
      </c>
      <c r="D106" s="144">
        <f>VLOOKUP($A106,'Data shares'!$C:$FA,23)</f>
        <v>0.73</v>
      </c>
      <c r="E106" s="145">
        <f>VLOOKUP($A106,'Data shares'!$C:$FA,26)*100</f>
        <v>0.57999999999999996</v>
      </c>
      <c r="F106" s="144">
        <f>VLOOKUP($A106,'Data shares'!$C:$FA,24)</f>
        <v>0.23</v>
      </c>
      <c r="G106" s="144">
        <f>VLOOKUP($A106,'Data shares'!$C:$FA,25)</f>
        <v>0.5</v>
      </c>
    </row>
    <row r="107" spans="1:7" x14ac:dyDescent="0.25">
      <c r="A107" s="101" t="str">
        <f>'Data shares'!C103</f>
        <v>ITC</v>
      </c>
      <c r="B107" s="144">
        <f>VLOOKUP($A107,'Data shares'!$C:$FA,7)</f>
        <v>363.85</v>
      </c>
      <c r="C107" s="144">
        <f>VLOOKUP($A107,'Data shares'!$C:$FA,3)</f>
        <v>366.1</v>
      </c>
      <c r="D107" s="144">
        <f>VLOOKUP($A107,'Data shares'!$C:$FA,23)</f>
        <v>2.25</v>
      </c>
      <c r="E107" s="145">
        <f>VLOOKUP($A107,'Data shares'!$C:$FA,26)*100</f>
        <v>0.62</v>
      </c>
      <c r="F107" s="144">
        <f>VLOOKUP($A107,'Data shares'!$C:$FA,24)</f>
        <v>2.4</v>
      </c>
      <c r="G107" s="144">
        <f>VLOOKUP($A107,'Data shares'!$C:$FA,25)</f>
        <v>-0.15</v>
      </c>
    </row>
    <row r="108" spans="1:7" x14ac:dyDescent="0.25">
      <c r="A108" s="101" t="str">
        <f>'Data shares'!C104</f>
        <v>JINDALSTEL</v>
      </c>
      <c r="B108" s="144">
        <f>VLOOKUP($A108,'Data shares'!$C:$FA,7)</f>
        <v>1068.4000000000001</v>
      </c>
      <c r="C108" s="144">
        <f>VLOOKUP($A108,'Data shares'!$C:$FA,3)</f>
        <v>1072.4000000000001</v>
      </c>
      <c r="D108" s="144">
        <f>VLOOKUP($A108,'Data shares'!$C:$FA,23)</f>
        <v>4</v>
      </c>
      <c r="E108" s="145">
        <f>VLOOKUP($A108,'Data shares'!$C:$FA,26)*100</f>
        <v>0.37</v>
      </c>
      <c r="F108" s="144">
        <f>VLOOKUP($A108,'Data shares'!$C:$FA,24)</f>
        <v>3.6</v>
      </c>
      <c r="G108" s="144">
        <f>VLOOKUP($A108,'Data shares'!$C:$FA,25)</f>
        <v>0.4</v>
      </c>
    </row>
    <row r="109" spans="1:7" x14ac:dyDescent="0.25">
      <c r="A109" s="101" t="str">
        <f>'Data shares'!C105</f>
        <v>JIOFIN</v>
      </c>
      <c r="B109" s="144">
        <f>VLOOKUP($A109,'Data shares'!$C:$FA,7)</f>
        <v>295.7</v>
      </c>
      <c r="C109" s="144">
        <f>VLOOKUP($A109,'Data shares'!$C:$FA,3)</f>
        <v>297.7</v>
      </c>
      <c r="D109" s="144">
        <f>VLOOKUP($A109,'Data shares'!$C:$FA,23)</f>
        <v>2</v>
      </c>
      <c r="E109" s="145">
        <f>VLOOKUP($A109,'Data shares'!$C:$FA,26)*100</f>
        <v>0.67999999999999994</v>
      </c>
      <c r="F109" s="144">
        <f>VLOOKUP($A109,'Data shares'!$C:$FA,24)</f>
        <v>1.95</v>
      </c>
      <c r="G109" s="144">
        <f>VLOOKUP($A109,'Data shares'!$C:$FA,25)</f>
        <v>0.05</v>
      </c>
    </row>
    <row r="110" spans="1:7" x14ac:dyDescent="0.25">
      <c r="A110" s="101" t="str">
        <f>'Data shares'!C106</f>
        <v>JSWENERGY</v>
      </c>
      <c r="B110" s="144">
        <f>VLOOKUP($A110,'Data shares'!$C:$FA,7)</f>
        <v>502</v>
      </c>
      <c r="C110" s="144">
        <f>VLOOKUP($A110,'Data shares'!$C:$FA,3)</f>
        <v>505.05</v>
      </c>
      <c r="D110" s="144">
        <f>VLOOKUP($A110,'Data shares'!$C:$FA,23)</f>
        <v>3.05</v>
      </c>
      <c r="E110" s="145">
        <f>VLOOKUP($A110,'Data shares'!$C:$FA,26)*100</f>
        <v>0.61</v>
      </c>
      <c r="F110" s="144">
        <f>VLOOKUP($A110,'Data shares'!$C:$FA,24)</f>
        <v>1.85</v>
      </c>
      <c r="G110" s="144">
        <f>VLOOKUP($A110,'Data shares'!$C:$FA,25)</f>
        <v>1.2</v>
      </c>
    </row>
    <row r="111" spans="1:7" x14ac:dyDescent="0.25">
      <c r="A111" s="101" t="str">
        <f>'Data shares'!C107</f>
        <v>JSWSTEEL</v>
      </c>
      <c r="B111" s="144">
        <f>VLOOKUP($A111,'Data shares'!$C:$FA,7)</f>
        <v>1171.5</v>
      </c>
      <c r="C111" s="144">
        <f>VLOOKUP($A111,'Data shares'!$C:$FA,3)</f>
        <v>1178</v>
      </c>
      <c r="D111" s="144">
        <f>VLOOKUP($A111,'Data shares'!$C:$FA,23)</f>
        <v>6.5</v>
      </c>
      <c r="E111" s="145">
        <f>VLOOKUP($A111,'Data shares'!$C:$FA,26)*100</f>
        <v>0.54999999999999993</v>
      </c>
      <c r="F111" s="144">
        <f>VLOOKUP($A111,'Data shares'!$C:$FA,24)</f>
        <v>7.5</v>
      </c>
      <c r="G111" s="144">
        <f>VLOOKUP($A111,'Data shares'!$C:$FA,25)</f>
        <v>-1</v>
      </c>
    </row>
    <row r="112" spans="1:7" x14ac:dyDescent="0.25">
      <c r="A112" s="101" t="str">
        <f>'Data shares'!C108</f>
        <v>JUBLFOOD</v>
      </c>
      <c r="B112" s="144">
        <f>VLOOKUP($A112,'Data shares'!$C:$FA,7)</f>
        <v>553.15</v>
      </c>
      <c r="C112" s="144">
        <f>VLOOKUP($A112,'Data shares'!$C:$FA,3)</f>
        <v>551.70000000000005</v>
      </c>
      <c r="D112" s="144">
        <f>VLOOKUP($A112,'Data shares'!$C:$FA,23)</f>
        <v>-1.45</v>
      </c>
      <c r="E112" s="145">
        <f>VLOOKUP($A112,'Data shares'!$C:$FA,26)*100</f>
        <v>-0.26</v>
      </c>
      <c r="F112" s="144">
        <f>VLOOKUP($A112,'Data shares'!$C:$FA,24)</f>
        <v>-1.35</v>
      </c>
      <c r="G112" s="144">
        <f>VLOOKUP($A112,'Data shares'!$C:$FA,25)</f>
        <v>-0.1</v>
      </c>
    </row>
    <row r="113" spans="1:7" x14ac:dyDescent="0.25">
      <c r="A113" s="101" t="str">
        <f>'Data shares'!C109</f>
        <v>KALYANKJIL</v>
      </c>
      <c r="B113" s="144">
        <f>VLOOKUP($A113,'Data shares'!$C:$FA,7)</f>
        <v>484.2</v>
      </c>
      <c r="C113" s="144">
        <f>VLOOKUP($A113,'Data shares'!$C:$FA,3)</f>
        <v>487.55</v>
      </c>
      <c r="D113" s="144">
        <f>VLOOKUP($A113,'Data shares'!$C:$FA,23)</f>
        <v>3.35</v>
      </c>
      <c r="E113" s="145">
        <f>VLOOKUP($A113,'Data shares'!$C:$FA,26)*100</f>
        <v>0.69</v>
      </c>
      <c r="F113" s="144">
        <f>VLOOKUP($A113,'Data shares'!$C:$FA,24)</f>
        <v>3.05</v>
      </c>
      <c r="G113" s="144">
        <f>VLOOKUP($A113,'Data shares'!$C:$FA,25)</f>
        <v>0.3</v>
      </c>
    </row>
    <row r="114" spans="1:7" x14ac:dyDescent="0.25">
      <c r="A114" s="101" t="str">
        <f>'Data shares'!C110</f>
        <v>KAYNES</v>
      </c>
      <c r="B114" s="144">
        <f>VLOOKUP($A114,'Data shares'!$C:$FA,7)</f>
        <v>3943.5</v>
      </c>
      <c r="C114" s="144">
        <f>VLOOKUP($A114,'Data shares'!$C:$FA,3)</f>
        <v>3958.4</v>
      </c>
      <c r="D114" s="144">
        <f>VLOOKUP($A114,'Data shares'!$C:$FA,23)</f>
        <v>14.9</v>
      </c>
      <c r="E114" s="145">
        <f>VLOOKUP($A114,'Data shares'!$C:$FA,26)*100</f>
        <v>0.38</v>
      </c>
      <c r="F114" s="144">
        <f>VLOOKUP($A114,'Data shares'!$C:$FA,24)</f>
        <v>23.5</v>
      </c>
      <c r="G114" s="144">
        <f>VLOOKUP($A114,'Data shares'!$C:$FA,25)</f>
        <v>-8.6</v>
      </c>
    </row>
    <row r="115" spans="1:7" x14ac:dyDescent="0.25">
      <c r="A115" s="101" t="str">
        <f>'Data shares'!C111</f>
        <v>KEI</v>
      </c>
      <c r="B115" s="144">
        <f>VLOOKUP($A115,'Data shares'!$C:$FA,7)</f>
        <v>4514.5</v>
      </c>
      <c r="C115" s="144">
        <f>VLOOKUP($A115,'Data shares'!$C:$FA,3)</f>
        <v>4536.3</v>
      </c>
      <c r="D115" s="144">
        <f>VLOOKUP($A115,'Data shares'!$C:$FA,23)</f>
        <v>21.8</v>
      </c>
      <c r="E115" s="145">
        <f>VLOOKUP($A115,'Data shares'!$C:$FA,26)*100</f>
        <v>0.48</v>
      </c>
      <c r="F115" s="144">
        <f>VLOOKUP($A115,'Data shares'!$C:$FA,24)</f>
        <v>25.7</v>
      </c>
      <c r="G115" s="144">
        <f>VLOOKUP($A115,'Data shares'!$C:$FA,25)</f>
        <v>-3.9</v>
      </c>
    </row>
    <row r="116" spans="1:7" x14ac:dyDescent="0.25">
      <c r="A116" s="101" t="str">
        <f>'Data shares'!C112</f>
        <v>KFINTECH</v>
      </c>
      <c r="B116" s="144">
        <f>VLOOKUP($A116,'Data shares'!$C:$FA,7)</f>
        <v>1076.7</v>
      </c>
      <c r="C116" s="144">
        <f>VLOOKUP($A116,'Data shares'!$C:$FA,3)</f>
        <v>1078.5999999999999</v>
      </c>
      <c r="D116" s="144">
        <f>VLOOKUP($A116,'Data shares'!$C:$FA,23)</f>
        <v>1.9</v>
      </c>
      <c r="E116" s="145">
        <f>VLOOKUP($A116,'Data shares'!$C:$FA,26)*100</f>
        <v>0.18</v>
      </c>
      <c r="F116" s="144">
        <f>VLOOKUP($A116,'Data shares'!$C:$FA,24)</f>
        <v>-3.1</v>
      </c>
      <c r="G116" s="144">
        <f>VLOOKUP($A116,'Data shares'!$C:$FA,25)</f>
        <v>5</v>
      </c>
    </row>
    <row r="117" spans="1:7" x14ac:dyDescent="0.25">
      <c r="A117" s="101" t="str">
        <f>'Data shares'!C113</f>
        <v>KOTAKBANK</v>
      </c>
      <c r="B117" s="144">
        <f>VLOOKUP($A117,'Data shares'!$C:$FA,7)</f>
        <v>2217.8000000000002</v>
      </c>
      <c r="C117" s="144">
        <f>VLOOKUP($A117,'Data shares'!$C:$FA,3)</f>
        <v>2226.3000000000002</v>
      </c>
      <c r="D117" s="144">
        <f>VLOOKUP($A117,'Data shares'!$C:$FA,23)</f>
        <v>8.5</v>
      </c>
      <c r="E117" s="145">
        <f>VLOOKUP($A117,'Data shares'!$C:$FA,26)*100</f>
        <v>0.38</v>
      </c>
      <c r="F117" s="144">
        <f>VLOOKUP($A117,'Data shares'!$C:$FA,24)</f>
        <v>8.1</v>
      </c>
      <c r="G117" s="144">
        <f>VLOOKUP($A117,'Data shares'!$C:$FA,25)</f>
        <v>0.4</v>
      </c>
    </row>
    <row r="118" spans="1:7" x14ac:dyDescent="0.25">
      <c r="A118" s="101" t="str">
        <f>'Data shares'!C114</f>
        <v>KPITTECH</v>
      </c>
      <c r="B118" s="144">
        <f>VLOOKUP($A118,'Data shares'!$C:$FA,7)</f>
        <v>1163.2</v>
      </c>
      <c r="C118" s="144">
        <f>VLOOKUP($A118,'Data shares'!$C:$FA,3)</f>
        <v>1165.2</v>
      </c>
      <c r="D118" s="144">
        <f>VLOOKUP($A118,'Data shares'!$C:$FA,23)</f>
        <v>2</v>
      </c>
      <c r="E118" s="145">
        <f>VLOOKUP($A118,'Data shares'!$C:$FA,26)*100</f>
        <v>0.16999999999999998</v>
      </c>
      <c r="F118" s="144">
        <f>VLOOKUP($A118,'Data shares'!$C:$FA,24)</f>
        <v>5</v>
      </c>
      <c r="G118" s="144">
        <f>VLOOKUP($A118,'Data shares'!$C:$FA,25)</f>
        <v>-3</v>
      </c>
    </row>
    <row r="119" spans="1:7" x14ac:dyDescent="0.25">
      <c r="A119" s="101" t="str">
        <f>'Data shares'!C115</f>
        <v>LAURUSLABS</v>
      </c>
      <c r="B119" s="144">
        <f>VLOOKUP($A119,'Data shares'!$C:$FA,7)</f>
        <v>1110.4000000000001</v>
      </c>
      <c r="C119" s="144">
        <f>VLOOKUP($A119,'Data shares'!$C:$FA,3)</f>
        <v>1115.8</v>
      </c>
      <c r="D119" s="144">
        <f>VLOOKUP($A119,'Data shares'!$C:$FA,23)</f>
        <v>5.4</v>
      </c>
      <c r="E119" s="145">
        <f>VLOOKUP($A119,'Data shares'!$C:$FA,26)*100</f>
        <v>0.49</v>
      </c>
      <c r="F119" s="144">
        <f>VLOOKUP($A119,'Data shares'!$C:$FA,24)</f>
        <v>6.9</v>
      </c>
      <c r="G119" s="144">
        <f>VLOOKUP($A119,'Data shares'!$C:$FA,25)</f>
        <v>-1.5</v>
      </c>
    </row>
    <row r="120" spans="1:7" x14ac:dyDescent="0.25">
      <c r="A120" s="101" t="str">
        <f>'Data shares'!C116</f>
        <v>LICHSGFIN</v>
      </c>
      <c r="B120" s="144">
        <f>VLOOKUP($A120,'Data shares'!$C:$FA,7)</f>
        <v>535.85</v>
      </c>
      <c r="C120" s="144">
        <f>VLOOKUP($A120,'Data shares'!$C:$FA,3)</f>
        <v>538.15</v>
      </c>
      <c r="D120" s="144">
        <f>VLOOKUP($A120,'Data shares'!$C:$FA,23)</f>
        <v>2.2999999999999998</v>
      </c>
      <c r="E120" s="145">
        <f>VLOOKUP($A120,'Data shares'!$C:$FA,26)*100</f>
        <v>0.43</v>
      </c>
      <c r="F120" s="144">
        <f>VLOOKUP($A120,'Data shares'!$C:$FA,24)</f>
        <v>2.0499999999999998</v>
      </c>
      <c r="G120" s="144">
        <f>VLOOKUP($A120,'Data shares'!$C:$FA,25)</f>
        <v>0.25</v>
      </c>
    </row>
    <row r="121" spans="1:7" x14ac:dyDescent="0.25">
      <c r="A121" s="101" t="str">
        <f>'Data shares'!C117</f>
        <v>LICI</v>
      </c>
      <c r="B121" s="144">
        <f>VLOOKUP($A121,'Data shares'!$C:$FA,7)</f>
        <v>852.8</v>
      </c>
      <c r="C121" s="144">
        <f>VLOOKUP($A121,'Data shares'!$C:$FA,3)</f>
        <v>858.45</v>
      </c>
      <c r="D121" s="144">
        <f>VLOOKUP($A121,'Data shares'!$C:$FA,23)</f>
        <v>5.65</v>
      </c>
      <c r="E121" s="145">
        <f>VLOOKUP($A121,'Data shares'!$C:$FA,26)*100</f>
        <v>0.66</v>
      </c>
      <c r="F121" s="144">
        <f>VLOOKUP($A121,'Data shares'!$C:$FA,24)</f>
        <v>4</v>
      </c>
      <c r="G121" s="144">
        <f>VLOOKUP($A121,'Data shares'!$C:$FA,25)</f>
        <v>1.65</v>
      </c>
    </row>
    <row r="122" spans="1:7" x14ac:dyDescent="0.25">
      <c r="A122" s="101" t="str">
        <f>'Data shares'!C118</f>
        <v>LODHA</v>
      </c>
      <c r="B122" s="144">
        <f>VLOOKUP($A122,'Data shares'!$C:$FA,7)</f>
        <v>1072.8</v>
      </c>
      <c r="C122" s="144">
        <f>VLOOKUP($A122,'Data shares'!$C:$FA,3)</f>
        <v>1078.4000000000001</v>
      </c>
      <c r="D122" s="144">
        <f>VLOOKUP($A122,'Data shares'!$C:$FA,23)</f>
        <v>5.6</v>
      </c>
      <c r="E122" s="145">
        <f>VLOOKUP($A122,'Data shares'!$C:$FA,26)*100</f>
        <v>0.52</v>
      </c>
      <c r="F122" s="144">
        <f>VLOOKUP($A122,'Data shares'!$C:$FA,24)</f>
        <v>6.7</v>
      </c>
      <c r="G122" s="144">
        <f>VLOOKUP($A122,'Data shares'!$C:$FA,25)</f>
        <v>-1.1000000000000001</v>
      </c>
    </row>
    <row r="123" spans="1:7" x14ac:dyDescent="0.25">
      <c r="A123" s="101" t="str">
        <f>'Data shares'!C119</f>
        <v>LT</v>
      </c>
      <c r="B123" s="144">
        <f>VLOOKUP($A123,'Data shares'!$C:$FA,7)</f>
        <v>4140.3999999999996</v>
      </c>
      <c r="C123" s="144">
        <f>VLOOKUP($A123,'Data shares'!$C:$FA,3)</f>
        <v>4156.8</v>
      </c>
      <c r="D123" s="144">
        <f>VLOOKUP($A123,'Data shares'!$C:$FA,23)</f>
        <v>16.399999999999999</v>
      </c>
      <c r="E123" s="145">
        <f>VLOOKUP($A123,'Data shares'!$C:$FA,26)*100</f>
        <v>0.4</v>
      </c>
      <c r="F123" s="144">
        <f>VLOOKUP($A123,'Data shares'!$C:$FA,24)</f>
        <v>24</v>
      </c>
      <c r="G123" s="144">
        <f>VLOOKUP($A123,'Data shares'!$C:$FA,25)</f>
        <v>-7.6</v>
      </c>
    </row>
    <row r="124" spans="1:7" x14ac:dyDescent="0.25">
      <c r="A124" s="101" t="str">
        <f>'Data shares'!C120</f>
        <v>LTF</v>
      </c>
      <c r="B124" s="144">
        <f>VLOOKUP($A124,'Data shares'!$C:$FA,7)</f>
        <v>317.25</v>
      </c>
      <c r="C124" s="144">
        <f>VLOOKUP($A124,'Data shares'!$C:$FA,3)</f>
        <v>318.75</v>
      </c>
      <c r="D124" s="144">
        <f>VLOOKUP($A124,'Data shares'!$C:$FA,23)</f>
        <v>1.5</v>
      </c>
      <c r="E124" s="145">
        <f>VLOOKUP($A124,'Data shares'!$C:$FA,26)*100</f>
        <v>0.47000000000000003</v>
      </c>
      <c r="F124" s="144">
        <f>VLOOKUP($A124,'Data shares'!$C:$FA,24)</f>
        <v>0.3</v>
      </c>
      <c r="G124" s="144">
        <f>VLOOKUP($A124,'Data shares'!$C:$FA,25)</f>
        <v>1.2</v>
      </c>
    </row>
    <row r="125" spans="1:7" x14ac:dyDescent="0.25">
      <c r="A125" s="101" t="str">
        <f>'Data shares'!C121</f>
        <v>LTIM</v>
      </c>
      <c r="B125" s="144">
        <f>VLOOKUP($A125,'Data shares'!$C:$FA,7)</f>
        <v>6112</v>
      </c>
      <c r="C125" s="144">
        <f>VLOOKUP($A125,'Data shares'!$C:$FA,3)</f>
        <v>6128</v>
      </c>
      <c r="D125" s="144">
        <f>VLOOKUP($A125,'Data shares'!$C:$FA,23)</f>
        <v>16</v>
      </c>
      <c r="E125" s="145">
        <f>VLOOKUP($A125,'Data shares'!$C:$FA,26)*100</f>
        <v>0.26</v>
      </c>
      <c r="F125" s="144">
        <f>VLOOKUP($A125,'Data shares'!$C:$FA,24)</f>
        <v>17.5</v>
      </c>
      <c r="G125" s="144">
        <f>VLOOKUP($A125,'Data shares'!$C:$FA,25)</f>
        <v>-1.5</v>
      </c>
    </row>
    <row r="126" spans="1:7" x14ac:dyDescent="0.25">
      <c r="A126" s="101" t="str">
        <f>'Data shares'!C122</f>
        <v>LUPIN</v>
      </c>
      <c r="B126" s="144">
        <f>VLOOKUP($A126,'Data shares'!$C:$FA,7)</f>
        <v>2102.8000000000002</v>
      </c>
      <c r="C126" s="144">
        <f>VLOOKUP($A126,'Data shares'!$C:$FA,3)</f>
        <v>2112</v>
      </c>
      <c r="D126" s="144">
        <f>VLOOKUP($A126,'Data shares'!$C:$FA,23)</f>
        <v>9.1999999999999993</v>
      </c>
      <c r="E126" s="145">
        <f>VLOOKUP($A126,'Data shares'!$C:$FA,26)*100</f>
        <v>0.44</v>
      </c>
      <c r="F126" s="144">
        <f>VLOOKUP($A126,'Data shares'!$C:$FA,24)</f>
        <v>5.8</v>
      </c>
      <c r="G126" s="144">
        <f>VLOOKUP($A126,'Data shares'!$C:$FA,25)</f>
        <v>3.4</v>
      </c>
    </row>
    <row r="127" spans="1:7" x14ac:dyDescent="0.25">
      <c r="A127" s="101" t="str">
        <f>'Data shares'!C123</f>
        <v>M&amp;M</v>
      </c>
      <c r="B127" s="144">
        <f>VLOOKUP($A127,'Data shares'!$C:$FA,7)</f>
        <v>3761</v>
      </c>
      <c r="C127" s="144">
        <f>VLOOKUP($A127,'Data shares'!$C:$FA,3)</f>
        <v>3783.5</v>
      </c>
      <c r="D127" s="144">
        <f>VLOOKUP($A127,'Data shares'!$C:$FA,23)</f>
        <v>22.5</v>
      </c>
      <c r="E127" s="145">
        <f>VLOOKUP($A127,'Data shares'!$C:$FA,26)*100</f>
        <v>0.6</v>
      </c>
      <c r="F127" s="144">
        <f>VLOOKUP($A127,'Data shares'!$C:$FA,24)</f>
        <v>24.2</v>
      </c>
      <c r="G127" s="144">
        <f>VLOOKUP($A127,'Data shares'!$C:$FA,25)</f>
        <v>-1.7</v>
      </c>
    </row>
    <row r="128" spans="1:7" x14ac:dyDescent="0.25">
      <c r="A128" s="101" t="str">
        <f>'Data shares'!C124</f>
        <v>MANAPPURAM</v>
      </c>
      <c r="B128" s="144">
        <f>VLOOKUP($A128,'Data shares'!$C:$FA,7)</f>
        <v>314.10000000000002</v>
      </c>
      <c r="C128" s="144">
        <f>VLOOKUP($A128,'Data shares'!$C:$FA,3)</f>
        <v>315.64999999999998</v>
      </c>
      <c r="D128" s="144">
        <f>VLOOKUP($A128,'Data shares'!$C:$FA,23)</f>
        <v>1.55</v>
      </c>
      <c r="E128" s="145">
        <f>VLOOKUP($A128,'Data shares'!$C:$FA,26)*100</f>
        <v>0.49</v>
      </c>
      <c r="F128" s="144">
        <f>VLOOKUP($A128,'Data shares'!$C:$FA,24)</f>
        <v>1.75</v>
      </c>
      <c r="G128" s="144">
        <f>VLOOKUP($A128,'Data shares'!$C:$FA,25)</f>
        <v>-0.2</v>
      </c>
    </row>
    <row r="129" spans="1:7" x14ac:dyDescent="0.25">
      <c r="A129" s="101" t="str">
        <f>'Data shares'!C125</f>
        <v>MANKIND</v>
      </c>
      <c r="B129" s="144">
        <f>VLOOKUP($A129,'Data shares'!$C:$FA,7)</f>
        <v>2164.6</v>
      </c>
      <c r="C129" s="144">
        <f>VLOOKUP($A129,'Data shares'!$C:$FA,3)</f>
        <v>2172.9</v>
      </c>
      <c r="D129" s="144">
        <f>VLOOKUP($A129,'Data shares'!$C:$FA,23)</f>
        <v>8.3000000000000007</v>
      </c>
      <c r="E129" s="145">
        <f>VLOOKUP($A129,'Data shares'!$C:$FA,26)*100</f>
        <v>0.38</v>
      </c>
      <c r="F129" s="144">
        <f>VLOOKUP($A129,'Data shares'!$C:$FA,24)</f>
        <v>6.8</v>
      </c>
      <c r="G129" s="144">
        <f>VLOOKUP($A129,'Data shares'!$C:$FA,25)</f>
        <v>1.5</v>
      </c>
    </row>
    <row r="130" spans="1:7" x14ac:dyDescent="0.25">
      <c r="A130" s="101" t="str">
        <f>'Data shares'!C126</f>
        <v>MARICO</v>
      </c>
      <c r="B130" s="144">
        <f>VLOOKUP($A130,'Data shares'!$C:$FA,7)</f>
        <v>760.45</v>
      </c>
      <c r="C130" s="144">
        <f>VLOOKUP($A130,'Data shares'!$C:$FA,3)</f>
        <v>764.2</v>
      </c>
      <c r="D130" s="144">
        <f>VLOOKUP($A130,'Data shares'!$C:$FA,23)</f>
        <v>3.75</v>
      </c>
      <c r="E130" s="145">
        <f>VLOOKUP($A130,'Data shares'!$C:$FA,26)*100</f>
        <v>0.49</v>
      </c>
      <c r="F130" s="144">
        <f>VLOOKUP($A130,'Data shares'!$C:$FA,24)</f>
        <v>2.9</v>
      </c>
      <c r="G130" s="144">
        <f>VLOOKUP($A130,'Data shares'!$C:$FA,25)</f>
        <v>0.85</v>
      </c>
    </row>
    <row r="131" spans="1:7" x14ac:dyDescent="0.25">
      <c r="A131" s="101" t="str">
        <f>'Data shares'!C127</f>
        <v>MARUTI</v>
      </c>
      <c r="B131" s="144">
        <f>VLOOKUP($A131,'Data shares'!$C:$FA,7)</f>
        <v>16708</v>
      </c>
      <c r="C131" s="144">
        <f>VLOOKUP($A131,'Data shares'!$C:$FA,3)</f>
        <v>16792</v>
      </c>
      <c r="D131" s="144">
        <f>VLOOKUP($A131,'Data shares'!$C:$FA,23)</f>
        <v>84</v>
      </c>
      <c r="E131" s="145">
        <f>VLOOKUP($A131,'Data shares'!$C:$FA,26)*100</f>
        <v>0.5</v>
      </c>
      <c r="F131" s="144">
        <f>VLOOKUP($A131,'Data shares'!$C:$FA,24)</f>
        <v>111</v>
      </c>
      <c r="G131" s="144">
        <f>VLOOKUP($A131,'Data shares'!$C:$FA,25)</f>
        <v>-27</v>
      </c>
    </row>
    <row r="132" spans="1:7" x14ac:dyDescent="0.25">
      <c r="A132" s="101" t="str">
        <f>'Data shares'!C128</f>
        <v>MAXHEALTH</v>
      </c>
      <c r="B132" s="144">
        <f>VLOOKUP($A132,'Data shares'!$C:$FA,7)</f>
        <v>1049.4000000000001</v>
      </c>
      <c r="C132" s="144">
        <f>VLOOKUP($A132,'Data shares'!$C:$FA,3)</f>
        <v>1053.8</v>
      </c>
      <c r="D132" s="144">
        <f>VLOOKUP($A132,'Data shares'!$C:$FA,23)</f>
        <v>4.4000000000000004</v>
      </c>
      <c r="E132" s="145">
        <f>VLOOKUP($A132,'Data shares'!$C:$FA,26)*100</f>
        <v>0.42</v>
      </c>
      <c r="F132" s="144">
        <f>VLOOKUP($A132,'Data shares'!$C:$FA,24)</f>
        <v>5.6</v>
      </c>
      <c r="G132" s="144">
        <f>VLOOKUP($A132,'Data shares'!$C:$FA,25)</f>
        <v>-1.2</v>
      </c>
    </row>
    <row r="133" spans="1:7" x14ac:dyDescent="0.25">
      <c r="A133" s="101" t="str">
        <f>'Data shares'!C129</f>
        <v>MAZDOCK</v>
      </c>
      <c r="B133" s="144">
        <f>VLOOKUP($A133,'Data shares'!$C:$FA,7)</f>
        <v>2476.6999999999998</v>
      </c>
      <c r="C133" s="144">
        <f>VLOOKUP($A133,'Data shares'!$C:$FA,3)</f>
        <v>2493.5</v>
      </c>
      <c r="D133" s="144">
        <f>VLOOKUP($A133,'Data shares'!$C:$FA,23)</f>
        <v>16.8</v>
      </c>
      <c r="E133" s="145">
        <f>VLOOKUP($A133,'Data shares'!$C:$FA,26)*100</f>
        <v>0.67999999999999994</v>
      </c>
      <c r="F133" s="144">
        <f>VLOOKUP($A133,'Data shares'!$C:$FA,24)</f>
        <v>14.7</v>
      </c>
      <c r="G133" s="144">
        <f>VLOOKUP($A133,'Data shares'!$C:$FA,25)</f>
        <v>2.1</v>
      </c>
    </row>
    <row r="134" spans="1:7" x14ac:dyDescent="0.25">
      <c r="A134" s="101" t="str">
        <f>'Data shares'!C130</f>
        <v>MCX</v>
      </c>
      <c r="B134" s="144">
        <f>VLOOKUP($A134,'Data shares'!$C:$FA,7)</f>
        <v>10989</v>
      </c>
      <c r="C134" s="144">
        <f>VLOOKUP($A134,'Data shares'!$C:$FA,3)</f>
        <v>11063</v>
      </c>
      <c r="D134" s="144">
        <f>VLOOKUP($A134,'Data shares'!$C:$FA,23)</f>
        <v>74</v>
      </c>
      <c r="E134" s="145">
        <f>VLOOKUP($A134,'Data shares'!$C:$FA,26)*100</f>
        <v>0.67</v>
      </c>
      <c r="F134" s="144">
        <f>VLOOKUP($A134,'Data shares'!$C:$FA,24)</f>
        <v>59</v>
      </c>
      <c r="G134" s="144">
        <f>VLOOKUP($A134,'Data shares'!$C:$FA,25)</f>
        <v>15</v>
      </c>
    </row>
    <row r="135" spans="1:7" x14ac:dyDescent="0.25">
      <c r="A135" s="101" t="str">
        <f>'Data shares'!C131</f>
        <v>MFSL</v>
      </c>
      <c r="B135" s="144">
        <f>VLOOKUP($A135,'Data shares'!$C:$FA,7)</f>
        <v>1674</v>
      </c>
      <c r="C135" s="144">
        <f>VLOOKUP($A135,'Data shares'!$C:$FA,3)</f>
        <v>1682.2</v>
      </c>
      <c r="D135" s="144">
        <f>VLOOKUP($A135,'Data shares'!$C:$FA,23)</f>
        <v>8.1999999999999993</v>
      </c>
      <c r="E135" s="145">
        <f>VLOOKUP($A135,'Data shares'!$C:$FA,26)*100</f>
        <v>0.49</v>
      </c>
      <c r="F135" s="144">
        <f>VLOOKUP($A135,'Data shares'!$C:$FA,24)</f>
        <v>11.3</v>
      </c>
      <c r="G135" s="144">
        <f>VLOOKUP($A135,'Data shares'!$C:$FA,25)</f>
        <v>-3.1</v>
      </c>
    </row>
    <row r="136" spans="1:7" x14ac:dyDescent="0.25">
      <c r="A136" s="101" t="str">
        <f>'Data shares'!C132</f>
        <v>MIDCPNIFTY</v>
      </c>
      <c r="B136" s="144">
        <f>VLOOKUP($A136,'Data shares'!$C:$FA,7)</f>
        <v>13843.6</v>
      </c>
      <c r="C136" s="144">
        <f>VLOOKUP($A136,'Data shares'!$C:$FA,3)</f>
        <v>13899.15</v>
      </c>
      <c r="D136" s="144">
        <f>VLOOKUP($A136,'Data shares'!$C:$FA,23)</f>
        <v>55.55</v>
      </c>
      <c r="E136" s="145">
        <f>VLOOKUP($A136,'Data shares'!$C:$FA,26)*100</f>
        <v>0.4</v>
      </c>
      <c r="F136" s="144">
        <f>VLOOKUP($A136,'Data shares'!$C:$FA,24)</f>
        <v>64.05</v>
      </c>
      <c r="G136" s="144">
        <f>VLOOKUP($A136,'Data shares'!$C:$FA,25)</f>
        <v>-8.5</v>
      </c>
    </row>
    <row r="137" spans="1:7" x14ac:dyDescent="0.25">
      <c r="A137" s="101" t="str">
        <f>'Data shares'!C133</f>
        <v>MOTHERSON</v>
      </c>
      <c r="B137" s="144">
        <f>VLOOKUP($A137,'Data shares'!$C:$FA,7)</f>
        <v>122.52</v>
      </c>
      <c r="C137" s="144">
        <f>VLOOKUP($A137,'Data shares'!$C:$FA,3)</f>
        <v>123.32</v>
      </c>
      <c r="D137" s="144">
        <f>VLOOKUP($A137,'Data shares'!$C:$FA,23)</f>
        <v>0.8</v>
      </c>
      <c r="E137" s="145">
        <f>VLOOKUP($A137,'Data shares'!$C:$FA,26)*100</f>
        <v>0.65</v>
      </c>
      <c r="F137" s="144">
        <f>VLOOKUP($A137,'Data shares'!$C:$FA,24)</f>
        <v>0.64</v>
      </c>
      <c r="G137" s="144">
        <f>VLOOKUP($A137,'Data shares'!$C:$FA,25)</f>
        <v>0.16</v>
      </c>
    </row>
    <row r="138" spans="1:7" x14ac:dyDescent="0.25">
      <c r="A138" s="101" t="str">
        <f>'Data shares'!C134</f>
        <v>MPHASIS</v>
      </c>
      <c r="B138" s="144">
        <f>VLOOKUP($A138,'Data shares'!$C:$FA,7)</f>
        <v>2828.6</v>
      </c>
      <c r="C138" s="144">
        <f>VLOOKUP($A138,'Data shares'!$C:$FA,3)</f>
        <v>2838.6</v>
      </c>
      <c r="D138" s="144">
        <f>VLOOKUP($A138,'Data shares'!$C:$FA,23)</f>
        <v>10</v>
      </c>
      <c r="E138" s="145">
        <f>VLOOKUP($A138,'Data shares'!$C:$FA,26)*100</f>
        <v>0.35000000000000003</v>
      </c>
      <c r="F138" s="144">
        <f>VLOOKUP($A138,'Data shares'!$C:$FA,24)</f>
        <v>11.4</v>
      </c>
      <c r="G138" s="144">
        <f>VLOOKUP($A138,'Data shares'!$C:$FA,25)</f>
        <v>-1.4</v>
      </c>
    </row>
    <row r="139" spans="1:7" x14ac:dyDescent="0.25">
      <c r="A139" s="101" t="str">
        <f>'Data shares'!C135</f>
        <v>MUTHOOTFIN</v>
      </c>
      <c r="B139" s="144">
        <f>VLOOKUP($A139,'Data shares'!$C:$FA,7)</f>
        <v>3839</v>
      </c>
      <c r="C139" s="144">
        <f>VLOOKUP($A139,'Data shares'!$C:$FA,3)</f>
        <v>3857.2</v>
      </c>
      <c r="D139" s="144">
        <f>VLOOKUP($A139,'Data shares'!$C:$FA,23)</f>
        <v>18.2</v>
      </c>
      <c r="E139" s="145">
        <f>VLOOKUP($A139,'Data shares'!$C:$FA,26)*100</f>
        <v>0.47000000000000003</v>
      </c>
      <c r="F139" s="144">
        <f>VLOOKUP($A139,'Data shares'!$C:$FA,24)</f>
        <v>22.7</v>
      </c>
      <c r="G139" s="144">
        <f>VLOOKUP($A139,'Data shares'!$C:$FA,25)</f>
        <v>-4.5</v>
      </c>
    </row>
    <row r="140" spans="1:7" x14ac:dyDescent="0.25">
      <c r="A140" s="101" t="str">
        <f>'Data shares'!C136</f>
        <v>NATIONALUM</v>
      </c>
      <c r="B140" s="144">
        <f>VLOOKUP($A140,'Data shares'!$C:$FA,7)</f>
        <v>314.60000000000002</v>
      </c>
      <c r="C140" s="144">
        <f>VLOOKUP($A140,'Data shares'!$C:$FA,3)</f>
        <v>316.14999999999998</v>
      </c>
      <c r="D140" s="144">
        <f>VLOOKUP($A140,'Data shares'!$C:$FA,23)</f>
        <v>1.55</v>
      </c>
      <c r="E140" s="145">
        <f>VLOOKUP($A140,'Data shares'!$C:$FA,26)*100</f>
        <v>0.49</v>
      </c>
      <c r="F140" s="144">
        <f>VLOOKUP($A140,'Data shares'!$C:$FA,24)</f>
        <v>1.85</v>
      </c>
      <c r="G140" s="144">
        <f>VLOOKUP($A140,'Data shares'!$C:$FA,25)</f>
        <v>-0.3</v>
      </c>
    </row>
    <row r="141" spans="1:7" x14ac:dyDescent="0.25">
      <c r="A141" s="101" t="str">
        <f>'Data shares'!C137</f>
        <v>NAUKRI</v>
      </c>
      <c r="B141" s="144">
        <f>VLOOKUP($A141,'Data shares'!$C:$FA,7)</f>
        <v>1340.9</v>
      </c>
      <c r="C141" s="144">
        <f>VLOOKUP($A141,'Data shares'!$C:$FA,3)</f>
        <v>1347.4</v>
      </c>
      <c r="D141" s="144">
        <f>VLOOKUP($A141,'Data shares'!$C:$FA,23)</f>
        <v>6.5</v>
      </c>
      <c r="E141" s="145">
        <f>VLOOKUP($A141,'Data shares'!$C:$FA,26)*100</f>
        <v>0.48</v>
      </c>
      <c r="F141" s="144">
        <f>VLOOKUP($A141,'Data shares'!$C:$FA,24)</f>
        <v>7.9</v>
      </c>
      <c r="G141" s="144">
        <f>VLOOKUP($A141,'Data shares'!$C:$FA,25)</f>
        <v>-1.4</v>
      </c>
    </row>
    <row r="142" spans="1:7" x14ac:dyDescent="0.25">
      <c r="A142" s="101" t="str">
        <f>'Data shares'!C138</f>
        <v>NBCC</v>
      </c>
      <c r="B142" s="144">
        <f>VLOOKUP($A142,'Data shares'!$C:$FA,7)</f>
        <v>122.1</v>
      </c>
      <c r="C142" s="144">
        <f>VLOOKUP($A142,'Data shares'!$C:$FA,3)</f>
        <v>122.81</v>
      </c>
      <c r="D142" s="144">
        <f>VLOOKUP($A142,'Data shares'!$C:$FA,23)</f>
        <v>0.71</v>
      </c>
      <c r="E142" s="145">
        <f>VLOOKUP($A142,'Data shares'!$C:$FA,26)*100</f>
        <v>0.57999999999999996</v>
      </c>
      <c r="F142" s="144">
        <f>VLOOKUP($A142,'Data shares'!$C:$FA,24)</f>
        <v>0.48</v>
      </c>
      <c r="G142" s="144">
        <f>VLOOKUP($A142,'Data shares'!$C:$FA,25)</f>
        <v>0.23</v>
      </c>
    </row>
    <row r="143" spans="1:7" x14ac:dyDescent="0.25">
      <c r="A143" s="101" t="str">
        <f>'Data shares'!C139</f>
        <v>NESTLEIND</v>
      </c>
      <c r="B143" s="144">
        <f>VLOOKUP($A143,'Data shares'!$C:$FA,7)</f>
        <v>1295</v>
      </c>
      <c r="C143" s="144">
        <f>VLOOKUP($A143,'Data shares'!$C:$FA,3)</f>
        <v>1300.5</v>
      </c>
      <c r="D143" s="144">
        <f>VLOOKUP($A143,'Data shares'!$C:$FA,23)</f>
        <v>5.5</v>
      </c>
      <c r="E143" s="145">
        <f>VLOOKUP($A143,'Data shares'!$C:$FA,26)*100</f>
        <v>0.42</v>
      </c>
      <c r="F143" s="144">
        <f>VLOOKUP($A143,'Data shares'!$C:$FA,24)</f>
        <v>5.7</v>
      </c>
      <c r="G143" s="144">
        <f>VLOOKUP($A143,'Data shares'!$C:$FA,25)</f>
        <v>-0.2</v>
      </c>
    </row>
    <row r="144" spans="1:7" x14ac:dyDescent="0.25">
      <c r="A144" s="101" t="str">
        <f>'Data shares'!C140</f>
        <v>NHPC</v>
      </c>
      <c r="B144" s="144">
        <f>VLOOKUP($A144,'Data shares'!$C:$FA,7)</f>
        <v>79.56</v>
      </c>
      <c r="C144" s="144">
        <f>VLOOKUP($A144,'Data shares'!$C:$FA,3)</f>
        <v>80.06</v>
      </c>
      <c r="D144" s="144">
        <f>VLOOKUP($A144,'Data shares'!$C:$FA,23)</f>
        <v>0.5</v>
      </c>
      <c r="E144" s="145">
        <f>VLOOKUP($A144,'Data shares'!$C:$FA,26)*100</f>
        <v>0.63</v>
      </c>
      <c r="F144" s="144">
        <f>VLOOKUP($A144,'Data shares'!$C:$FA,24)</f>
        <v>0.25</v>
      </c>
      <c r="G144" s="144">
        <f>VLOOKUP($A144,'Data shares'!$C:$FA,25)</f>
        <v>0.25</v>
      </c>
    </row>
    <row r="145" spans="1:7" x14ac:dyDescent="0.25">
      <c r="A145" s="101" t="str">
        <f>'Data shares'!C141</f>
        <v>NIFTY</v>
      </c>
      <c r="B145" s="144">
        <f>VLOOKUP($A145,'Data shares'!$C:$FA,7)</f>
        <v>26146.55</v>
      </c>
      <c r="C145" s="144">
        <f>VLOOKUP($A145,'Data shares'!$C:$FA,3)</f>
        <v>26290.400000000001</v>
      </c>
      <c r="D145" s="144">
        <f>VLOOKUP($A145,'Data shares'!$C:$FA,23)</f>
        <v>143.85</v>
      </c>
      <c r="E145" s="145">
        <f>VLOOKUP($A145,'Data shares'!$C:$FA,26)*100</f>
        <v>0.54999999999999993</v>
      </c>
      <c r="F145" s="144">
        <f>VLOOKUP($A145,'Data shares'!$C:$FA,24)</f>
        <v>166.7</v>
      </c>
      <c r="G145" s="144">
        <f>VLOOKUP($A145,'Data shares'!$C:$FA,25)</f>
        <v>-22.85</v>
      </c>
    </row>
    <row r="146" spans="1:7" x14ac:dyDescent="0.25">
      <c r="A146" s="101" t="str">
        <f>'Data shares'!C142</f>
        <v>NIFTYNXT50</v>
      </c>
      <c r="B146" s="144">
        <f>VLOOKUP($A146,'Data shares'!$C:$FA,7)</f>
        <v>69675.399999999994</v>
      </c>
      <c r="C146" s="144">
        <f>VLOOKUP($A146,'Data shares'!$C:$FA,3)</f>
        <v>69942</v>
      </c>
      <c r="D146" s="144">
        <f>VLOOKUP($A146,'Data shares'!$C:$FA,23)</f>
        <v>266.60000000000002</v>
      </c>
      <c r="E146" s="145">
        <f>VLOOKUP($A146,'Data shares'!$C:$FA,26)*100</f>
        <v>0.38</v>
      </c>
      <c r="F146" s="144">
        <f>VLOOKUP($A146,'Data shares'!$C:$FA,24)</f>
        <v>233.1</v>
      </c>
      <c r="G146" s="144">
        <f>VLOOKUP($A146,'Data shares'!$C:$FA,25)</f>
        <v>33.5</v>
      </c>
    </row>
    <row r="147" spans="1:7" x14ac:dyDescent="0.25">
      <c r="A147" s="101" t="str">
        <f>'Data shares'!C143</f>
        <v>NMDC</v>
      </c>
      <c r="B147" s="144">
        <f>VLOOKUP($A147,'Data shares'!$C:$FA,7)</f>
        <v>83.66</v>
      </c>
      <c r="C147" s="144">
        <f>VLOOKUP($A147,'Data shares'!$C:$FA,3)</f>
        <v>84.25</v>
      </c>
      <c r="D147" s="144">
        <f>VLOOKUP($A147,'Data shares'!$C:$FA,23)</f>
        <v>0.59</v>
      </c>
      <c r="E147" s="145">
        <f>VLOOKUP($A147,'Data shares'!$C:$FA,26)*100</f>
        <v>0.71000000000000008</v>
      </c>
      <c r="F147" s="144">
        <f>VLOOKUP($A147,'Data shares'!$C:$FA,24)</f>
        <v>0.33</v>
      </c>
      <c r="G147" s="144">
        <f>VLOOKUP($A147,'Data shares'!$C:$FA,25)</f>
        <v>0.26</v>
      </c>
    </row>
    <row r="148" spans="1:7" x14ac:dyDescent="0.25">
      <c r="A148" s="101" t="str">
        <f>'Data shares'!C144</f>
        <v>NTPC</v>
      </c>
      <c r="B148" s="144">
        <f>VLOOKUP($A148,'Data shares'!$C:$FA,7)</f>
        <v>336.3</v>
      </c>
      <c r="C148" s="144">
        <f>VLOOKUP($A148,'Data shares'!$C:$FA,3)</f>
        <v>337</v>
      </c>
      <c r="D148" s="144">
        <f>VLOOKUP($A148,'Data shares'!$C:$FA,23)</f>
        <v>0.7</v>
      </c>
      <c r="E148" s="145">
        <f>VLOOKUP($A148,'Data shares'!$C:$FA,26)*100</f>
        <v>0.21</v>
      </c>
      <c r="F148" s="144">
        <f>VLOOKUP($A148,'Data shares'!$C:$FA,24)</f>
        <v>2</v>
      </c>
      <c r="G148" s="144">
        <f>VLOOKUP($A148,'Data shares'!$C:$FA,25)</f>
        <v>-1.3</v>
      </c>
    </row>
    <row r="149" spans="1:7" x14ac:dyDescent="0.25">
      <c r="A149" s="101" t="str">
        <f>'Data shares'!C145</f>
        <v>NUVAMA</v>
      </c>
      <c r="B149" s="144">
        <f>VLOOKUP($A149,'Data shares'!$C:$FA,7)</f>
        <v>1458.5</v>
      </c>
      <c r="C149" s="144">
        <f>VLOOKUP($A149,'Data shares'!$C:$FA,3)</f>
        <v>1465</v>
      </c>
      <c r="D149" s="144">
        <f>VLOOKUP($A149,'Data shares'!$C:$FA,23)</f>
        <v>6.5</v>
      </c>
      <c r="E149" s="145">
        <f>VLOOKUP($A149,'Data shares'!$C:$FA,26)*100</f>
        <v>0.44999999999999996</v>
      </c>
      <c r="F149" s="144">
        <f>VLOOKUP($A149,'Data shares'!$C:$FA,24)</f>
        <v>6</v>
      </c>
      <c r="G149" s="144">
        <f>VLOOKUP($A149,'Data shares'!$C:$FA,25)</f>
        <v>0.5</v>
      </c>
    </row>
    <row r="150" spans="1:7" x14ac:dyDescent="0.25">
      <c r="A150" s="101" t="str">
        <f>'Data shares'!C146</f>
        <v>NYKAA</v>
      </c>
      <c r="B150" s="144">
        <f>VLOOKUP($A150,'Data shares'!$C:$FA,7)</f>
        <v>265.75</v>
      </c>
      <c r="C150" s="144">
        <f>VLOOKUP($A150,'Data shares'!$C:$FA,3)</f>
        <v>266.5</v>
      </c>
      <c r="D150" s="144">
        <f>VLOOKUP($A150,'Data shares'!$C:$FA,23)</f>
        <v>0.75</v>
      </c>
      <c r="E150" s="145">
        <f>VLOOKUP($A150,'Data shares'!$C:$FA,26)*100</f>
        <v>0.27999999999999997</v>
      </c>
      <c r="F150" s="144">
        <f>VLOOKUP($A150,'Data shares'!$C:$FA,24)</f>
        <v>0.45</v>
      </c>
      <c r="G150" s="144">
        <f>VLOOKUP($A150,'Data shares'!$C:$FA,25)</f>
        <v>0.3</v>
      </c>
    </row>
    <row r="151" spans="1:7" x14ac:dyDescent="0.25">
      <c r="A151" s="101" t="str">
        <f>'Data shares'!C147</f>
        <v>OBEROIRLTY</v>
      </c>
      <c r="B151" s="144">
        <f>VLOOKUP($A151,'Data shares'!$C:$FA,7)</f>
        <v>1695.9</v>
      </c>
      <c r="C151" s="144">
        <f>VLOOKUP($A151,'Data shares'!$C:$FA,3)</f>
        <v>1692.8</v>
      </c>
      <c r="D151" s="144">
        <f>VLOOKUP($A151,'Data shares'!$C:$FA,23)</f>
        <v>-3.1</v>
      </c>
      <c r="E151" s="145">
        <f>VLOOKUP($A151,'Data shares'!$C:$FA,26)*100</f>
        <v>-0.18</v>
      </c>
      <c r="F151" s="144">
        <f>VLOOKUP($A151,'Data shares'!$C:$FA,24)</f>
        <v>3.3</v>
      </c>
      <c r="G151" s="144">
        <f>VLOOKUP($A151,'Data shares'!$C:$FA,25)</f>
        <v>-6.4</v>
      </c>
    </row>
    <row r="152" spans="1:7" x14ac:dyDescent="0.25">
      <c r="A152" s="101" t="str">
        <f>'Data shares'!C148</f>
        <v>OFSS</v>
      </c>
      <c r="B152" s="144">
        <f>VLOOKUP($A152,'Data shares'!$C:$FA,7)</f>
        <v>7687.5</v>
      </c>
      <c r="C152" s="144">
        <f>VLOOKUP($A152,'Data shares'!$C:$FA,3)</f>
        <v>7730</v>
      </c>
      <c r="D152" s="144">
        <f>VLOOKUP($A152,'Data shares'!$C:$FA,23)</f>
        <v>42.5</v>
      </c>
      <c r="E152" s="145">
        <f>VLOOKUP($A152,'Data shares'!$C:$FA,26)*100</f>
        <v>0.54999999999999993</v>
      </c>
      <c r="F152" s="144">
        <f>VLOOKUP($A152,'Data shares'!$C:$FA,24)</f>
        <v>30</v>
      </c>
      <c r="G152" s="144">
        <f>VLOOKUP($A152,'Data shares'!$C:$FA,25)</f>
        <v>12.5</v>
      </c>
    </row>
    <row r="153" spans="1:7" x14ac:dyDescent="0.25">
      <c r="A153" s="101" t="str">
        <f>'Data shares'!C149</f>
        <v>OIL</v>
      </c>
      <c r="B153" s="144">
        <f>VLOOKUP($A153,'Data shares'!$C:$FA,7)</f>
        <v>427.55</v>
      </c>
      <c r="C153" s="144">
        <f>VLOOKUP($A153,'Data shares'!$C:$FA,3)</f>
        <v>429.05</v>
      </c>
      <c r="D153" s="144">
        <f>VLOOKUP($A153,'Data shares'!$C:$FA,23)</f>
        <v>1.5</v>
      </c>
      <c r="E153" s="145">
        <f>VLOOKUP($A153,'Data shares'!$C:$FA,26)*100</f>
        <v>0.35000000000000003</v>
      </c>
      <c r="F153" s="144">
        <f>VLOOKUP($A153,'Data shares'!$C:$FA,24)</f>
        <v>2.25</v>
      </c>
      <c r="G153" s="144">
        <f>VLOOKUP($A153,'Data shares'!$C:$FA,25)</f>
        <v>-0.75</v>
      </c>
    </row>
    <row r="154" spans="1:7" x14ac:dyDescent="0.25">
      <c r="A154" s="101" t="str">
        <f>'Data shares'!C150</f>
        <v>ONGC</v>
      </c>
      <c r="B154" s="144">
        <f>VLOOKUP($A154,'Data shares'!$C:$FA,7)</f>
        <v>237.94</v>
      </c>
      <c r="C154" s="144">
        <f>VLOOKUP($A154,'Data shares'!$C:$FA,3)</f>
        <v>239.46</v>
      </c>
      <c r="D154" s="144">
        <f>VLOOKUP($A154,'Data shares'!$C:$FA,23)</f>
        <v>1.52</v>
      </c>
      <c r="E154" s="145">
        <f>VLOOKUP($A154,'Data shares'!$C:$FA,26)*100</f>
        <v>0.64</v>
      </c>
      <c r="F154" s="144">
        <f>VLOOKUP($A154,'Data shares'!$C:$FA,24)</f>
        <v>1.7</v>
      </c>
      <c r="G154" s="144">
        <f>VLOOKUP($A154,'Data shares'!$C:$FA,25)</f>
        <v>-0.18</v>
      </c>
    </row>
    <row r="155" spans="1:7" x14ac:dyDescent="0.25">
      <c r="A155" s="101" t="str">
        <f>'Data shares'!C151</f>
        <v>PAGEIND</v>
      </c>
      <c r="B155" s="144">
        <f>VLOOKUP($A155,'Data shares'!$C:$FA,7)</f>
        <v>35645</v>
      </c>
      <c r="C155" s="144">
        <f>VLOOKUP($A155,'Data shares'!$C:$FA,3)</f>
        <v>35705</v>
      </c>
      <c r="D155" s="144">
        <f>VLOOKUP($A155,'Data shares'!$C:$FA,23)</f>
        <v>60</v>
      </c>
      <c r="E155" s="145">
        <f>VLOOKUP($A155,'Data shares'!$C:$FA,26)*100</f>
        <v>0.16999999999999998</v>
      </c>
      <c r="F155" s="144">
        <f>VLOOKUP($A155,'Data shares'!$C:$FA,24)</f>
        <v>0</v>
      </c>
      <c r="G155" s="144">
        <f>VLOOKUP($A155,'Data shares'!$C:$FA,25)</f>
        <v>60</v>
      </c>
    </row>
    <row r="156" spans="1:7" x14ac:dyDescent="0.25">
      <c r="A156" s="101" t="str">
        <f>'Data shares'!C152</f>
        <v>PATANJALI</v>
      </c>
      <c r="B156" s="144">
        <f>VLOOKUP($A156,'Data shares'!$C:$FA,7)</f>
        <v>552.54999999999995</v>
      </c>
      <c r="C156" s="144">
        <f>VLOOKUP($A156,'Data shares'!$C:$FA,3)</f>
        <v>554.29999999999995</v>
      </c>
      <c r="D156" s="144">
        <f>VLOOKUP($A156,'Data shares'!$C:$FA,23)</f>
        <v>1.75</v>
      </c>
      <c r="E156" s="145">
        <f>VLOOKUP($A156,'Data shares'!$C:$FA,26)*100</f>
        <v>0.32</v>
      </c>
      <c r="F156" s="144">
        <f>VLOOKUP($A156,'Data shares'!$C:$FA,24)</f>
        <v>3.5</v>
      </c>
      <c r="G156" s="144">
        <f>VLOOKUP($A156,'Data shares'!$C:$FA,25)</f>
        <v>-1.75</v>
      </c>
    </row>
    <row r="157" spans="1:7" x14ac:dyDescent="0.25">
      <c r="A157" s="101" t="str">
        <f>'Data shares'!C153</f>
        <v>PAYTM</v>
      </c>
      <c r="B157" s="144">
        <f>VLOOKUP($A157,'Data shares'!$C:$FA,7)</f>
        <v>1291.7</v>
      </c>
      <c r="C157" s="144">
        <f>VLOOKUP($A157,'Data shares'!$C:$FA,3)</f>
        <v>1300.7</v>
      </c>
      <c r="D157" s="144">
        <f>VLOOKUP($A157,'Data shares'!$C:$FA,23)</f>
        <v>9</v>
      </c>
      <c r="E157" s="145">
        <f>VLOOKUP($A157,'Data shares'!$C:$FA,26)*100</f>
        <v>0.70000000000000007</v>
      </c>
      <c r="F157" s="144">
        <f>VLOOKUP($A157,'Data shares'!$C:$FA,24)</f>
        <v>6.2</v>
      </c>
      <c r="G157" s="144">
        <f>VLOOKUP($A157,'Data shares'!$C:$FA,25)</f>
        <v>2.8</v>
      </c>
    </row>
    <row r="158" spans="1:7" x14ac:dyDescent="0.25">
      <c r="A158" s="101" t="str">
        <f>'Data shares'!C154</f>
        <v>PERSISTENT</v>
      </c>
      <c r="B158" s="144">
        <f>VLOOKUP($A158,'Data shares'!$C:$FA,7)</f>
        <v>6282.5</v>
      </c>
      <c r="C158" s="144">
        <f>VLOOKUP($A158,'Data shares'!$C:$FA,3)</f>
        <v>6309</v>
      </c>
      <c r="D158" s="144">
        <f>VLOOKUP($A158,'Data shares'!$C:$FA,23)</f>
        <v>26.5</v>
      </c>
      <c r="E158" s="145">
        <f>VLOOKUP($A158,'Data shares'!$C:$FA,26)*100</f>
        <v>0.42</v>
      </c>
      <c r="F158" s="144">
        <f>VLOOKUP($A158,'Data shares'!$C:$FA,24)</f>
        <v>23.5</v>
      </c>
      <c r="G158" s="144">
        <f>VLOOKUP($A158,'Data shares'!$C:$FA,25)</f>
        <v>3</v>
      </c>
    </row>
    <row r="159" spans="1:7" x14ac:dyDescent="0.25">
      <c r="A159" s="101" t="str">
        <f>'Data shares'!C155</f>
        <v>PETRONET</v>
      </c>
      <c r="B159" s="144">
        <f>VLOOKUP($A159,'Data shares'!$C:$FA,7)</f>
        <v>288.10000000000002</v>
      </c>
      <c r="C159" s="144">
        <f>VLOOKUP($A159,'Data shares'!$C:$FA,3)</f>
        <v>289.5</v>
      </c>
      <c r="D159" s="144">
        <f>VLOOKUP($A159,'Data shares'!$C:$FA,23)</f>
        <v>1.4</v>
      </c>
      <c r="E159" s="145">
        <f>VLOOKUP($A159,'Data shares'!$C:$FA,26)*100</f>
        <v>0.49</v>
      </c>
      <c r="F159" s="144">
        <f>VLOOKUP($A159,'Data shares'!$C:$FA,24)</f>
        <v>1.4</v>
      </c>
      <c r="G159" s="144">
        <f>VLOOKUP($A159,'Data shares'!$C:$FA,25)</f>
        <v>0</v>
      </c>
    </row>
    <row r="160" spans="1:7" x14ac:dyDescent="0.25">
      <c r="A160" s="101" t="str">
        <f>'Data shares'!C156</f>
        <v>PFC</v>
      </c>
      <c r="B160" s="144">
        <f>VLOOKUP($A160,'Data shares'!$C:$FA,7)</f>
        <v>363.15</v>
      </c>
      <c r="C160" s="144">
        <f>VLOOKUP($A160,'Data shares'!$C:$FA,3)</f>
        <v>364.7</v>
      </c>
      <c r="D160" s="144">
        <f>VLOOKUP($A160,'Data shares'!$C:$FA,23)</f>
        <v>1.55</v>
      </c>
      <c r="E160" s="145">
        <f>VLOOKUP($A160,'Data shares'!$C:$FA,26)*100</f>
        <v>0.43</v>
      </c>
      <c r="F160" s="144">
        <f>VLOOKUP($A160,'Data shares'!$C:$FA,24)</f>
        <v>1.7</v>
      </c>
      <c r="G160" s="144">
        <f>VLOOKUP($A160,'Data shares'!$C:$FA,25)</f>
        <v>-0.15</v>
      </c>
    </row>
    <row r="161" spans="1:7" x14ac:dyDescent="0.25">
      <c r="A161" s="101" t="str">
        <f>'Data shares'!C157</f>
        <v>PGEL</v>
      </c>
      <c r="B161" s="144">
        <f>VLOOKUP($A161,'Data shares'!$C:$FA,7)</f>
        <v>578.95000000000005</v>
      </c>
      <c r="C161" s="144">
        <f>VLOOKUP($A161,'Data shares'!$C:$FA,3)</f>
        <v>582.20000000000005</v>
      </c>
      <c r="D161" s="144">
        <f>VLOOKUP($A161,'Data shares'!$C:$FA,23)</f>
        <v>3.25</v>
      </c>
      <c r="E161" s="145">
        <f>VLOOKUP($A161,'Data shares'!$C:$FA,26)*100</f>
        <v>0.55999999999999994</v>
      </c>
      <c r="F161" s="144">
        <f>VLOOKUP($A161,'Data shares'!$C:$FA,24)</f>
        <v>0.9</v>
      </c>
      <c r="G161" s="144">
        <f>VLOOKUP($A161,'Data shares'!$C:$FA,25)</f>
        <v>2.35</v>
      </c>
    </row>
    <row r="162" spans="1:7" x14ac:dyDescent="0.25">
      <c r="A162" s="101" t="str">
        <f>'Data shares'!C158</f>
        <v>PHOENIXLTD</v>
      </c>
      <c r="B162" s="144">
        <f>VLOOKUP($A162,'Data shares'!$C:$FA,7)</f>
        <v>1872.7</v>
      </c>
      <c r="C162" s="144">
        <f>VLOOKUP($A162,'Data shares'!$C:$FA,3)</f>
        <v>1880.6</v>
      </c>
      <c r="D162" s="144">
        <f>VLOOKUP($A162,'Data shares'!$C:$FA,23)</f>
        <v>7.9</v>
      </c>
      <c r="E162" s="145">
        <f>VLOOKUP($A162,'Data shares'!$C:$FA,26)*100</f>
        <v>0.42</v>
      </c>
      <c r="F162" s="144">
        <f>VLOOKUP($A162,'Data shares'!$C:$FA,24)</f>
        <v>11.8</v>
      </c>
      <c r="G162" s="144">
        <f>VLOOKUP($A162,'Data shares'!$C:$FA,25)</f>
        <v>-3.9</v>
      </c>
    </row>
    <row r="163" spans="1:7" x14ac:dyDescent="0.25">
      <c r="A163" s="101" t="str">
        <f>'Data shares'!C159</f>
        <v>PIDILITIND</v>
      </c>
      <c r="B163" s="144">
        <f>VLOOKUP($A163,'Data shares'!$C:$FA,7)</f>
        <v>1469.3</v>
      </c>
      <c r="C163" s="144">
        <f>VLOOKUP($A163,'Data shares'!$C:$FA,3)</f>
        <v>1477.5</v>
      </c>
      <c r="D163" s="144">
        <f>VLOOKUP($A163,'Data shares'!$C:$FA,23)</f>
        <v>8.1999999999999993</v>
      </c>
      <c r="E163" s="145">
        <f>VLOOKUP($A163,'Data shares'!$C:$FA,26)*100</f>
        <v>0.55999999999999994</v>
      </c>
      <c r="F163" s="144">
        <f>VLOOKUP($A163,'Data shares'!$C:$FA,24)</f>
        <v>7.6</v>
      </c>
      <c r="G163" s="144">
        <f>VLOOKUP($A163,'Data shares'!$C:$FA,25)</f>
        <v>0.6</v>
      </c>
    </row>
    <row r="164" spans="1:7" x14ac:dyDescent="0.25">
      <c r="A164" s="101" t="str">
        <f>'Data shares'!C160</f>
        <v>PIIND</v>
      </c>
      <c r="B164" s="144">
        <f>VLOOKUP($A164,'Data shares'!$C:$FA,7)</f>
        <v>3219.1</v>
      </c>
      <c r="C164" s="144">
        <f>VLOOKUP($A164,'Data shares'!$C:$FA,3)</f>
        <v>3233.4</v>
      </c>
      <c r="D164" s="144">
        <f>VLOOKUP($A164,'Data shares'!$C:$FA,23)</f>
        <v>14.3</v>
      </c>
      <c r="E164" s="145">
        <f>VLOOKUP($A164,'Data shares'!$C:$FA,26)*100</f>
        <v>0.44</v>
      </c>
      <c r="F164" s="144">
        <f>VLOOKUP($A164,'Data shares'!$C:$FA,24)</f>
        <v>16.100000000000001</v>
      </c>
      <c r="G164" s="144">
        <f>VLOOKUP($A164,'Data shares'!$C:$FA,25)</f>
        <v>-1.8</v>
      </c>
    </row>
    <row r="165" spans="1:7" x14ac:dyDescent="0.25">
      <c r="A165" s="101" t="str">
        <f>'Data shares'!C161</f>
        <v>PNB</v>
      </c>
      <c r="B165" s="144">
        <f>VLOOKUP($A165,'Data shares'!$C:$FA,7)</f>
        <v>123.94</v>
      </c>
      <c r="C165" s="144">
        <f>VLOOKUP($A165,'Data shares'!$C:$FA,3)</f>
        <v>124.65</v>
      </c>
      <c r="D165" s="144">
        <f>VLOOKUP($A165,'Data shares'!$C:$FA,23)</f>
        <v>0.71</v>
      </c>
      <c r="E165" s="145">
        <f>VLOOKUP($A165,'Data shares'!$C:$FA,26)*100</f>
        <v>0.57000000000000006</v>
      </c>
      <c r="F165" s="144">
        <f>VLOOKUP($A165,'Data shares'!$C:$FA,24)</f>
        <v>0.83</v>
      </c>
      <c r="G165" s="144">
        <f>VLOOKUP($A165,'Data shares'!$C:$FA,25)</f>
        <v>-0.12</v>
      </c>
    </row>
    <row r="166" spans="1:7" x14ac:dyDescent="0.25">
      <c r="A166" s="101" t="str">
        <f>'Data shares'!C162</f>
        <v>PNBHOUSING</v>
      </c>
      <c r="B166" s="144">
        <f>VLOOKUP($A166,'Data shares'!$C:$FA,7)</f>
        <v>986.6</v>
      </c>
      <c r="C166" s="144">
        <f>VLOOKUP($A166,'Data shares'!$C:$FA,3)</f>
        <v>990.35</v>
      </c>
      <c r="D166" s="144">
        <f>VLOOKUP($A166,'Data shares'!$C:$FA,23)</f>
        <v>3.75</v>
      </c>
      <c r="E166" s="145">
        <f>VLOOKUP($A166,'Data shares'!$C:$FA,26)*100</f>
        <v>0.38</v>
      </c>
      <c r="F166" s="144">
        <f>VLOOKUP($A166,'Data shares'!$C:$FA,24)</f>
        <v>4.7</v>
      </c>
      <c r="G166" s="144">
        <f>VLOOKUP($A166,'Data shares'!$C:$FA,25)</f>
        <v>-0.95</v>
      </c>
    </row>
    <row r="167" spans="1:7" x14ac:dyDescent="0.25">
      <c r="A167" s="101" t="str">
        <f>'Data shares'!C163</f>
        <v>POLICYBZR</v>
      </c>
      <c r="B167" s="144">
        <f>VLOOKUP($A167,'Data shares'!$C:$FA,7)</f>
        <v>1805.8</v>
      </c>
      <c r="C167" s="144">
        <f>VLOOKUP($A167,'Data shares'!$C:$FA,3)</f>
        <v>1818.3</v>
      </c>
      <c r="D167" s="144">
        <f>VLOOKUP($A167,'Data shares'!$C:$FA,23)</f>
        <v>12.5</v>
      </c>
      <c r="E167" s="145">
        <f>VLOOKUP($A167,'Data shares'!$C:$FA,26)*100</f>
        <v>0.69</v>
      </c>
      <c r="F167" s="144">
        <f>VLOOKUP($A167,'Data shares'!$C:$FA,24)</f>
        <v>11</v>
      </c>
      <c r="G167" s="144">
        <f>VLOOKUP($A167,'Data shares'!$C:$FA,25)</f>
        <v>1.5</v>
      </c>
    </row>
    <row r="168" spans="1:7" s="175" customFormat="1" x14ac:dyDescent="0.25">
      <c r="A168" s="101" t="str">
        <f>'Data shares'!C164</f>
        <v>POLYCAB</v>
      </c>
      <c r="B168" s="144">
        <f>VLOOKUP($A168,'Data shares'!$C:$FA,7)</f>
        <v>7673</v>
      </c>
      <c r="C168" s="144">
        <f>VLOOKUP($A168,'Data shares'!$C:$FA,3)</f>
        <v>7718.5</v>
      </c>
      <c r="D168" s="144">
        <f>VLOOKUP($A168,'Data shares'!$C:$FA,23)</f>
        <v>45.5</v>
      </c>
      <c r="E168" s="145">
        <f>VLOOKUP($A168,'Data shares'!$C:$FA,26)*100</f>
        <v>0.59</v>
      </c>
      <c r="F168" s="144">
        <f>VLOOKUP($A168,'Data shares'!$C:$FA,24)</f>
        <v>49</v>
      </c>
      <c r="G168" s="144">
        <f>VLOOKUP($A168,'Data shares'!$C:$FA,25)</f>
        <v>-3.5</v>
      </c>
    </row>
    <row r="169" spans="1:7" x14ac:dyDescent="0.25">
      <c r="A169" s="101" t="str">
        <f>'Data shares'!C165</f>
        <v>POWERGRID</v>
      </c>
      <c r="B169" s="144">
        <f>VLOOKUP($A169,'Data shares'!$C:$FA,7)</f>
        <v>266.8</v>
      </c>
      <c r="C169" s="144">
        <f>VLOOKUP($A169,'Data shares'!$C:$FA,3)</f>
        <v>268.45</v>
      </c>
      <c r="D169" s="144">
        <f>VLOOKUP($A169,'Data shares'!$C:$FA,23)</f>
        <v>1.65</v>
      </c>
      <c r="E169" s="145">
        <f>VLOOKUP($A169,'Data shares'!$C:$FA,26)*100</f>
        <v>0.62</v>
      </c>
      <c r="F169" s="144">
        <f>VLOOKUP($A169,'Data shares'!$C:$FA,24)</f>
        <v>1</v>
      </c>
      <c r="G169" s="144">
        <f>VLOOKUP($A169,'Data shares'!$C:$FA,25)</f>
        <v>0.65</v>
      </c>
    </row>
    <row r="170" spans="1:7" x14ac:dyDescent="0.25">
      <c r="A170" s="101" t="str">
        <f>'Data shares'!C166</f>
        <v>POWERINDIA</v>
      </c>
      <c r="B170" s="144">
        <f>VLOOKUP($A170,'Data shares'!$C:$FA,7)</f>
        <v>18482</v>
      </c>
      <c r="C170" s="144">
        <f>VLOOKUP($A170,'Data shares'!$C:$FA,3)</f>
        <v>18592</v>
      </c>
      <c r="D170" s="144">
        <f>VLOOKUP($A170,'Data shares'!$C:$FA,23)</f>
        <v>110</v>
      </c>
      <c r="E170" s="145">
        <f>VLOOKUP($A170,'Data shares'!$C:$FA,26)*100</f>
        <v>0.6</v>
      </c>
      <c r="F170" s="144">
        <f>VLOOKUP($A170,'Data shares'!$C:$FA,24)</f>
        <v>80</v>
      </c>
      <c r="G170" s="144">
        <f>VLOOKUP($A170,'Data shares'!$C:$FA,25)</f>
        <v>30</v>
      </c>
    </row>
    <row r="171" spans="1:7" x14ac:dyDescent="0.25">
      <c r="A171" s="101" t="str">
        <f>'Data shares'!C167</f>
        <v>PPLPHARMA</v>
      </c>
      <c r="B171" s="144">
        <f>VLOOKUP($A171,'Data shares'!$C:$FA,7)</f>
        <v>169.88</v>
      </c>
      <c r="C171" s="144">
        <f>VLOOKUP($A171,'Data shares'!$C:$FA,3)</f>
        <v>171.08</v>
      </c>
      <c r="D171" s="144">
        <f>VLOOKUP($A171,'Data shares'!$C:$FA,23)</f>
        <v>1.2</v>
      </c>
      <c r="E171" s="145">
        <f>VLOOKUP($A171,'Data shares'!$C:$FA,26)*100</f>
        <v>0.71000000000000008</v>
      </c>
      <c r="F171" s="144">
        <f>VLOOKUP($A171,'Data shares'!$C:$FA,24)</f>
        <v>1.1599999999999999</v>
      </c>
      <c r="G171" s="144">
        <f>VLOOKUP($A171,'Data shares'!$C:$FA,25)</f>
        <v>0.04</v>
      </c>
    </row>
    <row r="172" spans="1:7" x14ac:dyDescent="0.25">
      <c r="A172" s="101" t="str">
        <f>'Data shares'!C168</f>
        <v>PREMIERENE</v>
      </c>
      <c r="B172" s="144">
        <f>VLOOKUP($A172,'Data shares'!$C:$FA,7)</f>
        <v>847.2</v>
      </c>
      <c r="C172" s="144">
        <f>VLOOKUP($A172,'Data shares'!$C:$FA,3)</f>
        <v>852.05</v>
      </c>
      <c r="D172" s="144">
        <f>VLOOKUP($A172,'Data shares'!$C:$FA,23)</f>
        <v>4.8499999999999996</v>
      </c>
      <c r="E172" s="145">
        <f>VLOOKUP($A172,'Data shares'!$C:$FA,26)*100</f>
        <v>0.57000000000000006</v>
      </c>
      <c r="F172" s="144">
        <f>VLOOKUP($A172,'Data shares'!$C:$FA,24)</f>
        <v>2.2999999999999998</v>
      </c>
      <c r="G172" s="144">
        <f>VLOOKUP($A172,'Data shares'!$C:$FA,25)</f>
        <v>2.5499999999999998</v>
      </c>
    </row>
    <row r="173" spans="1:7" x14ac:dyDescent="0.25">
      <c r="A173" s="101" t="str">
        <f>'Data shares'!C169</f>
        <v>PRESTIGE</v>
      </c>
      <c r="B173" s="144">
        <f>VLOOKUP($A173,'Data shares'!$C:$FA,7)</f>
        <v>1604.1</v>
      </c>
      <c r="C173" s="144">
        <f>VLOOKUP($A173,'Data shares'!$C:$FA,3)</f>
        <v>1614.8</v>
      </c>
      <c r="D173" s="144">
        <f>VLOOKUP($A173,'Data shares'!$C:$FA,23)</f>
        <v>10.7</v>
      </c>
      <c r="E173" s="145">
        <f>VLOOKUP($A173,'Data shares'!$C:$FA,26)*100</f>
        <v>0.67</v>
      </c>
      <c r="F173" s="144">
        <f>VLOOKUP($A173,'Data shares'!$C:$FA,24)</f>
        <v>5.7</v>
      </c>
      <c r="G173" s="144">
        <f>VLOOKUP($A173,'Data shares'!$C:$FA,25)</f>
        <v>5</v>
      </c>
    </row>
    <row r="174" spans="1:7" x14ac:dyDescent="0.25">
      <c r="A174" s="101" t="str">
        <f>'Data shares'!C170</f>
        <v>RBLBANK</v>
      </c>
      <c r="B174" s="144">
        <f>VLOOKUP($A174,'Data shares'!$C:$FA,7)</f>
        <v>315.3</v>
      </c>
      <c r="C174" s="144">
        <f>VLOOKUP($A174,'Data shares'!$C:$FA,3)</f>
        <v>317.35000000000002</v>
      </c>
      <c r="D174" s="144">
        <f>VLOOKUP($A174,'Data shares'!$C:$FA,23)</f>
        <v>2.0499999999999998</v>
      </c>
      <c r="E174" s="145">
        <f>VLOOKUP($A174,'Data shares'!$C:$FA,26)*100</f>
        <v>0.65</v>
      </c>
      <c r="F174" s="144">
        <f>VLOOKUP($A174,'Data shares'!$C:$FA,24)</f>
        <v>1.1000000000000001</v>
      </c>
      <c r="G174" s="144">
        <f>VLOOKUP($A174,'Data shares'!$C:$FA,25)</f>
        <v>0.95</v>
      </c>
    </row>
    <row r="175" spans="1:7" x14ac:dyDescent="0.25">
      <c r="A175" s="101" t="str">
        <f>'Data shares'!C171</f>
        <v>RECLTD</v>
      </c>
      <c r="B175" s="144">
        <f>VLOOKUP($A175,'Data shares'!$C:$FA,7)</f>
        <v>367.7</v>
      </c>
      <c r="C175" s="144">
        <f>VLOOKUP($A175,'Data shares'!$C:$FA,3)</f>
        <v>368.65</v>
      </c>
      <c r="D175" s="144">
        <f>VLOOKUP($A175,'Data shares'!$C:$FA,23)</f>
        <v>0.95</v>
      </c>
      <c r="E175" s="145">
        <f>VLOOKUP($A175,'Data shares'!$C:$FA,26)*100</f>
        <v>0.26</v>
      </c>
      <c r="F175" s="144">
        <f>VLOOKUP($A175,'Data shares'!$C:$FA,24)</f>
        <v>2.1</v>
      </c>
      <c r="G175" s="144">
        <f>VLOOKUP($A175,'Data shares'!$C:$FA,25)</f>
        <v>-1.1499999999999999</v>
      </c>
    </row>
    <row r="176" spans="1:7" x14ac:dyDescent="0.25">
      <c r="A176" s="101" t="str">
        <f>'Data shares'!C172</f>
        <v>RELIANCE</v>
      </c>
      <c r="B176" s="144">
        <f>VLOOKUP($A176,'Data shares'!$C:$FA,7)</f>
        <v>1575.6</v>
      </c>
      <c r="C176" s="144">
        <f>VLOOKUP($A176,'Data shares'!$C:$FA,3)</f>
        <v>1584</v>
      </c>
      <c r="D176" s="144">
        <f>VLOOKUP($A176,'Data shares'!$C:$FA,23)</f>
        <v>8.4</v>
      </c>
      <c r="E176" s="145">
        <f>VLOOKUP($A176,'Data shares'!$C:$FA,26)*100</f>
        <v>0.53</v>
      </c>
      <c r="F176" s="144">
        <f>VLOOKUP($A176,'Data shares'!$C:$FA,24)</f>
        <v>7.6</v>
      </c>
      <c r="G176" s="144">
        <f>VLOOKUP($A176,'Data shares'!$C:$FA,25)</f>
        <v>0.8</v>
      </c>
    </row>
    <row r="177" spans="1:7" x14ac:dyDescent="0.25">
      <c r="A177" s="101" t="str">
        <f>'Data shares'!C173</f>
        <v>RVNL</v>
      </c>
      <c r="B177" s="144">
        <f>VLOOKUP($A177,'Data shares'!$C:$FA,7)</f>
        <v>361.5</v>
      </c>
      <c r="C177" s="144">
        <f>VLOOKUP($A177,'Data shares'!$C:$FA,3)</f>
        <v>357.6</v>
      </c>
      <c r="D177" s="144">
        <f>VLOOKUP($A177,'Data shares'!$C:$FA,23)</f>
        <v>-3.9</v>
      </c>
      <c r="E177" s="145">
        <f>VLOOKUP($A177,'Data shares'!$C:$FA,26)*100</f>
        <v>-1.08</v>
      </c>
      <c r="F177" s="144">
        <f>VLOOKUP($A177,'Data shares'!$C:$FA,24)</f>
        <v>-5.35</v>
      </c>
      <c r="G177" s="144">
        <f>VLOOKUP($A177,'Data shares'!$C:$FA,25)</f>
        <v>1.45</v>
      </c>
    </row>
    <row r="178" spans="1:7" x14ac:dyDescent="0.25">
      <c r="A178" s="101" t="str">
        <f>'Data shares'!C174</f>
        <v>SAIL</v>
      </c>
      <c r="B178" s="144">
        <f>VLOOKUP($A178,'Data shares'!$C:$FA,7)</f>
        <v>148.44999999999999</v>
      </c>
      <c r="C178" s="144">
        <f>VLOOKUP($A178,'Data shares'!$C:$FA,3)</f>
        <v>149.33000000000001</v>
      </c>
      <c r="D178" s="144">
        <f>VLOOKUP($A178,'Data shares'!$C:$FA,23)</f>
        <v>0.88</v>
      </c>
      <c r="E178" s="145">
        <f>VLOOKUP($A178,'Data shares'!$C:$FA,26)*100</f>
        <v>0.59</v>
      </c>
      <c r="F178" s="144">
        <f>VLOOKUP($A178,'Data shares'!$C:$FA,24)</f>
        <v>0.87</v>
      </c>
      <c r="G178" s="144">
        <f>VLOOKUP($A178,'Data shares'!$C:$FA,25)</f>
        <v>0.01</v>
      </c>
    </row>
    <row r="179" spans="1:7" x14ac:dyDescent="0.25">
      <c r="A179" s="101" t="str">
        <f>'Data shares'!C175</f>
        <v>SAMMAANCAP</v>
      </c>
      <c r="B179" s="144">
        <f>VLOOKUP($A179,'Data shares'!$C:$FA,7)</f>
        <v>144.21</v>
      </c>
      <c r="C179" s="144">
        <f>VLOOKUP($A179,'Data shares'!$C:$FA,3)</f>
        <v>145.30000000000001</v>
      </c>
      <c r="D179" s="144">
        <f>VLOOKUP($A179,'Data shares'!$C:$FA,23)</f>
        <v>1.0900000000000001</v>
      </c>
      <c r="E179" s="145">
        <f>VLOOKUP($A179,'Data shares'!$C:$FA,26)*100</f>
        <v>0.76</v>
      </c>
      <c r="F179" s="144">
        <f>VLOOKUP($A179,'Data shares'!$C:$FA,24)</f>
        <v>1.05</v>
      </c>
      <c r="G179" s="144">
        <f>VLOOKUP($A179,'Data shares'!$C:$FA,25)</f>
        <v>0.04</v>
      </c>
    </row>
    <row r="180" spans="1:7" x14ac:dyDescent="0.25">
      <c r="A180" s="101" t="str">
        <f>'Data shares'!C176</f>
        <v>SBICARD</v>
      </c>
      <c r="B180" s="144">
        <f>VLOOKUP($A180,'Data shares'!$C:$FA,7)</f>
        <v>859.5</v>
      </c>
      <c r="C180" s="144">
        <f>VLOOKUP($A180,'Data shares'!$C:$FA,3)</f>
        <v>861.75</v>
      </c>
      <c r="D180" s="144">
        <f>VLOOKUP($A180,'Data shares'!$C:$FA,23)</f>
        <v>2.25</v>
      </c>
      <c r="E180" s="145">
        <f>VLOOKUP($A180,'Data shares'!$C:$FA,26)*100</f>
        <v>0.26</v>
      </c>
      <c r="F180" s="144">
        <f>VLOOKUP($A180,'Data shares'!$C:$FA,24)</f>
        <v>5.0999999999999996</v>
      </c>
      <c r="G180" s="144">
        <f>VLOOKUP($A180,'Data shares'!$C:$FA,25)</f>
        <v>-2.85</v>
      </c>
    </row>
    <row r="181" spans="1:7" x14ac:dyDescent="0.25">
      <c r="A181" s="101" t="str">
        <f>'Data shares'!C177</f>
        <v>SBILIFE</v>
      </c>
      <c r="B181" s="144">
        <f>VLOOKUP($A181,'Data shares'!$C:$FA,7)</f>
        <v>2040.4</v>
      </c>
      <c r="C181" s="144">
        <f>VLOOKUP($A181,'Data shares'!$C:$FA,3)</f>
        <v>2053.4</v>
      </c>
      <c r="D181" s="144">
        <f>VLOOKUP($A181,'Data shares'!$C:$FA,23)</f>
        <v>13</v>
      </c>
      <c r="E181" s="145">
        <f>VLOOKUP($A181,'Data shares'!$C:$FA,26)*100</f>
        <v>0.64</v>
      </c>
      <c r="F181" s="144">
        <f>VLOOKUP($A181,'Data shares'!$C:$FA,24)</f>
        <v>12.8</v>
      </c>
      <c r="G181" s="144">
        <f>VLOOKUP($A181,'Data shares'!$C:$FA,25)</f>
        <v>0.2</v>
      </c>
    </row>
    <row r="182" spans="1:7" x14ac:dyDescent="0.25">
      <c r="A182" s="101" t="str">
        <f>'Data shares'!C178</f>
        <v>SBIN</v>
      </c>
      <c r="B182" s="144">
        <f>VLOOKUP($A182,'Data shares'!$C:$FA,7)</f>
        <v>984.75</v>
      </c>
      <c r="C182" s="144">
        <f>VLOOKUP($A182,'Data shares'!$C:$FA,3)</f>
        <v>988.85</v>
      </c>
      <c r="D182" s="144">
        <f>VLOOKUP($A182,'Data shares'!$C:$FA,23)</f>
        <v>4.0999999999999996</v>
      </c>
      <c r="E182" s="145">
        <f>VLOOKUP($A182,'Data shares'!$C:$FA,26)*100</f>
        <v>0.42</v>
      </c>
      <c r="F182" s="144">
        <f>VLOOKUP($A182,'Data shares'!$C:$FA,24)</f>
        <v>4.1500000000000004</v>
      </c>
      <c r="G182" s="144">
        <f>VLOOKUP($A182,'Data shares'!$C:$FA,25)</f>
        <v>-0.05</v>
      </c>
    </row>
    <row r="183" spans="1:7" x14ac:dyDescent="0.25">
      <c r="A183" s="101" t="str">
        <f>'Data shares'!C179</f>
        <v>SHREECEM</v>
      </c>
      <c r="B183" s="144">
        <f>VLOOKUP($A183,'Data shares'!$C:$FA,7)</f>
        <v>26835</v>
      </c>
      <c r="C183" s="144">
        <f>VLOOKUP($A183,'Data shares'!$C:$FA,3)</f>
        <v>27000</v>
      </c>
      <c r="D183" s="144">
        <f>VLOOKUP($A183,'Data shares'!$C:$FA,23)</f>
        <v>165</v>
      </c>
      <c r="E183" s="145">
        <f>VLOOKUP($A183,'Data shares'!$C:$FA,26)*100</f>
        <v>0.61</v>
      </c>
      <c r="F183" s="144">
        <f>VLOOKUP($A183,'Data shares'!$C:$FA,24)</f>
        <v>80</v>
      </c>
      <c r="G183" s="144">
        <f>VLOOKUP($A183,'Data shares'!$C:$FA,25)</f>
        <v>85</v>
      </c>
    </row>
    <row r="184" spans="1:7" x14ac:dyDescent="0.25">
      <c r="A184" s="101" t="str">
        <f>'Data shares'!C180</f>
        <v>SHRIRAMFIN</v>
      </c>
      <c r="B184" s="144">
        <f>VLOOKUP($A184,'Data shares'!$C:$FA,7)</f>
        <v>1019.7</v>
      </c>
      <c r="C184" s="144">
        <f>VLOOKUP($A184,'Data shares'!$C:$FA,3)</f>
        <v>1023.15</v>
      </c>
      <c r="D184" s="144">
        <f>VLOOKUP($A184,'Data shares'!$C:$FA,23)</f>
        <v>3.45</v>
      </c>
      <c r="E184" s="145">
        <f>VLOOKUP($A184,'Data shares'!$C:$FA,26)*100</f>
        <v>0.33999999999999997</v>
      </c>
      <c r="F184" s="144">
        <f>VLOOKUP($A184,'Data shares'!$C:$FA,24)</f>
        <v>2.6</v>
      </c>
      <c r="G184" s="144">
        <f>VLOOKUP($A184,'Data shares'!$C:$FA,25)</f>
        <v>0.85</v>
      </c>
    </row>
    <row r="185" spans="1:7" x14ac:dyDescent="0.25">
      <c r="A185" s="101" t="str">
        <f>'Data shares'!C181</f>
        <v>SIEMENS</v>
      </c>
      <c r="B185" s="144">
        <f>VLOOKUP($A185,'Data shares'!$C:$FA,7)</f>
        <v>3091.3</v>
      </c>
      <c r="C185" s="144">
        <f>VLOOKUP($A185,'Data shares'!$C:$FA,3)</f>
        <v>3107.8</v>
      </c>
      <c r="D185" s="144">
        <f>VLOOKUP($A185,'Data shares'!$C:$FA,23)</f>
        <v>16.5</v>
      </c>
      <c r="E185" s="145">
        <f>VLOOKUP($A185,'Data shares'!$C:$FA,26)*100</f>
        <v>0.53</v>
      </c>
      <c r="F185" s="144">
        <f>VLOOKUP($A185,'Data shares'!$C:$FA,24)</f>
        <v>13.9</v>
      </c>
      <c r="G185" s="144">
        <f>VLOOKUP($A185,'Data shares'!$C:$FA,25)</f>
        <v>2.6</v>
      </c>
    </row>
    <row r="186" spans="1:7" x14ac:dyDescent="0.25">
      <c r="A186" s="101" t="str">
        <f>'Data shares'!C182</f>
        <v>SOLARINDS</v>
      </c>
      <c r="B186" s="144">
        <f>VLOOKUP($A186,'Data shares'!$C:$FA,7)</f>
        <v>12166</v>
      </c>
      <c r="C186" s="144">
        <f>VLOOKUP($A186,'Data shares'!$C:$FA,3)</f>
        <v>12220</v>
      </c>
      <c r="D186" s="144">
        <f>VLOOKUP($A186,'Data shares'!$C:$FA,23)</f>
        <v>54</v>
      </c>
      <c r="E186" s="145">
        <f>VLOOKUP($A186,'Data shares'!$C:$FA,26)*100</f>
        <v>0.44</v>
      </c>
      <c r="F186" s="144">
        <f>VLOOKUP($A186,'Data shares'!$C:$FA,24)</f>
        <v>46</v>
      </c>
      <c r="G186" s="144">
        <f>VLOOKUP($A186,'Data shares'!$C:$FA,25)</f>
        <v>8</v>
      </c>
    </row>
    <row r="187" spans="1:7" x14ac:dyDescent="0.25">
      <c r="A187" s="101" t="str">
        <f>'Data shares'!C183</f>
        <v>SONACOMS</v>
      </c>
      <c r="B187" s="144">
        <f>VLOOKUP($A187,'Data shares'!$C:$FA,7)</f>
        <v>474.3</v>
      </c>
      <c r="C187" s="144">
        <f>VLOOKUP($A187,'Data shares'!$C:$FA,3)</f>
        <v>476.85</v>
      </c>
      <c r="D187" s="144">
        <f>VLOOKUP($A187,'Data shares'!$C:$FA,23)</f>
        <v>2.5499999999999998</v>
      </c>
      <c r="E187" s="145">
        <f>VLOOKUP($A187,'Data shares'!$C:$FA,26)*100</f>
        <v>0.54</v>
      </c>
      <c r="F187" s="144">
        <f>VLOOKUP($A187,'Data shares'!$C:$FA,24)</f>
        <v>2.5</v>
      </c>
      <c r="G187" s="144">
        <f>VLOOKUP($A187,'Data shares'!$C:$FA,25)</f>
        <v>0.05</v>
      </c>
    </row>
    <row r="188" spans="1:7" x14ac:dyDescent="0.25">
      <c r="A188" s="101" t="str">
        <f>'Data shares'!C184</f>
        <v>SRF</v>
      </c>
      <c r="B188" s="144">
        <f>VLOOKUP($A188,'Data shares'!$C:$FA,7)</f>
        <v>3057.3</v>
      </c>
      <c r="C188" s="144">
        <f>VLOOKUP($A188,'Data shares'!$C:$FA,3)</f>
        <v>3073.6</v>
      </c>
      <c r="D188" s="144">
        <f>VLOOKUP($A188,'Data shares'!$C:$FA,23)</f>
        <v>16.3</v>
      </c>
      <c r="E188" s="145">
        <f>VLOOKUP($A188,'Data shares'!$C:$FA,26)*100</f>
        <v>0.53</v>
      </c>
      <c r="F188" s="144">
        <f>VLOOKUP($A188,'Data shares'!$C:$FA,24)</f>
        <v>17.100000000000001</v>
      </c>
      <c r="G188" s="144">
        <f>VLOOKUP($A188,'Data shares'!$C:$FA,25)</f>
        <v>-0.8</v>
      </c>
    </row>
    <row r="189" spans="1:7" x14ac:dyDescent="0.25">
      <c r="A189" s="101"/>
      <c r="B189" s="144"/>
      <c r="C189" s="144"/>
      <c r="D189" s="144"/>
      <c r="E189" s="145"/>
      <c r="F189" s="144"/>
      <c r="G189" s="144"/>
    </row>
    <row r="190" spans="1:7" x14ac:dyDescent="0.25">
      <c r="A190" s="101"/>
      <c r="B190" s="144"/>
      <c r="C190" s="144"/>
      <c r="D190" s="144"/>
      <c r="E190" s="145"/>
      <c r="F190" s="144"/>
      <c r="G190" s="144"/>
    </row>
    <row r="191" spans="1:7" x14ac:dyDescent="0.25">
      <c r="A191" s="101"/>
      <c r="B191" s="144"/>
      <c r="C191" s="144"/>
      <c r="D191" s="144"/>
      <c r="E191" s="145"/>
      <c r="F191" s="144"/>
      <c r="G191" s="144"/>
    </row>
    <row r="192" spans="1:7" x14ac:dyDescent="0.25">
      <c r="A192" s="101"/>
      <c r="B192" s="144"/>
      <c r="C192" s="144"/>
      <c r="D192" s="144"/>
      <c r="E192" s="145"/>
      <c r="F192" s="144"/>
      <c r="G192" s="144"/>
    </row>
    <row r="193" spans="1:7" x14ac:dyDescent="0.25">
      <c r="A193" s="101"/>
      <c r="B193" s="144"/>
      <c r="C193" s="144"/>
      <c r="D193" s="144"/>
      <c r="E193" s="145"/>
      <c r="F193" s="144"/>
      <c r="G193" s="144"/>
    </row>
    <row r="194" spans="1:7" x14ac:dyDescent="0.25">
      <c r="A194" s="101"/>
      <c r="B194" s="144"/>
      <c r="C194" s="144"/>
      <c r="D194" s="144"/>
      <c r="E194" s="145"/>
      <c r="F194" s="144"/>
      <c r="G194" s="144"/>
    </row>
    <row r="195" spans="1:7" x14ac:dyDescent="0.25">
      <c r="A195" s="101"/>
      <c r="B195" s="144"/>
      <c r="C195" s="144"/>
      <c r="D195" s="144"/>
      <c r="E195" s="145"/>
      <c r="F195" s="144"/>
      <c r="G195" s="144"/>
    </row>
    <row r="196" spans="1:7" x14ac:dyDescent="0.25">
      <c r="A196" s="101"/>
      <c r="B196" s="144"/>
      <c r="C196" s="144"/>
      <c r="D196" s="144"/>
      <c r="E196" s="145"/>
      <c r="F196" s="144"/>
      <c r="G196" s="144"/>
    </row>
    <row r="197" spans="1:7" x14ac:dyDescent="0.25">
      <c r="A197" s="101"/>
      <c r="B197" s="144"/>
      <c r="C197" s="144"/>
      <c r="D197" s="144"/>
      <c r="E197" s="145"/>
      <c r="F197" s="144"/>
      <c r="G197" s="144"/>
    </row>
    <row r="198" spans="1:7" x14ac:dyDescent="0.25">
      <c r="A198" s="101"/>
      <c r="B198" s="144"/>
      <c r="C198" s="144"/>
      <c r="D198" s="144"/>
      <c r="E198" s="145"/>
      <c r="F198" s="144"/>
      <c r="G198" s="144"/>
    </row>
    <row r="199" spans="1:7" x14ac:dyDescent="0.25">
      <c r="A199" s="101"/>
      <c r="B199" s="144"/>
      <c r="C199" s="144"/>
      <c r="D199" s="144"/>
      <c r="E199" s="145"/>
      <c r="F199" s="144"/>
      <c r="G199" s="144"/>
    </row>
    <row r="200" spans="1:7" x14ac:dyDescent="0.25">
      <c r="A200" s="101"/>
      <c r="B200" s="144"/>
      <c r="C200" s="144"/>
      <c r="D200" s="144"/>
      <c r="E200" s="145"/>
      <c r="F200" s="144"/>
      <c r="G200" s="144"/>
    </row>
    <row r="201" spans="1:7" x14ac:dyDescent="0.25">
      <c r="A201" s="101"/>
      <c r="B201" s="144"/>
      <c r="C201" s="144"/>
      <c r="D201" s="144"/>
      <c r="E201" s="145"/>
      <c r="F201" s="144"/>
      <c r="G201" s="144"/>
    </row>
    <row r="202" spans="1:7" x14ac:dyDescent="0.25">
      <c r="A202" s="101"/>
      <c r="B202" s="144"/>
      <c r="C202" s="144"/>
      <c r="D202" s="144"/>
      <c r="E202" s="145"/>
      <c r="F202" s="144"/>
      <c r="G202" s="144"/>
    </row>
    <row r="203" spans="1:7" x14ac:dyDescent="0.25">
      <c r="A203" s="101"/>
      <c r="B203" s="144"/>
      <c r="C203" s="144"/>
      <c r="D203" s="144"/>
      <c r="E203" s="145"/>
      <c r="F203" s="144"/>
      <c r="G203" s="144"/>
    </row>
    <row r="204" spans="1:7" x14ac:dyDescent="0.25">
      <c r="A204" s="101"/>
      <c r="B204" s="144"/>
      <c r="C204" s="144"/>
      <c r="D204" s="144"/>
      <c r="E204" s="145"/>
      <c r="F204" s="144"/>
      <c r="G204" s="144"/>
    </row>
    <row r="205" spans="1:7" x14ac:dyDescent="0.25">
      <c r="A205" s="101"/>
      <c r="B205" s="144"/>
      <c r="C205" s="144"/>
      <c r="D205" s="144"/>
      <c r="E205" s="145"/>
      <c r="F205" s="144"/>
      <c r="G205" s="144"/>
    </row>
    <row r="206" spans="1:7" x14ac:dyDescent="0.25">
      <c r="A206" s="101">
        <f>'Data shares'!C216</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8"/>
  <sheetViews>
    <sheetView workbookViewId="0">
      <pane ySplit="6" topLeftCell="A19" activePane="bottomLeft" state="frozen"/>
      <selection pane="bottomLeft" activeCell="A33" sqref="A33"/>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2" t="s">
        <v>370</v>
      </c>
      <c r="B3" s="313"/>
      <c r="C3" s="313"/>
      <c r="D3" s="313"/>
      <c r="E3" s="313"/>
      <c r="F3" s="313"/>
      <c r="G3" s="314"/>
    </row>
    <row r="4" spans="1:7" x14ac:dyDescent="0.25">
      <c r="A4" s="316" t="s">
        <v>318</v>
      </c>
      <c r="B4" s="240" t="s">
        <v>371</v>
      </c>
      <c r="C4" s="240"/>
      <c r="D4" s="240"/>
      <c r="E4" s="240"/>
      <c r="F4" s="240"/>
      <c r="G4" s="240"/>
    </row>
    <row r="5" spans="1:7" x14ac:dyDescent="0.25">
      <c r="A5" s="317"/>
      <c r="B5" s="315" t="s">
        <v>372</v>
      </c>
      <c r="C5" s="315"/>
      <c r="D5" s="315"/>
      <c r="E5" s="315" t="s">
        <v>373</v>
      </c>
      <c r="F5" s="315"/>
      <c r="G5" s="315"/>
    </row>
    <row r="6" spans="1:7" x14ac:dyDescent="0.25">
      <c r="A6" s="240"/>
      <c r="B6" s="2" t="s">
        <v>374</v>
      </c>
      <c r="C6" s="2" t="s">
        <v>375</v>
      </c>
      <c r="D6" s="2" t="s">
        <v>376</v>
      </c>
      <c r="E6" s="2" t="s">
        <v>377</v>
      </c>
      <c r="F6" s="2" t="s">
        <v>378</v>
      </c>
      <c r="G6" s="2" t="s">
        <v>379</v>
      </c>
    </row>
    <row r="7" spans="1:7" x14ac:dyDescent="0.25">
      <c r="A7" s="49" t="str">
        <f>'Data shares'!C2</f>
        <v>360ONE</v>
      </c>
      <c r="B7" s="50">
        <f>VLOOKUP($A7,'Data shares'!$C:$FM,102)</f>
        <v>29.65</v>
      </c>
      <c r="C7" s="50">
        <f>VLOOKUP($A7,'Data shares'!$C:$FM,110)</f>
        <v>29.68</v>
      </c>
      <c r="D7" s="50">
        <f>VLOOKUP($A7,'Data shares'!$C:$FM,114)</f>
        <v>29.46</v>
      </c>
      <c r="E7" s="50">
        <f>VLOOKUP($A7,'Data shares'!$C:$FM,106)</f>
        <v>42.71</v>
      </c>
      <c r="F7" s="50">
        <f>VLOOKUP($A7,'Data shares'!$C:$FM,108)</f>
        <v>-13.06</v>
      </c>
      <c r="G7" s="50">
        <f t="shared" ref="G7:G38" si="0">B7/E7</f>
        <v>0.69421681105127597</v>
      </c>
    </row>
    <row r="8" spans="1:7" x14ac:dyDescent="0.25">
      <c r="A8" s="49" t="str">
        <f>'Data shares'!C3</f>
        <v>ABB</v>
      </c>
      <c r="B8" s="50">
        <f>VLOOKUP($A8,'Data shares'!$C:$FM,102)</f>
        <v>19.53</v>
      </c>
      <c r="C8" s="50">
        <f>VLOOKUP($A8,'Data shares'!$C:$FM,110)</f>
        <v>19.46</v>
      </c>
      <c r="D8" s="50">
        <f>VLOOKUP($A8,'Data shares'!$C:$FM,114)</f>
        <v>19.72</v>
      </c>
      <c r="E8" s="50">
        <f>VLOOKUP($A8,'Data shares'!$C:$FM,106)</f>
        <v>33.75</v>
      </c>
      <c r="F8" s="50">
        <f>VLOOKUP($A8,'Data shares'!$C:$FM,108)</f>
        <v>-14.22</v>
      </c>
      <c r="G8" s="50">
        <f t="shared" si="0"/>
        <v>0.57866666666666666</v>
      </c>
    </row>
    <row r="9" spans="1:7" x14ac:dyDescent="0.25">
      <c r="A9" s="49" t="str">
        <f>'Data shares'!C4</f>
        <v>ABCAPITAL</v>
      </c>
      <c r="B9" s="50">
        <f>VLOOKUP($A9,'Data shares'!$C:$FM,102)</f>
        <v>26.78</v>
      </c>
      <c r="C9" s="50">
        <f>VLOOKUP($A9,'Data shares'!$C:$FM,110)</f>
        <v>26.68</v>
      </c>
      <c r="D9" s="50">
        <f>VLOOKUP($A9,'Data shares'!$C:$FM,114)</f>
        <v>27.11</v>
      </c>
      <c r="E9" s="50">
        <f>VLOOKUP($A9,'Data shares'!$C:$FM,106)</f>
        <v>38.25</v>
      </c>
      <c r="F9" s="50">
        <f>VLOOKUP($A9,'Data shares'!$C:$FM,108)</f>
        <v>-11.47</v>
      </c>
      <c r="G9" s="50">
        <f t="shared" si="0"/>
        <v>0.70013071895424839</v>
      </c>
    </row>
    <row r="10" spans="1:7" x14ac:dyDescent="0.25">
      <c r="A10" s="49" t="str">
        <f>'Data shares'!C5</f>
        <v>ADANIENSOL</v>
      </c>
      <c r="B10" s="50">
        <f>VLOOKUP($A10,'Data shares'!$C:$FM,102)</f>
        <v>32.090000000000003</v>
      </c>
      <c r="C10" s="50">
        <f>VLOOKUP($A10,'Data shares'!$C:$FM,110)</f>
        <v>32.06</v>
      </c>
      <c r="D10" s="50">
        <f>VLOOKUP($A10,'Data shares'!$C:$FM,114)</f>
        <v>32.21</v>
      </c>
      <c r="E10" s="50">
        <f>VLOOKUP($A10,'Data shares'!$C:$FM,106)</f>
        <v>51.02</v>
      </c>
      <c r="F10" s="50">
        <f>VLOOKUP($A10,'Data shares'!$C:$FM,108)</f>
        <v>-18.93</v>
      </c>
      <c r="G10" s="50">
        <f t="shared" si="0"/>
        <v>0.62896903175225405</v>
      </c>
    </row>
    <row r="11" spans="1:7" x14ac:dyDescent="0.25">
      <c r="A11" s="49" t="str">
        <f>'Data shares'!C6</f>
        <v>ADANIENT</v>
      </c>
      <c r="B11" s="50">
        <f>VLOOKUP($A11,'Data shares'!$C:$FM,102)</f>
        <v>24.31</v>
      </c>
      <c r="C11" s="50">
        <f>VLOOKUP($A11,'Data shares'!$C:$FM,110)</f>
        <v>24.15</v>
      </c>
      <c r="D11" s="50">
        <f>VLOOKUP($A11,'Data shares'!$C:$FM,114)</f>
        <v>24.83</v>
      </c>
      <c r="E11" s="50">
        <f>VLOOKUP($A11,'Data shares'!$C:$FM,106)</f>
        <v>45.66</v>
      </c>
      <c r="F11" s="50">
        <f>VLOOKUP($A11,'Data shares'!$C:$FM,108)</f>
        <v>-21.35</v>
      </c>
      <c r="G11" s="50">
        <f t="shared" si="0"/>
        <v>0.53241349102058699</v>
      </c>
    </row>
    <row r="12" spans="1:7" x14ac:dyDescent="0.25">
      <c r="A12" s="49" t="str">
        <f>'Data shares'!C7</f>
        <v>ADANIGREEN</v>
      </c>
      <c r="B12" s="50">
        <f>VLOOKUP($A12,'Data shares'!$C:$FM,102)</f>
        <v>31.86</v>
      </c>
      <c r="C12" s="50">
        <f>VLOOKUP($A12,'Data shares'!$C:$FM,110)</f>
        <v>31.91</v>
      </c>
      <c r="D12" s="50">
        <f>VLOOKUP($A12,'Data shares'!$C:$FM,114)</f>
        <v>31.56</v>
      </c>
      <c r="E12" s="50">
        <f>VLOOKUP($A12,'Data shares'!$C:$FM,106)</f>
        <v>54.49</v>
      </c>
      <c r="F12" s="50">
        <f>VLOOKUP($A12,'Data shares'!$C:$FM,108)</f>
        <v>-22.63</v>
      </c>
      <c r="G12" s="50">
        <f t="shared" si="0"/>
        <v>0.58469443934666909</v>
      </c>
    </row>
    <row r="13" spans="1:7" x14ac:dyDescent="0.25">
      <c r="A13" s="49" t="str">
        <f>'Data shares'!C8</f>
        <v>ADANIPORTS</v>
      </c>
      <c r="B13" s="50">
        <f>VLOOKUP($A13,'Data shares'!$C:$FM,102)</f>
        <v>19.989999999999998</v>
      </c>
      <c r="C13" s="50">
        <f>VLOOKUP($A13,'Data shares'!$C:$FM,110)</f>
        <v>20.05</v>
      </c>
      <c r="D13" s="50">
        <f>VLOOKUP($A13,'Data shares'!$C:$FM,114)</f>
        <v>19.84</v>
      </c>
      <c r="E13" s="50">
        <f>VLOOKUP($A13,'Data shares'!$C:$FM,106)</f>
        <v>35.42</v>
      </c>
      <c r="F13" s="50">
        <f>VLOOKUP($A13,'Data shares'!$C:$FM,108)</f>
        <v>-15.43</v>
      </c>
      <c r="G13" s="50">
        <f t="shared" si="0"/>
        <v>0.56437041219649908</v>
      </c>
    </row>
    <row r="14" spans="1:7" x14ac:dyDescent="0.25">
      <c r="A14" s="49" t="str">
        <f>'Data shares'!C9</f>
        <v>ALKEM</v>
      </c>
      <c r="B14" s="50">
        <f>VLOOKUP($A14,'Data shares'!$C:$FM,102)</f>
        <v>19.600000000000001</v>
      </c>
      <c r="C14" s="50">
        <f>VLOOKUP($A14,'Data shares'!$C:$FM,110)</f>
        <v>19.09</v>
      </c>
      <c r="D14" s="50">
        <f>VLOOKUP($A14,'Data shares'!$C:$FM,114)</f>
        <v>19.84</v>
      </c>
      <c r="E14" s="50">
        <f>VLOOKUP($A14,'Data shares'!$C:$FM,106)</f>
        <v>25.67</v>
      </c>
      <c r="F14" s="50">
        <f>VLOOKUP($A14,'Data shares'!$C:$FM,108)</f>
        <v>-6.07</v>
      </c>
      <c r="G14" s="50">
        <f t="shared" si="0"/>
        <v>0.76353720296065442</v>
      </c>
    </row>
    <row r="15" spans="1:7" x14ac:dyDescent="0.25">
      <c r="A15" s="49" t="str">
        <f>'Data shares'!C10</f>
        <v>AMBER</v>
      </c>
      <c r="B15" s="50">
        <f>VLOOKUP($A15,'Data shares'!$C:$FM,102)</f>
        <v>30.3</v>
      </c>
      <c r="C15" s="50">
        <f>VLOOKUP($A15,'Data shares'!$C:$FM,110)</f>
        <v>29.75</v>
      </c>
      <c r="D15" s="50">
        <f>VLOOKUP($A15,'Data shares'!$C:$FM,114)</f>
        <v>31.44</v>
      </c>
      <c r="E15" s="50">
        <f>VLOOKUP($A15,'Data shares'!$C:$FM,106)</f>
        <v>51.68</v>
      </c>
      <c r="F15" s="50">
        <f>VLOOKUP($A15,'Data shares'!$C:$FM,108)</f>
        <v>-21.38</v>
      </c>
      <c r="G15" s="50">
        <f t="shared" si="0"/>
        <v>0.58630030959752322</v>
      </c>
    </row>
    <row r="16" spans="1:7" x14ac:dyDescent="0.25">
      <c r="A16" s="49" t="str">
        <f>'Data shares'!C11</f>
        <v>AMBUJACEM</v>
      </c>
      <c r="B16" s="50">
        <f>VLOOKUP($A16,'Data shares'!$C:$FM,102)</f>
        <v>19.07</v>
      </c>
      <c r="C16" s="50">
        <f>VLOOKUP($A16,'Data shares'!$C:$FM,110)</f>
        <v>19.04</v>
      </c>
      <c r="D16" s="50">
        <f>VLOOKUP($A16,'Data shares'!$C:$FM,114)</f>
        <v>19.14</v>
      </c>
      <c r="E16" s="50">
        <f>VLOOKUP($A16,'Data shares'!$C:$FM,106)</f>
        <v>31.14</v>
      </c>
      <c r="F16" s="50">
        <f>VLOOKUP($A16,'Data shares'!$C:$FM,108)</f>
        <v>-12.07</v>
      </c>
      <c r="G16" s="50">
        <f t="shared" si="0"/>
        <v>0.61239563262684649</v>
      </c>
    </row>
    <row r="17" spans="1:7" x14ac:dyDescent="0.25">
      <c r="A17" s="49" t="str">
        <f>'Data shares'!C12</f>
        <v>ANGELONE</v>
      </c>
      <c r="B17" s="50">
        <f>VLOOKUP($A17,'Data shares'!$C:$FM,102)</f>
        <v>37.72</v>
      </c>
      <c r="C17" s="50">
        <f>VLOOKUP($A17,'Data shares'!$C:$FM,110)</f>
        <v>37.28</v>
      </c>
      <c r="D17" s="50">
        <f>VLOOKUP($A17,'Data shares'!$C:$FM,114)</f>
        <v>38.549999999999997</v>
      </c>
      <c r="E17" s="50">
        <f>VLOOKUP($A17,'Data shares'!$C:$FM,106)</f>
        <v>52.05</v>
      </c>
      <c r="F17" s="50">
        <f>VLOOKUP($A17,'Data shares'!$C:$FM,108)</f>
        <v>-14.33</v>
      </c>
      <c r="G17" s="50">
        <f t="shared" si="0"/>
        <v>0.72468780019212298</v>
      </c>
    </row>
    <row r="18" spans="1:7" x14ac:dyDescent="0.25">
      <c r="A18" s="49" t="str">
        <f>'Data shares'!C13</f>
        <v>APLAPOLLO</v>
      </c>
      <c r="B18" s="50">
        <f>VLOOKUP($A18,'Data shares'!$C:$FM,102)</f>
        <v>23.45</v>
      </c>
      <c r="C18" s="50">
        <f>VLOOKUP($A18,'Data shares'!$C:$FM,110)</f>
        <v>23.32</v>
      </c>
      <c r="D18" s="50">
        <f>VLOOKUP($A18,'Data shares'!$C:$FM,114)</f>
        <v>23.88</v>
      </c>
      <c r="E18" s="50">
        <f>VLOOKUP($A18,'Data shares'!$C:$FM,106)</f>
        <v>32.119999999999997</v>
      </c>
      <c r="F18" s="50">
        <f>VLOOKUP($A18,'Data shares'!$C:$FM,108)</f>
        <v>-8.67</v>
      </c>
      <c r="G18" s="50">
        <f t="shared" si="0"/>
        <v>0.73007471980074723</v>
      </c>
    </row>
    <row r="19" spans="1:7" x14ac:dyDescent="0.25">
      <c r="A19" s="49" t="str">
        <f>'Data shares'!C14</f>
        <v>APOLLOHOSP</v>
      </c>
      <c r="B19" s="50">
        <f>VLOOKUP($A19,'Data shares'!$C:$FM,102)</f>
        <v>15.94</v>
      </c>
      <c r="C19" s="50">
        <f>VLOOKUP($A19,'Data shares'!$C:$FM,110)</f>
        <v>15.56</v>
      </c>
      <c r="D19" s="50">
        <f>VLOOKUP($A19,'Data shares'!$C:$FM,114)</f>
        <v>16.61</v>
      </c>
      <c r="E19" s="50">
        <f>VLOOKUP($A19,'Data shares'!$C:$FM,106)</f>
        <v>24.66</v>
      </c>
      <c r="F19" s="50">
        <f>VLOOKUP($A19,'Data shares'!$C:$FM,108)</f>
        <v>-8.7200000000000006</v>
      </c>
      <c r="G19" s="50">
        <f t="shared" si="0"/>
        <v>0.64639091646390912</v>
      </c>
    </row>
    <row r="20" spans="1:7" x14ac:dyDescent="0.25">
      <c r="A20" s="49" t="str">
        <f>'Data shares'!C15</f>
        <v>ASHOKLEY</v>
      </c>
      <c r="B20" s="50">
        <f>VLOOKUP($A20,'Data shares'!$C:$FM,102)</f>
        <v>26.41</v>
      </c>
      <c r="C20" s="50">
        <f>VLOOKUP($A20,'Data shares'!$C:$FM,110)</f>
        <v>26.36</v>
      </c>
      <c r="D20" s="50">
        <f>VLOOKUP($A20,'Data shares'!$C:$FM,114)</f>
        <v>26.62</v>
      </c>
      <c r="E20" s="50">
        <f>VLOOKUP($A20,'Data shares'!$C:$FM,106)</f>
        <v>35.06</v>
      </c>
      <c r="F20" s="50">
        <f>VLOOKUP($A20,'Data shares'!$C:$FM,108)</f>
        <v>-8.65</v>
      </c>
      <c r="G20" s="50">
        <f t="shared" si="0"/>
        <v>0.75328009127210493</v>
      </c>
    </row>
    <row r="21" spans="1:7" x14ac:dyDescent="0.25">
      <c r="A21" s="49" t="str">
        <f>'Data shares'!C16</f>
        <v>ASIANPAINT</v>
      </c>
      <c r="B21" s="50">
        <f>VLOOKUP($A21,'Data shares'!$C:$FM,102)</f>
        <v>18.87</v>
      </c>
      <c r="C21" s="50">
        <f>VLOOKUP($A21,'Data shares'!$C:$FM,110)</f>
        <v>18.600000000000001</v>
      </c>
      <c r="D21" s="50">
        <f>VLOOKUP($A21,'Data shares'!$C:$FM,114)</f>
        <v>19.309999999999999</v>
      </c>
      <c r="E21" s="50">
        <f>VLOOKUP($A21,'Data shares'!$C:$FM,106)</f>
        <v>24.85</v>
      </c>
      <c r="F21" s="50">
        <f>VLOOKUP($A21,'Data shares'!$C:$FM,108)</f>
        <v>-5.98</v>
      </c>
      <c r="G21" s="50">
        <f t="shared" si="0"/>
        <v>0.75935613682092551</v>
      </c>
    </row>
    <row r="22" spans="1:7" x14ac:dyDescent="0.25">
      <c r="A22" s="49" t="str">
        <f>'Data shares'!C17</f>
        <v>ASTRAL</v>
      </c>
      <c r="B22" s="50">
        <f>VLOOKUP($A22,'Data shares'!$C:$FM,102)</f>
        <v>23.84</v>
      </c>
      <c r="C22" s="50">
        <f>VLOOKUP($A22,'Data shares'!$C:$FM,110)</f>
        <v>23.51</v>
      </c>
      <c r="D22" s="50">
        <f>VLOOKUP($A22,'Data shares'!$C:$FM,114)</f>
        <v>24.64</v>
      </c>
      <c r="E22" s="50">
        <f>VLOOKUP($A22,'Data shares'!$C:$FM,106)</f>
        <v>33.61</v>
      </c>
      <c r="F22" s="50">
        <f>VLOOKUP($A22,'Data shares'!$C:$FM,108)</f>
        <v>-9.77</v>
      </c>
      <c r="G22" s="50">
        <f t="shared" si="0"/>
        <v>0.70931270455221662</v>
      </c>
    </row>
    <row r="23" spans="1:7" x14ac:dyDescent="0.25">
      <c r="A23" s="49" t="str">
        <f>'Data shares'!C18</f>
        <v>AUBANK</v>
      </c>
      <c r="B23" s="50">
        <f>VLOOKUP($A23,'Data shares'!$C:$FM,102)</f>
        <v>25.97</v>
      </c>
      <c r="C23" s="50">
        <f>VLOOKUP($A23,'Data shares'!$C:$FM,110)</f>
        <v>25.76</v>
      </c>
      <c r="D23" s="50">
        <f>VLOOKUP($A23,'Data shares'!$C:$FM,114)</f>
        <v>26.4</v>
      </c>
      <c r="E23" s="50">
        <f>VLOOKUP($A23,'Data shares'!$C:$FM,106)</f>
        <v>34.9</v>
      </c>
      <c r="F23" s="50">
        <f>VLOOKUP($A23,'Data shares'!$C:$FM,108)</f>
        <v>-8.93</v>
      </c>
      <c r="G23" s="50">
        <f t="shared" si="0"/>
        <v>0.74412607449856738</v>
      </c>
    </row>
    <row r="24" spans="1:7" x14ac:dyDescent="0.25">
      <c r="A24" s="49" t="str">
        <f>'Data shares'!C19</f>
        <v>AUROPHARMA</v>
      </c>
      <c r="B24" s="50">
        <f>VLOOKUP($A24,'Data shares'!$C:$FM,102)</f>
        <v>24.15</v>
      </c>
      <c r="C24" s="50">
        <f>VLOOKUP($A24,'Data shares'!$C:$FM,110)</f>
        <v>24.16</v>
      </c>
      <c r="D24" s="50">
        <f>VLOOKUP($A24,'Data shares'!$C:$FM,114)</f>
        <v>24.12</v>
      </c>
      <c r="E24" s="50">
        <f>VLOOKUP($A24,'Data shares'!$C:$FM,106)</f>
        <v>32.51</v>
      </c>
      <c r="F24" s="50">
        <f>VLOOKUP($A24,'Data shares'!$C:$FM,108)</f>
        <v>-8.36</v>
      </c>
      <c r="G24" s="50">
        <f t="shared" si="0"/>
        <v>0.74284835435250696</v>
      </c>
    </row>
    <row r="25" spans="1:7" x14ac:dyDescent="0.25">
      <c r="A25" s="49" t="str">
        <f>'Data shares'!C20</f>
        <v>AXISBANK</v>
      </c>
      <c r="B25" s="50">
        <f>VLOOKUP($A25,'Data shares'!$C:$FM,102)</f>
        <v>18.77</v>
      </c>
      <c r="C25" s="50">
        <f>VLOOKUP($A25,'Data shares'!$C:$FM,110)</f>
        <v>18.36</v>
      </c>
      <c r="D25" s="50">
        <f>VLOOKUP($A25,'Data shares'!$C:$FM,114)</f>
        <v>19.28</v>
      </c>
      <c r="E25" s="50">
        <f>VLOOKUP($A25,'Data shares'!$C:$FM,106)</f>
        <v>25.76</v>
      </c>
      <c r="F25" s="50">
        <f>VLOOKUP($A25,'Data shares'!$C:$FM,108)</f>
        <v>-6.99</v>
      </c>
      <c r="G25" s="50">
        <f t="shared" si="0"/>
        <v>0.72864906832298126</v>
      </c>
    </row>
    <row r="26" spans="1:7" x14ac:dyDescent="0.25">
      <c r="A26" s="49" t="str">
        <f>'Data shares'!C21</f>
        <v>BAJAJ-AUTO</v>
      </c>
      <c r="B26" s="50">
        <f>VLOOKUP($A26,'Data shares'!$C:$FM,102)</f>
        <v>21.91</v>
      </c>
      <c r="C26" s="50">
        <f>VLOOKUP($A26,'Data shares'!$C:$FM,110)</f>
        <v>21.49</v>
      </c>
      <c r="D26" s="50">
        <f>VLOOKUP($A26,'Data shares'!$C:$FM,114)</f>
        <v>23.05</v>
      </c>
      <c r="E26" s="50">
        <f>VLOOKUP($A26,'Data shares'!$C:$FM,106)</f>
        <v>28.2</v>
      </c>
      <c r="F26" s="50">
        <f>VLOOKUP($A26,'Data shares'!$C:$FM,108)</f>
        <v>-6.29</v>
      </c>
      <c r="G26" s="50">
        <f t="shared" si="0"/>
        <v>0.77695035460992912</v>
      </c>
    </row>
    <row r="27" spans="1:7" x14ac:dyDescent="0.25">
      <c r="A27" s="49" t="str">
        <f>'Data shares'!C22</f>
        <v>BAJAJFINSV</v>
      </c>
      <c r="B27" s="50">
        <f>VLOOKUP($A27,'Data shares'!$C:$FM,102)</f>
        <v>20.16</v>
      </c>
      <c r="C27" s="50">
        <f>VLOOKUP($A27,'Data shares'!$C:$FM,110)</f>
        <v>19.68</v>
      </c>
      <c r="D27" s="50">
        <f>VLOOKUP($A27,'Data shares'!$C:$FM,114)</f>
        <v>21.01</v>
      </c>
      <c r="E27" s="50">
        <f>VLOOKUP($A27,'Data shares'!$C:$FM,106)</f>
        <v>28.13</v>
      </c>
      <c r="F27" s="50">
        <f>VLOOKUP($A27,'Data shares'!$C:$FM,108)</f>
        <v>-7.97</v>
      </c>
      <c r="G27" s="50">
        <f t="shared" si="0"/>
        <v>0.71667259153928198</v>
      </c>
    </row>
    <row r="28" spans="1:7" x14ac:dyDescent="0.25">
      <c r="A28" s="49" t="str">
        <f>'Data shares'!C23</f>
        <v>BAJAJHLDNG</v>
      </c>
      <c r="B28" s="50">
        <f>VLOOKUP($A28,'Data shares'!$C:$FM,102)</f>
        <v>26.8</v>
      </c>
      <c r="C28" s="50">
        <f>VLOOKUP($A28,'Data shares'!$C:$FM,110)</f>
        <v>26.7</v>
      </c>
      <c r="D28" s="50">
        <f>VLOOKUP($A28,'Data shares'!$C:$FM,114)</f>
        <v>27.33</v>
      </c>
      <c r="E28" s="50">
        <f>VLOOKUP($A28,'Data shares'!$C:$FM,106)</f>
        <v>39.44</v>
      </c>
      <c r="F28" s="50">
        <f>VLOOKUP($A28,'Data shares'!$C:$FM,108)</f>
        <v>-12.64</v>
      </c>
      <c r="G28" s="50">
        <f t="shared" si="0"/>
        <v>0.67951318458417853</v>
      </c>
    </row>
    <row r="29" spans="1:7" x14ac:dyDescent="0.25">
      <c r="A29" s="49" t="str">
        <f>'Data shares'!C24</f>
        <v>BAJFINANCE</v>
      </c>
      <c r="B29" s="50">
        <f>VLOOKUP($A29,'Data shares'!$C:$FM,102)</f>
        <v>24.9</v>
      </c>
      <c r="C29" s="50">
        <f>VLOOKUP($A29,'Data shares'!$C:$FM,110)</f>
        <v>24.98</v>
      </c>
      <c r="D29" s="50">
        <f>VLOOKUP($A29,'Data shares'!$C:$FM,114)</f>
        <v>24.78</v>
      </c>
      <c r="E29" s="50">
        <f>VLOOKUP($A29,'Data shares'!$C:$FM,106)</f>
        <v>30.96</v>
      </c>
      <c r="F29" s="50">
        <f>VLOOKUP($A29,'Data shares'!$C:$FM,108)</f>
        <v>-6.06</v>
      </c>
      <c r="G29" s="50">
        <f t="shared" si="0"/>
        <v>0.80426356589147285</v>
      </c>
    </row>
    <row r="30" spans="1:7" x14ac:dyDescent="0.25">
      <c r="A30" s="49" t="str">
        <f>'Data shares'!C25</f>
        <v>BANDHANBNK</v>
      </c>
      <c r="B30" s="50">
        <f>VLOOKUP($A30,'Data shares'!$C:$FM,102)</f>
        <v>30.28</v>
      </c>
      <c r="C30" s="50">
        <f>VLOOKUP($A30,'Data shares'!$C:$FM,110)</f>
        <v>30.28</v>
      </c>
      <c r="D30" s="50">
        <f>VLOOKUP($A30,'Data shares'!$C:$FM,114)</f>
        <v>30.28</v>
      </c>
      <c r="E30" s="50">
        <f>VLOOKUP($A30,'Data shares'!$C:$FM,106)</f>
        <v>41.52</v>
      </c>
      <c r="F30" s="50">
        <f>VLOOKUP($A30,'Data shares'!$C:$FM,108)</f>
        <v>-11.24</v>
      </c>
      <c r="G30" s="50">
        <f t="shared" si="0"/>
        <v>0.72928709055876684</v>
      </c>
    </row>
    <row r="31" spans="1:7" x14ac:dyDescent="0.25">
      <c r="A31" s="49" t="str">
        <f>'Data shares'!C26</f>
        <v>BANKBARODA</v>
      </c>
      <c r="B31" s="50">
        <f>VLOOKUP($A31,'Data shares'!$C:$FM,102)</f>
        <v>23.01</v>
      </c>
      <c r="C31" s="50">
        <f>VLOOKUP($A31,'Data shares'!$C:$FM,110)</f>
        <v>22.71</v>
      </c>
      <c r="D31" s="50">
        <f>VLOOKUP($A31,'Data shares'!$C:$FM,114)</f>
        <v>23.64</v>
      </c>
      <c r="E31" s="50">
        <f>VLOOKUP($A31,'Data shares'!$C:$FM,106)</f>
        <v>33.479999999999997</v>
      </c>
      <c r="F31" s="50">
        <f>VLOOKUP($A31,'Data shares'!$C:$FM,108)</f>
        <v>-10.47</v>
      </c>
      <c r="G31" s="50">
        <f t="shared" si="0"/>
        <v>0.68727598566308257</v>
      </c>
    </row>
    <row r="32" spans="1:7" x14ac:dyDescent="0.25">
      <c r="A32" s="49" t="str">
        <f>'Data shares'!C27</f>
        <v>BANKINDIA</v>
      </c>
      <c r="B32" s="50">
        <f>VLOOKUP($A32,'Data shares'!$C:$FM,102)</f>
        <v>26.54</v>
      </c>
      <c r="C32" s="50">
        <f>VLOOKUP($A32,'Data shares'!$C:$FM,110)</f>
        <v>26.15</v>
      </c>
      <c r="D32" s="50">
        <f>VLOOKUP($A32,'Data shares'!$C:$FM,114)</f>
        <v>27.24</v>
      </c>
      <c r="E32" s="50">
        <f>VLOOKUP($A32,'Data shares'!$C:$FM,106)</f>
        <v>37.979999999999997</v>
      </c>
      <c r="F32" s="50">
        <f>VLOOKUP($A32,'Data shares'!$C:$FM,108)</f>
        <v>-11.44</v>
      </c>
      <c r="G32" s="50">
        <f t="shared" si="0"/>
        <v>0.69878883622959453</v>
      </c>
    </row>
    <row r="33" spans="1:7" x14ac:dyDescent="0.25">
      <c r="A33" s="49" t="str">
        <f>'Data shares'!C28</f>
        <v>BANKNIFTY</v>
      </c>
      <c r="B33" s="50">
        <f>VLOOKUP($A33,'Data shares'!$C:$FM,102)</f>
        <v>10.07</v>
      </c>
      <c r="C33" s="50">
        <f>VLOOKUP($A33,'Data shares'!$C:$FM,110)</f>
        <v>9.6300000000000008</v>
      </c>
      <c r="D33" s="50">
        <f>VLOOKUP($A33,'Data shares'!$C:$FM,114)</f>
        <v>10.55</v>
      </c>
      <c r="E33" s="50">
        <f>VLOOKUP($A33,'Data shares'!$C:$FM,106)</f>
        <v>15.68</v>
      </c>
      <c r="F33" s="50">
        <f>VLOOKUP($A33,'Data shares'!$C:$FM,108)</f>
        <v>-5.61</v>
      </c>
      <c r="G33" s="50">
        <f t="shared" si="0"/>
        <v>0.64221938775510212</v>
      </c>
    </row>
    <row r="34" spans="1:7" x14ac:dyDescent="0.25">
      <c r="A34" s="49" t="str">
        <f>'Data shares'!C29</f>
        <v>BDL</v>
      </c>
      <c r="B34" s="50">
        <f>VLOOKUP($A34,'Data shares'!$C:$FM,102)</f>
        <v>31.5</v>
      </c>
      <c r="C34" s="50">
        <f>VLOOKUP($A34,'Data shares'!$C:$FM,110)</f>
        <v>31.33</v>
      </c>
      <c r="D34" s="50">
        <f>VLOOKUP($A34,'Data shares'!$C:$FM,114)</f>
        <v>31.81</v>
      </c>
      <c r="E34" s="50">
        <f>VLOOKUP($A34,'Data shares'!$C:$FM,106)</f>
        <v>50.74</v>
      </c>
      <c r="F34" s="50">
        <f>VLOOKUP($A34,'Data shares'!$C:$FM,108)</f>
        <v>-19.239999999999998</v>
      </c>
      <c r="G34" s="50">
        <f t="shared" si="0"/>
        <v>0.62081198265668114</v>
      </c>
    </row>
    <row r="35" spans="1:7" x14ac:dyDescent="0.25">
      <c r="A35" s="49" t="str">
        <f>'Data shares'!C30</f>
        <v>BEL</v>
      </c>
      <c r="B35" s="50">
        <f>VLOOKUP($A35,'Data shares'!$C:$FM,102)</f>
        <v>23.61</v>
      </c>
      <c r="C35" s="50">
        <f>VLOOKUP($A35,'Data shares'!$C:$FM,110)</f>
        <v>23.64</v>
      </c>
      <c r="D35" s="50">
        <f>VLOOKUP($A35,'Data shares'!$C:$FM,114)</f>
        <v>23.52</v>
      </c>
      <c r="E35" s="50">
        <f>VLOOKUP($A35,'Data shares'!$C:$FM,106)</f>
        <v>35.6</v>
      </c>
      <c r="F35" s="50">
        <f>VLOOKUP($A35,'Data shares'!$C:$FM,108)</f>
        <v>-11.99</v>
      </c>
      <c r="G35" s="50">
        <f t="shared" si="0"/>
        <v>0.66320224719101117</v>
      </c>
    </row>
    <row r="36" spans="1:7" x14ac:dyDescent="0.25">
      <c r="A36" s="49" t="str">
        <f>'Data shares'!C31</f>
        <v>BHARATFORG</v>
      </c>
      <c r="B36" s="50">
        <f>VLOOKUP($A36,'Data shares'!$C:$FM,102)</f>
        <v>23.8</v>
      </c>
      <c r="C36" s="50">
        <f>VLOOKUP($A36,'Data shares'!$C:$FM,110)</f>
        <v>23.85</v>
      </c>
      <c r="D36" s="50">
        <f>VLOOKUP($A36,'Data shares'!$C:$FM,114)</f>
        <v>23.7</v>
      </c>
      <c r="E36" s="50">
        <f>VLOOKUP($A36,'Data shares'!$C:$FM,106)</f>
        <v>36.43</v>
      </c>
      <c r="F36" s="50">
        <f>VLOOKUP($A36,'Data shares'!$C:$FM,108)</f>
        <v>-12.63</v>
      </c>
      <c r="G36" s="50">
        <f t="shared" si="0"/>
        <v>0.65330771342300309</v>
      </c>
    </row>
    <row r="37" spans="1:7" x14ac:dyDescent="0.25">
      <c r="A37" s="49" t="str">
        <f>'Data shares'!C32</f>
        <v>BHARTIARTL</v>
      </c>
      <c r="B37" s="50">
        <f>VLOOKUP($A37,'Data shares'!$C:$FM,102)</f>
        <v>14.43</v>
      </c>
      <c r="C37" s="50">
        <f>VLOOKUP($A37,'Data shares'!$C:$FM,110)</f>
        <v>14.28</v>
      </c>
      <c r="D37" s="50">
        <f>VLOOKUP($A37,'Data shares'!$C:$FM,114)</f>
        <v>14.74</v>
      </c>
      <c r="E37" s="50">
        <f>VLOOKUP($A37,'Data shares'!$C:$FM,106)</f>
        <v>24.37</v>
      </c>
      <c r="F37" s="50">
        <f>VLOOKUP($A37,'Data shares'!$C:$FM,108)</f>
        <v>-9.94</v>
      </c>
      <c r="G37" s="50">
        <f t="shared" si="0"/>
        <v>0.5921214608124743</v>
      </c>
    </row>
    <row r="38" spans="1:7" x14ac:dyDescent="0.25">
      <c r="A38" s="49" t="str">
        <f>'Data shares'!C33</f>
        <v>BHEL</v>
      </c>
      <c r="B38" s="50">
        <f>VLOOKUP($A38,'Data shares'!$C:$FM,102)</f>
        <v>30.42</v>
      </c>
      <c r="C38" s="50">
        <f>VLOOKUP($A38,'Data shares'!$C:$FM,110)</f>
        <v>30.35</v>
      </c>
      <c r="D38" s="50">
        <f>VLOOKUP($A38,'Data shares'!$C:$FM,114)</f>
        <v>30.67</v>
      </c>
      <c r="E38" s="50">
        <f>VLOOKUP($A38,'Data shares'!$C:$FM,106)</f>
        <v>43.56</v>
      </c>
      <c r="F38" s="50">
        <f>VLOOKUP($A38,'Data shares'!$C:$FM,108)</f>
        <v>-13.14</v>
      </c>
      <c r="G38" s="50">
        <f t="shared" si="0"/>
        <v>0.69834710743801653</v>
      </c>
    </row>
    <row r="39" spans="1:7" x14ac:dyDescent="0.25">
      <c r="A39" s="49" t="str">
        <f>'Data shares'!C34</f>
        <v>BIOCON</v>
      </c>
      <c r="B39" s="50">
        <f>VLOOKUP($A39,'Data shares'!$C:$FM,102)</f>
        <v>24.89</v>
      </c>
      <c r="C39" s="50">
        <f>VLOOKUP($A39,'Data shares'!$C:$FM,110)</f>
        <v>24.92</v>
      </c>
      <c r="D39" s="50">
        <f>VLOOKUP($A39,'Data shares'!$C:$FM,114)</f>
        <v>24.85</v>
      </c>
      <c r="E39" s="50">
        <f>VLOOKUP($A39,'Data shares'!$C:$FM,106)</f>
        <v>37.86</v>
      </c>
      <c r="F39" s="50">
        <f>VLOOKUP($A39,'Data shares'!$C:$FM,108)</f>
        <v>-12.97</v>
      </c>
      <c r="G39" s="50">
        <f t="shared" ref="G39:G70" si="1">B39/E39</f>
        <v>0.65742208135235081</v>
      </c>
    </row>
    <row r="40" spans="1:7" x14ac:dyDescent="0.25">
      <c r="A40" s="49" t="str">
        <f>'Data shares'!C35</f>
        <v>BLUESTARCO</v>
      </c>
      <c r="B40" s="50">
        <f>VLOOKUP($A40,'Data shares'!$C:$FM,102)</f>
        <v>24.06</v>
      </c>
      <c r="C40" s="50">
        <f>VLOOKUP($A40,'Data shares'!$C:$FM,110)</f>
        <v>24.14</v>
      </c>
      <c r="D40" s="50">
        <f>VLOOKUP($A40,'Data shares'!$C:$FM,114)</f>
        <v>23.82</v>
      </c>
      <c r="E40" s="50">
        <f>VLOOKUP($A40,'Data shares'!$C:$FM,106)</f>
        <v>39.619999999999997</v>
      </c>
      <c r="F40" s="50">
        <f>VLOOKUP($A40,'Data shares'!$C:$FM,108)</f>
        <v>-15.56</v>
      </c>
      <c r="G40" s="50">
        <f t="shared" si="1"/>
        <v>0.60726905603230696</v>
      </c>
    </row>
    <row r="41" spans="1:7" x14ac:dyDescent="0.25">
      <c r="A41" s="49" t="str">
        <f>'Data shares'!C36</f>
        <v>BOSCHLTD</v>
      </c>
      <c r="B41" s="50">
        <f>VLOOKUP($A41,'Data shares'!$C:$FM,102)</f>
        <v>17</v>
      </c>
      <c r="C41" s="50">
        <f>VLOOKUP($A41,'Data shares'!$C:$FM,110)</f>
        <v>16.66</v>
      </c>
      <c r="D41" s="50">
        <f>VLOOKUP($A41,'Data shares'!$C:$FM,114)</f>
        <v>17.21</v>
      </c>
      <c r="E41" s="50">
        <f>VLOOKUP($A41,'Data shares'!$C:$FM,106)</f>
        <v>27.03</v>
      </c>
      <c r="F41" s="50">
        <f>VLOOKUP($A41,'Data shares'!$C:$FM,108)</f>
        <v>-10.029999999999999</v>
      </c>
      <c r="G41" s="50">
        <f t="shared" si="1"/>
        <v>0.62893081761006286</v>
      </c>
    </row>
    <row r="42" spans="1:7" x14ac:dyDescent="0.25">
      <c r="A42" s="49" t="str">
        <f>'Data shares'!C37</f>
        <v>BPCL</v>
      </c>
      <c r="B42" s="50">
        <f>VLOOKUP($A42,'Data shares'!$C:$FM,102)</f>
        <v>24.92</v>
      </c>
      <c r="C42" s="50">
        <f>VLOOKUP($A42,'Data shares'!$C:$FM,110)</f>
        <v>24.79</v>
      </c>
      <c r="D42" s="50">
        <f>VLOOKUP($A42,'Data shares'!$C:$FM,114)</f>
        <v>25.2</v>
      </c>
      <c r="E42" s="50">
        <f>VLOOKUP($A42,'Data shares'!$C:$FM,106)</f>
        <v>32.340000000000003</v>
      </c>
      <c r="F42" s="50">
        <f>VLOOKUP($A42,'Data shares'!$C:$FM,108)</f>
        <v>-7.42</v>
      </c>
      <c r="G42" s="50">
        <f t="shared" si="1"/>
        <v>0.77056277056277056</v>
      </c>
    </row>
    <row r="43" spans="1:7" x14ac:dyDescent="0.25">
      <c r="A43" s="49" t="str">
        <f>'Data shares'!C38</f>
        <v>BRITANNIA</v>
      </c>
      <c r="B43" s="50">
        <f>VLOOKUP($A43,'Data shares'!$C:$FM,102)</f>
        <v>17.440000000000001</v>
      </c>
      <c r="C43" s="50">
        <f>VLOOKUP($A43,'Data shares'!$C:$FM,110)</f>
        <v>17.18</v>
      </c>
      <c r="D43" s="50">
        <f>VLOOKUP($A43,'Data shares'!$C:$FM,114)</f>
        <v>18.010000000000002</v>
      </c>
      <c r="E43" s="50">
        <f>VLOOKUP($A43,'Data shares'!$C:$FM,106)</f>
        <v>23.67</v>
      </c>
      <c r="F43" s="50">
        <f>VLOOKUP($A43,'Data shares'!$C:$FM,108)</f>
        <v>-6.23</v>
      </c>
      <c r="G43" s="50">
        <f t="shared" si="1"/>
        <v>0.73679763413603716</v>
      </c>
    </row>
    <row r="44" spans="1:7" x14ac:dyDescent="0.25">
      <c r="A44" s="49" t="str">
        <f>'Data shares'!C39</f>
        <v>BSE</v>
      </c>
      <c r="B44" s="50">
        <f>VLOOKUP($A44,'Data shares'!$C:$FM,102)</f>
        <v>37.119999999999997</v>
      </c>
      <c r="C44" s="50">
        <f>VLOOKUP($A44,'Data shares'!$C:$FM,110)</f>
        <v>36.909999999999997</v>
      </c>
      <c r="D44" s="50">
        <f>VLOOKUP($A44,'Data shares'!$C:$FM,114)</f>
        <v>37.450000000000003</v>
      </c>
      <c r="E44" s="50">
        <f>VLOOKUP($A44,'Data shares'!$C:$FM,106)</f>
        <v>59.59</v>
      </c>
      <c r="F44" s="50">
        <f>VLOOKUP($A44,'Data shares'!$C:$FM,108)</f>
        <v>-22.47</v>
      </c>
      <c r="G44" s="50">
        <f t="shared" si="1"/>
        <v>0.62292330928008044</v>
      </c>
    </row>
    <row r="45" spans="1:7" x14ac:dyDescent="0.25">
      <c r="A45" s="49" t="str">
        <f>'Data shares'!C40</f>
        <v>CAMS</v>
      </c>
      <c r="B45" s="50">
        <f>VLOOKUP($A45,'Data shares'!$C:$FM,102)</f>
        <v>25.53</v>
      </c>
      <c r="C45" s="50">
        <f>VLOOKUP($A45,'Data shares'!$C:$FM,110)</f>
        <v>25.66</v>
      </c>
      <c r="D45" s="50">
        <f>VLOOKUP($A45,'Data shares'!$C:$FM,114)</f>
        <v>25.26</v>
      </c>
      <c r="E45" s="50">
        <f>VLOOKUP($A45,'Data shares'!$C:$FM,106)</f>
        <v>39.92</v>
      </c>
      <c r="F45" s="50">
        <f>VLOOKUP($A45,'Data shares'!$C:$FM,108)</f>
        <v>-14.39</v>
      </c>
      <c r="G45" s="50">
        <f t="shared" si="1"/>
        <v>0.63952905811623251</v>
      </c>
    </row>
    <row r="46" spans="1:7" x14ac:dyDescent="0.25">
      <c r="A46" s="49" t="str">
        <f>'Data shares'!C41</f>
        <v>CANBK</v>
      </c>
      <c r="B46" s="50">
        <f>VLOOKUP($A46,'Data shares'!$C:$FM,102)</f>
        <v>26.42</v>
      </c>
      <c r="C46" s="50">
        <f>VLOOKUP($A46,'Data shares'!$C:$FM,110)</f>
        <v>26.43</v>
      </c>
      <c r="D46" s="50">
        <f>VLOOKUP($A46,'Data shares'!$C:$FM,114)</f>
        <v>26.41</v>
      </c>
      <c r="E46" s="50">
        <f>VLOOKUP($A46,'Data shares'!$C:$FM,106)</f>
        <v>35.369999999999997</v>
      </c>
      <c r="F46" s="50">
        <f>VLOOKUP($A46,'Data shares'!$C:$FM,108)</f>
        <v>-8.9499999999999993</v>
      </c>
      <c r="G46" s="50">
        <f t="shared" si="1"/>
        <v>0.74696070115917457</v>
      </c>
    </row>
    <row r="47" spans="1:7" x14ac:dyDescent="0.25">
      <c r="A47" s="49" t="str">
        <f>'Data shares'!C42</f>
        <v>CDSL</v>
      </c>
      <c r="B47" s="50">
        <f>VLOOKUP($A47,'Data shares'!$C:$FM,102)</f>
        <v>27.26</v>
      </c>
      <c r="C47" s="50">
        <f>VLOOKUP($A47,'Data shares'!$C:$FM,110)</f>
        <v>27.22</v>
      </c>
      <c r="D47" s="50">
        <f>VLOOKUP($A47,'Data shares'!$C:$FM,114)</f>
        <v>27.4</v>
      </c>
      <c r="E47" s="50">
        <f>VLOOKUP($A47,'Data shares'!$C:$FM,106)</f>
        <v>44.15</v>
      </c>
      <c r="F47" s="50">
        <f>VLOOKUP($A47,'Data shares'!$C:$FM,108)</f>
        <v>-16.89</v>
      </c>
      <c r="G47" s="50">
        <f t="shared" si="1"/>
        <v>0.61744054360135903</v>
      </c>
    </row>
    <row r="48" spans="1:7" x14ac:dyDescent="0.25">
      <c r="A48" s="49" t="str">
        <f>'Data shares'!C43</f>
        <v>CGPOWER</v>
      </c>
      <c r="B48" s="50">
        <f>VLOOKUP($A48,'Data shares'!$C:$FM,102)</f>
        <v>27.41</v>
      </c>
      <c r="C48" s="50">
        <f>VLOOKUP($A48,'Data shares'!$C:$FM,110)</f>
        <v>27.57</v>
      </c>
      <c r="D48" s="50">
        <f>VLOOKUP($A48,'Data shares'!$C:$FM,114)</f>
        <v>26.99</v>
      </c>
      <c r="E48" s="50">
        <f>VLOOKUP($A48,'Data shares'!$C:$FM,106)</f>
        <v>38.54</v>
      </c>
      <c r="F48" s="50">
        <f>VLOOKUP($A48,'Data shares'!$C:$FM,108)</f>
        <v>-11.13</v>
      </c>
      <c r="G48" s="50">
        <f t="shared" si="1"/>
        <v>0.71120913336792946</v>
      </c>
    </row>
    <row r="49" spans="1:7" x14ac:dyDescent="0.25">
      <c r="A49" s="49" t="str">
        <f>'Data shares'!C44</f>
        <v>CHOLAFIN</v>
      </c>
      <c r="B49" s="50">
        <f>VLOOKUP($A49,'Data shares'!$C:$FM,102)</f>
        <v>23.84</v>
      </c>
      <c r="C49" s="50">
        <f>VLOOKUP($A49,'Data shares'!$C:$FM,110)</f>
        <v>22.98</v>
      </c>
      <c r="D49" s="50">
        <f>VLOOKUP($A49,'Data shares'!$C:$FM,114)</f>
        <v>25.61</v>
      </c>
      <c r="E49" s="50">
        <f>VLOOKUP($A49,'Data shares'!$C:$FM,106)</f>
        <v>37.380000000000003</v>
      </c>
      <c r="F49" s="50">
        <f>VLOOKUP($A49,'Data shares'!$C:$FM,108)</f>
        <v>-13.54</v>
      </c>
      <c r="G49" s="50">
        <f t="shared" si="1"/>
        <v>0.63777421080791863</v>
      </c>
    </row>
    <row r="50" spans="1:7" x14ac:dyDescent="0.25">
      <c r="A50" s="49" t="str">
        <f>'Data shares'!C45</f>
        <v>CIPLA</v>
      </c>
      <c r="B50" s="50">
        <f>VLOOKUP($A50,'Data shares'!$C:$FM,102)</f>
        <v>16.670000000000002</v>
      </c>
      <c r="C50" s="50">
        <f>VLOOKUP($A50,'Data shares'!$C:$FM,110)</f>
        <v>16.260000000000002</v>
      </c>
      <c r="D50" s="50">
        <f>VLOOKUP($A50,'Data shares'!$C:$FM,114)</f>
        <v>17.239999999999998</v>
      </c>
      <c r="E50" s="50">
        <f>VLOOKUP($A50,'Data shares'!$C:$FM,106)</f>
        <v>25.22</v>
      </c>
      <c r="F50" s="50">
        <f>VLOOKUP($A50,'Data shares'!$C:$FM,108)</f>
        <v>-8.5500000000000007</v>
      </c>
      <c r="G50" s="50">
        <f t="shared" si="1"/>
        <v>0.66098334655035695</v>
      </c>
    </row>
    <row r="51" spans="1:7" x14ac:dyDescent="0.25">
      <c r="A51" s="49" t="str">
        <f>'Data shares'!C46</f>
        <v>COALINDIA</v>
      </c>
      <c r="B51" s="50">
        <f>VLOOKUP($A51,'Data shares'!$C:$FM,102)</f>
        <v>19.98</v>
      </c>
      <c r="C51" s="50">
        <f>VLOOKUP($A51,'Data shares'!$C:$FM,110)</f>
        <v>19.97</v>
      </c>
      <c r="D51" s="50">
        <f>VLOOKUP($A51,'Data shares'!$C:$FM,114)</f>
        <v>20.010000000000002</v>
      </c>
      <c r="E51" s="50">
        <f>VLOOKUP($A51,'Data shares'!$C:$FM,106)</f>
        <v>26.65</v>
      </c>
      <c r="F51" s="50">
        <f>VLOOKUP($A51,'Data shares'!$C:$FM,108)</f>
        <v>-6.67</v>
      </c>
      <c r="G51" s="50">
        <f t="shared" si="1"/>
        <v>0.74971857410881804</v>
      </c>
    </row>
    <row r="52" spans="1:7" x14ac:dyDescent="0.25">
      <c r="A52" s="49" t="str">
        <f>'Data shares'!C47</f>
        <v>COFORGE</v>
      </c>
      <c r="B52" s="50">
        <f>VLOOKUP($A52,'Data shares'!$C:$FM,102)</f>
        <v>34.19</v>
      </c>
      <c r="C52" s="50">
        <f>VLOOKUP($A52,'Data shares'!$C:$FM,110)</f>
        <v>34.340000000000003</v>
      </c>
      <c r="D52" s="50">
        <f>VLOOKUP($A52,'Data shares'!$C:$FM,114)</f>
        <v>33.82</v>
      </c>
      <c r="E52" s="50">
        <f>VLOOKUP($A52,'Data shares'!$C:$FM,106)</f>
        <v>41.18</v>
      </c>
      <c r="F52" s="50">
        <f>VLOOKUP($A52,'Data shares'!$C:$FM,108)</f>
        <v>-6.99</v>
      </c>
      <c r="G52" s="50">
        <f t="shared" si="1"/>
        <v>0.8302574065080135</v>
      </c>
    </row>
    <row r="53" spans="1:7" x14ac:dyDescent="0.25">
      <c r="A53" s="49" t="str">
        <f>'Data shares'!C48</f>
        <v>COLPAL</v>
      </c>
      <c r="B53" s="50">
        <f>VLOOKUP($A53,'Data shares'!$C:$FM,102)</f>
        <v>18.149999999999999</v>
      </c>
      <c r="C53" s="50">
        <f>VLOOKUP($A53,'Data shares'!$C:$FM,110)</f>
        <v>18.079999999999998</v>
      </c>
      <c r="D53" s="50">
        <f>VLOOKUP($A53,'Data shares'!$C:$FM,114)</f>
        <v>18.3</v>
      </c>
      <c r="E53" s="50">
        <f>VLOOKUP($A53,'Data shares'!$C:$FM,106)</f>
        <v>26.62</v>
      </c>
      <c r="F53" s="50">
        <f>VLOOKUP($A53,'Data shares'!$C:$FM,108)</f>
        <v>-8.4700000000000006</v>
      </c>
      <c r="G53" s="50">
        <f t="shared" si="1"/>
        <v>0.68181818181818177</v>
      </c>
    </row>
    <row r="54" spans="1:7" x14ac:dyDescent="0.25">
      <c r="A54" s="49" t="str">
        <f>'Data shares'!C49</f>
        <v>CONCOR</v>
      </c>
      <c r="B54" s="50">
        <f>VLOOKUP($A54,'Data shares'!$C:$FM,102)</f>
        <v>23.93</v>
      </c>
      <c r="C54" s="50">
        <f>VLOOKUP($A54,'Data shares'!$C:$FM,110)</f>
        <v>23.96</v>
      </c>
      <c r="D54" s="50">
        <f>VLOOKUP($A54,'Data shares'!$C:$FM,114)</f>
        <v>23.81</v>
      </c>
      <c r="E54" s="50">
        <f>VLOOKUP($A54,'Data shares'!$C:$FM,106)</f>
        <v>33.51</v>
      </c>
      <c r="F54" s="50">
        <f>VLOOKUP($A54,'Data shares'!$C:$FM,108)</f>
        <v>-9.58</v>
      </c>
      <c r="G54" s="50">
        <f t="shared" si="1"/>
        <v>0.71411518949567299</v>
      </c>
    </row>
    <row r="55" spans="1:7" x14ac:dyDescent="0.25">
      <c r="A55" s="49" t="str">
        <f>'Data shares'!C50</f>
        <v>CROMPTON</v>
      </c>
      <c r="B55" s="50">
        <f>VLOOKUP($A55,'Data shares'!$C:$FM,102)</f>
        <v>25.33</v>
      </c>
      <c r="C55" s="50">
        <f>VLOOKUP($A55,'Data shares'!$C:$FM,110)</f>
        <v>25.65</v>
      </c>
      <c r="D55" s="50">
        <f>VLOOKUP($A55,'Data shares'!$C:$FM,114)</f>
        <v>24.25</v>
      </c>
      <c r="E55" s="50">
        <f>VLOOKUP($A55,'Data shares'!$C:$FM,106)</f>
        <v>30.43</v>
      </c>
      <c r="F55" s="50">
        <f>VLOOKUP($A55,'Data shares'!$C:$FM,108)</f>
        <v>-5.0999999999999996</v>
      </c>
      <c r="G55" s="50">
        <f t="shared" si="1"/>
        <v>0.83240223463687146</v>
      </c>
    </row>
    <row r="56" spans="1:7" x14ac:dyDescent="0.25">
      <c r="A56" s="49" t="str">
        <f>'Data shares'!C51</f>
        <v>CUMMINSIND</v>
      </c>
      <c r="B56" s="50">
        <f>VLOOKUP($A56,'Data shares'!$C:$FM,102)</f>
        <v>21.87</v>
      </c>
      <c r="C56" s="50">
        <f>VLOOKUP($A56,'Data shares'!$C:$FM,110)</f>
        <v>21.83</v>
      </c>
      <c r="D56" s="50">
        <f>VLOOKUP($A56,'Data shares'!$C:$FM,114)</f>
        <v>21.97</v>
      </c>
      <c r="E56" s="50">
        <f>VLOOKUP($A56,'Data shares'!$C:$FM,106)</f>
        <v>33.29</v>
      </c>
      <c r="F56" s="50">
        <f>VLOOKUP($A56,'Data shares'!$C:$FM,108)</f>
        <v>-11.42</v>
      </c>
      <c r="G56" s="50">
        <f t="shared" si="1"/>
        <v>0.65695404025232806</v>
      </c>
    </row>
    <row r="57" spans="1:7" x14ac:dyDescent="0.25">
      <c r="A57" s="49" t="str">
        <f>'Data shares'!C52</f>
        <v>DABUR</v>
      </c>
      <c r="B57" s="50">
        <f>VLOOKUP($A57,'Data shares'!$C:$FM,102)</f>
        <v>20.57</v>
      </c>
      <c r="C57" s="50">
        <f>VLOOKUP($A57,'Data shares'!$C:$FM,110)</f>
        <v>20.69</v>
      </c>
      <c r="D57" s="50">
        <f>VLOOKUP($A57,'Data shares'!$C:$FM,114)</f>
        <v>20.34</v>
      </c>
      <c r="E57" s="50">
        <f>VLOOKUP($A57,'Data shares'!$C:$FM,106)</f>
        <v>24.23</v>
      </c>
      <c r="F57" s="50">
        <f>VLOOKUP($A57,'Data shares'!$C:$FM,108)</f>
        <v>-3.66</v>
      </c>
      <c r="G57" s="50">
        <f t="shared" si="1"/>
        <v>0.84894758563763928</v>
      </c>
    </row>
    <row r="58" spans="1:7" x14ac:dyDescent="0.25">
      <c r="A58" s="49" t="str">
        <f>'Data shares'!C53</f>
        <v>DALBHARAT</v>
      </c>
      <c r="B58" s="50">
        <f>VLOOKUP($A58,'Data shares'!$C:$FM,102)</f>
        <v>24.51</v>
      </c>
      <c r="C58" s="50">
        <f>VLOOKUP($A58,'Data shares'!$C:$FM,110)</f>
        <v>24.56</v>
      </c>
      <c r="D58" s="50">
        <f>VLOOKUP($A58,'Data shares'!$C:$FM,114)</f>
        <v>24.32</v>
      </c>
      <c r="E58" s="50">
        <f>VLOOKUP($A58,'Data shares'!$C:$FM,106)</f>
        <v>29.06</v>
      </c>
      <c r="F58" s="50">
        <f>VLOOKUP($A58,'Data shares'!$C:$FM,108)</f>
        <v>-4.55</v>
      </c>
      <c r="G58" s="50">
        <f t="shared" si="1"/>
        <v>0.84342739160357894</v>
      </c>
    </row>
    <row r="59" spans="1:7" x14ac:dyDescent="0.25">
      <c r="A59" s="49" t="str">
        <f>'Data shares'!C54</f>
        <v>DELHIVERY</v>
      </c>
      <c r="B59" s="50">
        <f>VLOOKUP($A59,'Data shares'!$C:$FM,102)</f>
        <v>26.25</v>
      </c>
      <c r="C59" s="50">
        <f>VLOOKUP($A59,'Data shares'!$C:$FM,110)</f>
        <v>26.15</v>
      </c>
      <c r="D59" s="50">
        <f>VLOOKUP($A59,'Data shares'!$C:$FM,114)</f>
        <v>26.5</v>
      </c>
      <c r="E59" s="50">
        <f>VLOOKUP($A59,'Data shares'!$C:$FM,106)</f>
        <v>40.14</v>
      </c>
      <c r="F59" s="50">
        <f>VLOOKUP($A59,'Data shares'!$C:$FM,108)</f>
        <v>-13.89</v>
      </c>
      <c r="G59" s="50">
        <f t="shared" si="1"/>
        <v>0.65396113602391626</v>
      </c>
    </row>
    <row r="60" spans="1:7" x14ac:dyDescent="0.25">
      <c r="A60" s="49" t="str">
        <f>'Data shares'!C55</f>
        <v>DIVISLAB</v>
      </c>
      <c r="B60" s="50">
        <f>VLOOKUP($A60,'Data shares'!$C:$FM,102)</f>
        <v>20.81</v>
      </c>
      <c r="C60" s="50">
        <f>VLOOKUP($A60,'Data shares'!$C:$FM,110)</f>
        <v>20.74</v>
      </c>
      <c r="D60" s="50">
        <f>VLOOKUP($A60,'Data shares'!$C:$FM,114)</f>
        <v>20.95</v>
      </c>
      <c r="E60" s="50">
        <f>VLOOKUP($A60,'Data shares'!$C:$FM,106)</f>
        <v>29.86</v>
      </c>
      <c r="F60" s="50">
        <f>VLOOKUP($A60,'Data shares'!$C:$FM,108)</f>
        <v>-9.0500000000000007</v>
      </c>
      <c r="G60" s="50">
        <f t="shared" si="1"/>
        <v>0.69691895512391155</v>
      </c>
    </row>
    <row r="61" spans="1:7" x14ac:dyDescent="0.25">
      <c r="A61" s="49" t="str">
        <f>'Data shares'!C56</f>
        <v>DIXON</v>
      </c>
      <c r="B61" s="50">
        <f>VLOOKUP($A61,'Data shares'!$C:$FM,102)</f>
        <v>41.83</v>
      </c>
      <c r="C61" s="50">
        <f>VLOOKUP($A61,'Data shares'!$C:$FM,110)</f>
        <v>41.02</v>
      </c>
      <c r="D61" s="50">
        <f>VLOOKUP($A61,'Data shares'!$C:$FM,114)</f>
        <v>43.14</v>
      </c>
      <c r="E61" s="50">
        <f>VLOOKUP($A61,'Data shares'!$C:$FM,106)</f>
        <v>44.71</v>
      </c>
      <c r="F61" s="50">
        <f>VLOOKUP($A61,'Data shares'!$C:$FM,108)</f>
        <v>-2.88</v>
      </c>
      <c r="G61" s="50">
        <f t="shared" si="1"/>
        <v>0.93558488033996867</v>
      </c>
    </row>
    <row r="62" spans="1:7" x14ac:dyDescent="0.25">
      <c r="A62" s="49" t="str">
        <f>'Data shares'!C57</f>
        <v>DLF</v>
      </c>
      <c r="B62" s="50">
        <f>VLOOKUP($A62,'Data shares'!$C:$FM,102)</f>
        <v>23.38</v>
      </c>
      <c r="C62" s="50">
        <f>VLOOKUP($A62,'Data shares'!$C:$FM,110)</f>
        <v>22.99</v>
      </c>
      <c r="D62" s="50">
        <f>VLOOKUP($A62,'Data shares'!$C:$FM,114)</f>
        <v>24.09</v>
      </c>
      <c r="E62" s="50">
        <f>VLOOKUP($A62,'Data shares'!$C:$FM,106)</f>
        <v>34.4</v>
      </c>
      <c r="F62" s="50">
        <f>VLOOKUP($A62,'Data shares'!$C:$FM,108)</f>
        <v>-11.02</v>
      </c>
      <c r="G62" s="50">
        <f t="shared" si="1"/>
        <v>0.6796511627906977</v>
      </c>
    </row>
    <row r="63" spans="1:7" x14ac:dyDescent="0.25">
      <c r="A63" s="49" t="str">
        <f>'Data shares'!C58</f>
        <v>DMART</v>
      </c>
      <c r="B63" s="50">
        <f>VLOOKUP($A63,'Data shares'!$C:$FM,102)</f>
        <v>29.64</v>
      </c>
      <c r="C63" s="50">
        <f>VLOOKUP($A63,'Data shares'!$C:$FM,110)</f>
        <v>29.28</v>
      </c>
      <c r="D63" s="50">
        <f>VLOOKUP($A63,'Data shares'!$C:$FM,114)</f>
        <v>30.12</v>
      </c>
      <c r="E63" s="50">
        <f>VLOOKUP($A63,'Data shares'!$C:$FM,106)</f>
        <v>30.3</v>
      </c>
      <c r="F63" s="50">
        <f>VLOOKUP($A63,'Data shares'!$C:$FM,108)</f>
        <v>-0.66</v>
      </c>
      <c r="G63" s="50">
        <f t="shared" si="1"/>
        <v>0.9782178217821782</v>
      </c>
    </row>
    <row r="64" spans="1:7" x14ac:dyDescent="0.25">
      <c r="A64" s="49" t="str">
        <f>'Data shares'!C59</f>
        <v>DRREDDY</v>
      </c>
      <c r="B64" s="50">
        <f>VLOOKUP($A64,'Data shares'!$C:$FM,102)</f>
        <v>18.670000000000002</v>
      </c>
      <c r="C64" s="50">
        <f>VLOOKUP($A64,'Data shares'!$C:$FM,110)</f>
        <v>18.53</v>
      </c>
      <c r="D64" s="50">
        <f>VLOOKUP($A64,'Data shares'!$C:$FM,114)</f>
        <v>18.82</v>
      </c>
      <c r="E64" s="50">
        <f>VLOOKUP($A64,'Data shares'!$C:$FM,106)</f>
        <v>23.61</v>
      </c>
      <c r="F64" s="50">
        <f>VLOOKUP($A64,'Data shares'!$C:$FM,108)</f>
        <v>-4.9400000000000004</v>
      </c>
      <c r="G64" s="50">
        <f t="shared" si="1"/>
        <v>0.79076662431173239</v>
      </c>
    </row>
    <row r="65" spans="1:7" x14ac:dyDescent="0.25">
      <c r="A65" s="49" t="str">
        <f>'Data shares'!C60</f>
        <v>EICHERMOT</v>
      </c>
      <c r="B65" s="50">
        <f>VLOOKUP($A65,'Data shares'!$C:$FM,102)</f>
        <v>18.510000000000002</v>
      </c>
      <c r="C65" s="50">
        <f>VLOOKUP($A65,'Data shares'!$C:$FM,110)</f>
        <v>18.14</v>
      </c>
      <c r="D65" s="50">
        <f>VLOOKUP($A65,'Data shares'!$C:$FM,114)</f>
        <v>19.329999999999998</v>
      </c>
      <c r="E65" s="50">
        <f>VLOOKUP($A65,'Data shares'!$C:$FM,106)</f>
        <v>26.75</v>
      </c>
      <c r="F65" s="50">
        <f>VLOOKUP($A65,'Data shares'!$C:$FM,108)</f>
        <v>-8.24</v>
      </c>
      <c r="G65" s="50">
        <f t="shared" si="1"/>
        <v>0.69196261682242999</v>
      </c>
    </row>
    <row r="66" spans="1:7" x14ac:dyDescent="0.25">
      <c r="A66" s="49" t="str">
        <f>'Data shares'!C61</f>
        <v>ETERNAL</v>
      </c>
      <c r="B66" s="50">
        <f>VLOOKUP($A66,'Data shares'!$C:$FM,102)</f>
        <v>29.2</v>
      </c>
      <c r="C66" s="50">
        <f>VLOOKUP($A66,'Data shares'!$C:$FM,110)</f>
        <v>28.76</v>
      </c>
      <c r="D66" s="50">
        <f>VLOOKUP($A66,'Data shares'!$C:$FM,114)</f>
        <v>30.11</v>
      </c>
      <c r="E66" s="50">
        <f>VLOOKUP($A66,'Data shares'!$C:$FM,106)</f>
        <v>43.08</v>
      </c>
      <c r="F66" s="50">
        <f>VLOOKUP($A66,'Data shares'!$C:$FM,108)</f>
        <v>-13.88</v>
      </c>
      <c r="G66" s="50">
        <f t="shared" si="1"/>
        <v>0.67780872794800373</v>
      </c>
    </row>
    <row r="67" spans="1:7" x14ac:dyDescent="0.25">
      <c r="A67" s="49" t="str">
        <f>'Data shares'!C62</f>
        <v>EXIDEIND</v>
      </c>
      <c r="B67" s="50">
        <f>VLOOKUP($A67,'Data shares'!$C:$FM,102)</f>
        <v>20.5</v>
      </c>
      <c r="C67" s="50">
        <f>VLOOKUP($A67,'Data shares'!$C:$FM,110)</f>
        <v>20.41</v>
      </c>
      <c r="D67" s="50">
        <f>VLOOKUP($A67,'Data shares'!$C:$FM,114)</f>
        <v>20.77</v>
      </c>
      <c r="E67" s="50">
        <f>VLOOKUP($A67,'Data shares'!$C:$FM,106)</f>
        <v>32.92</v>
      </c>
      <c r="F67" s="50">
        <f>VLOOKUP($A67,'Data shares'!$C:$FM,108)</f>
        <v>-12.42</v>
      </c>
      <c r="G67" s="50">
        <f t="shared" si="1"/>
        <v>0.62272174969623328</v>
      </c>
    </row>
    <row r="68" spans="1:7" x14ac:dyDescent="0.25">
      <c r="A68" s="49" t="str">
        <f>'Data shares'!C63</f>
        <v>FEDERALBNK</v>
      </c>
      <c r="B68" s="50">
        <f>VLOOKUP($A68,'Data shares'!$C:$FM,102)</f>
        <v>22.63</v>
      </c>
      <c r="C68" s="50">
        <f>VLOOKUP($A68,'Data shares'!$C:$FM,110)</f>
        <v>22.45</v>
      </c>
      <c r="D68" s="50">
        <f>VLOOKUP($A68,'Data shares'!$C:$FM,114)</f>
        <v>22.88</v>
      </c>
      <c r="E68" s="50">
        <f>VLOOKUP($A68,'Data shares'!$C:$FM,106)</f>
        <v>27.95</v>
      </c>
      <c r="F68" s="50">
        <f>VLOOKUP($A68,'Data shares'!$C:$FM,108)</f>
        <v>-5.32</v>
      </c>
      <c r="G68" s="50">
        <f t="shared" si="1"/>
        <v>0.80966010733452587</v>
      </c>
    </row>
    <row r="69" spans="1:7" x14ac:dyDescent="0.25">
      <c r="A69" s="49" t="str">
        <f>'Data shares'!C64</f>
        <v>FINNIFTY</v>
      </c>
      <c r="B69" s="50">
        <f>VLOOKUP($A69,'Data shares'!$C:$FM,102)</f>
        <v>10.39</v>
      </c>
      <c r="C69" s="50">
        <f>VLOOKUP($A69,'Data shares'!$C:$FM,110)</f>
        <v>10.1</v>
      </c>
      <c r="D69" s="50">
        <f>VLOOKUP($A69,'Data shares'!$C:$FM,114)</f>
        <v>10.65</v>
      </c>
      <c r="E69" s="50">
        <f>VLOOKUP($A69,'Data shares'!$C:$FM,106)</f>
        <v>16.3</v>
      </c>
      <c r="F69" s="50">
        <f>VLOOKUP($A69,'Data shares'!$C:$FM,108)</f>
        <v>-5.91</v>
      </c>
      <c r="G69" s="50">
        <f t="shared" si="1"/>
        <v>0.63742331288343557</v>
      </c>
    </row>
    <row r="70" spans="1:7" x14ac:dyDescent="0.25">
      <c r="A70" s="49" t="str">
        <f>'Data shares'!C65</f>
        <v>FORTIS</v>
      </c>
      <c r="B70" s="50">
        <f>VLOOKUP($A70,'Data shares'!$C:$FM,102)</f>
        <v>24.74</v>
      </c>
      <c r="C70" s="50">
        <f>VLOOKUP($A70,'Data shares'!$C:$FM,110)</f>
        <v>24.76</v>
      </c>
      <c r="D70" s="50">
        <f>VLOOKUP($A70,'Data shares'!$C:$FM,114)</f>
        <v>24.64</v>
      </c>
      <c r="E70" s="50">
        <f>VLOOKUP($A70,'Data shares'!$C:$FM,106)</f>
        <v>35.04</v>
      </c>
      <c r="F70" s="50">
        <f>VLOOKUP($A70,'Data shares'!$C:$FM,108)</f>
        <v>-10.3</v>
      </c>
      <c r="G70" s="50">
        <f t="shared" si="1"/>
        <v>0.70605022831050224</v>
      </c>
    </row>
    <row r="71" spans="1:7" x14ac:dyDescent="0.25">
      <c r="A71" s="49" t="str">
        <f>'Data shares'!C66</f>
        <v>GAIL</v>
      </c>
      <c r="B71" s="50">
        <f>VLOOKUP($A71,'Data shares'!$C:$FM,102)</f>
        <v>18.87</v>
      </c>
      <c r="C71" s="50">
        <f>VLOOKUP($A71,'Data shares'!$C:$FM,110)</f>
        <v>18.84</v>
      </c>
      <c r="D71" s="50">
        <f>VLOOKUP($A71,'Data shares'!$C:$FM,114)</f>
        <v>18.940000000000001</v>
      </c>
      <c r="E71" s="50">
        <f>VLOOKUP($A71,'Data shares'!$C:$FM,106)</f>
        <v>33.78</v>
      </c>
      <c r="F71" s="50">
        <f>VLOOKUP($A71,'Data shares'!$C:$FM,108)</f>
        <v>-14.91</v>
      </c>
      <c r="G71" s="50">
        <f t="shared" ref="G71:G102" si="2">B71/E71</f>
        <v>0.55861456483126115</v>
      </c>
    </row>
    <row r="72" spans="1:7" x14ac:dyDescent="0.25">
      <c r="A72" s="49" t="str">
        <f>'Data shares'!C67</f>
        <v>GLENMARK</v>
      </c>
      <c r="B72" s="50">
        <f>VLOOKUP($A72,'Data shares'!$C:$FM,102)</f>
        <v>24.35</v>
      </c>
      <c r="C72" s="50">
        <f>VLOOKUP($A72,'Data shares'!$C:$FM,110)</f>
        <v>24.23</v>
      </c>
      <c r="D72" s="50">
        <f>VLOOKUP($A72,'Data shares'!$C:$FM,114)</f>
        <v>24.61</v>
      </c>
      <c r="E72" s="50">
        <f>VLOOKUP($A72,'Data shares'!$C:$FM,106)</f>
        <v>35.36</v>
      </c>
      <c r="F72" s="50">
        <f>VLOOKUP($A72,'Data shares'!$C:$FM,108)</f>
        <v>-11.01</v>
      </c>
      <c r="G72" s="50">
        <f t="shared" si="2"/>
        <v>0.68863122171945701</v>
      </c>
    </row>
    <row r="73" spans="1:7" x14ac:dyDescent="0.25">
      <c r="A73" s="49" t="str">
        <f>'Data shares'!C68</f>
        <v>GMRAIRPORT</v>
      </c>
      <c r="B73" s="50">
        <f>VLOOKUP($A73,'Data shares'!$C:$FM,102)</f>
        <v>28.78</v>
      </c>
      <c r="C73" s="50">
        <f>VLOOKUP($A73,'Data shares'!$C:$FM,110)</f>
        <v>28.85</v>
      </c>
      <c r="D73" s="50">
        <f>VLOOKUP($A73,'Data shares'!$C:$FM,114)</f>
        <v>28.56</v>
      </c>
      <c r="E73" s="50">
        <f>VLOOKUP($A73,'Data shares'!$C:$FM,106)</f>
        <v>36.659999999999997</v>
      </c>
      <c r="F73" s="50">
        <f>VLOOKUP($A73,'Data shares'!$C:$FM,108)</f>
        <v>-7.88</v>
      </c>
      <c r="G73" s="50">
        <f t="shared" si="2"/>
        <v>0.78505182760501924</v>
      </c>
    </row>
    <row r="74" spans="1:7" x14ac:dyDescent="0.25">
      <c r="A74" s="49" t="str">
        <f>'Data shares'!C69</f>
        <v>GODREJCP</v>
      </c>
      <c r="B74" s="50">
        <f>VLOOKUP($A74,'Data shares'!$C:$FM,102)</f>
        <v>21.95</v>
      </c>
      <c r="C74" s="50">
        <f>VLOOKUP($A74,'Data shares'!$C:$FM,110)</f>
        <v>21.44</v>
      </c>
      <c r="D74" s="50">
        <f>VLOOKUP($A74,'Data shares'!$C:$FM,114)</f>
        <v>22.75</v>
      </c>
      <c r="E74" s="50">
        <f>VLOOKUP($A74,'Data shares'!$C:$FM,106)</f>
        <v>28.36</v>
      </c>
      <c r="F74" s="50">
        <f>VLOOKUP($A74,'Data shares'!$C:$FM,108)</f>
        <v>-6.41</v>
      </c>
      <c r="G74" s="50">
        <f t="shared" si="2"/>
        <v>0.77397743300423127</v>
      </c>
    </row>
    <row r="75" spans="1:7" x14ac:dyDescent="0.25">
      <c r="A75" s="49" t="str">
        <f>'Data shares'!C70</f>
        <v>GODREJPROP</v>
      </c>
      <c r="B75" s="50">
        <f>VLOOKUP($A75,'Data shares'!$C:$FM,102)</f>
        <v>25.74</v>
      </c>
      <c r="C75" s="50">
        <f>VLOOKUP($A75,'Data shares'!$C:$FM,110)</f>
        <v>25.59</v>
      </c>
      <c r="D75" s="50">
        <f>VLOOKUP($A75,'Data shares'!$C:$FM,114)</f>
        <v>26.07</v>
      </c>
      <c r="E75" s="50">
        <f>VLOOKUP($A75,'Data shares'!$C:$FM,106)</f>
        <v>41.62</v>
      </c>
      <c r="F75" s="50">
        <f>VLOOKUP($A75,'Data shares'!$C:$FM,108)</f>
        <v>-15.88</v>
      </c>
      <c r="G75" s="50">
        <f t="shared" si="2"/>
        <v>0.6184526669870255</v>
      </c>
    </row>
    <row r="76" spans="1:7" x14ac:dyDescent="0.25">
      <c r="A76" s="49" t="str">
        <f>'Data shares'!C71</f>
        <v>GRASIM</v>
      </c>
      <c r="B76" s="50">
        <f>VLOOKUP($A76,'Data shares'!$C:$FM,102)</f>
        <v>16.989999999999998</v>
      </c>
      <c r="C76" s="50">
        <f>VLOOKUP($A76,'Data shares'!$C:$FM,110)</f>
        <v>16.829999999999998</v>
      </c>
      <c r="D76" s="50">
        <f>VLOOKUP($A76,'Data shares'!$C:$FM,114)</f>
        <v>17.32</v>
      </c>
      <c r="E76" s="50">
        <f>VLOOKUP($A76,'Data shares'!$C:$FM,106)</f>
        <v>25</v>
      </c>
      <c r="F76" s="50">
        <f>VLOOKUP($A76,'Data shares'!$C:$FM,108)</f>
        <v>-8.01</v>
      </c>
      <c r="G76" s="50">
        <f t="shared" si="2"/>
        <v>0.67959999999999998</v>
      </c>
    </row>
    <row r="77" spans="1:7" x14ac:dyDescent="0.25">
      <c r="A77" s="49" t="str">
        <f>'Data shares'!C72</f>
        <v>HAL</v>
      </c>
      <c r="B77" s="50">
        <f>VLOOKUP($A77,'Data shares'!$C:$FM,102)</f>
        <v>23.45</v>
      </c>
      <c r="C77" s="50">
        <f>VLOOKUP($A77,'Data shares'!$C:$FM,110)</f>
        <v>23.59</v>
      </c>
      <c r="D77" s="50">
        <f>VLOOKUP($A77,'Data shares'!$C:$FM,114)</f>
        <v>23.17</v>
      </c>
      <c r="E77" s="50">
        <f>VLOOKUP($A77,'Data shares'!$C:$FM,106)</f>
        <v>37</v>
      </c>
      <c r="F77" s="50">
        <f>VLOOKUP($A77,'Data shares'!$C:$FM,108)</f>
        <v>-13.55</v>
      </c>
      <c r="G77" s="50">
        <f t="shared" si="2"/>
        <v>0.63378378378378375</v>
      </c>
    </row>
    <row r="78" spans="1:7" x14ac:dyDescent="0.25">
      <c r="A78" s="49" t="str">
        <f>'Data shares'!C73</f>
        <v>HAVELLS</v>
      </c>
      <c r="B78" s="50">
        <f>VLOOKUP($A78,'Data shares'!$C:$FM,102)</f>
        <v>20.45</v>
      </c>
      <c r="C78" s="50">
        <f>VLOOKUP($A78,'Data shares'!$C:$FM,110)</f>
        <v>20.5</v>
      </c>
      <c r="D78" s="50">
        <f>VLOOKUP($A78,'Data shares'!$C:$FM,114)</f>
        <v>20.329999999999998</v>
      </c>
      <c r="E78" s="50">
        <f>VLOOKUP($A78,'Data shares'!$C:$FM,106)</f>
        <v>26.6</v>
      </c>
      <c r="F78" s="50">
        <f>VLOOKUP($A78,'Data shares'!$C:$FM,108)</f>
        <v>-6.15</v>
      </c>
      <c r="G78" s="50">
        <f t="shared" si="2"/>
        <v>0.76879699248120292</v>
      </c>
    </row>
    <row r="79" spans="1:7" x14ac:dyDescent="0.25">
      <c r="A79" s="49" t="str">
        <f>'Data shares'!C74</f>
        <v>HCLTECH</v>
      </c>
      <c r="B79" s="50">
        <f>VLOOKUP($A79,'Data shares'!$C:$FM,102)</f>
        <v>23.69</v>
      </c>
      <c r="C79" s="50">
        <f>VLOOKUP($A79,'Data shares'!$C:$FM,110)</f>
        <v>23.52</v>
      </c>
      <c r="D79" s="50">
        <f>VLOOKUP($A79,'Data shares'!$C:$FM,114)</f>
        <v>24.13</v>
      </c>
      <c r="E79" s="50">
        <f>VLOOKUP($A79,'Data shares'!$C:$FM,106)</f>
        <v>27.69</v>
      </c>
      <c r="F79" s="50">
        <f>VLOOKUP($A79,'Data shares'!$C:$FM,108)</f>
        <v>-4</v>
      </c>
      <c r="G79" s="50">
        <f t="shared" si="2"/>
        <v>0.85554351751534852</v>
      </c>
    </row>
    <row r="80" spans="1:7" x14ac:dyDescent="0.25">
      <c r="A80" s="49" t="str">
        <f>'Data shares'!C75</f>
        <v>HDFCAMC</v>
      </c>
      <c r="B80" s="50">
        <f>VLOOKUP($A80,'Data shares'!$C:$FM,102)</f>
        <v>23.42</v>
      </c>
      <c r="C80" s="50">
        <f>VLOOKUP($A80,'Data shares'!$C:$FM,110)</f>
        <v>23.36</v>
      </c>
      <c r="D80" s="50">
        <f>VLOOKUP($A80,'Data shares'!$C:$FM,114)</f>
        <v>23.55</v>
      </c>
      <c r="E80" s="50">
        <f>VLOOKUP($A80,'Data shares'!$C:$FM,106)</f>
        <v>33.92</v>
      </c>
      <c r="F80" s="50">
        <f>VLOOKUP($A80,'Data shares'!$C:$FM,108)</f>
        <v>-10.5</v>
      </c>
      <c r="G80" s="50">
        <f t="shared" si="2"/>
        <v>0.69044811320754718</v>
      </c>
    </row>
    <row r="81" spans="1:7" x14ac:dyDescent="0.25">
      <c r="A81" s="49" t="str">
        <f>'Data shares'!C76</f>
        <v>HDFCBANK</v>
      </c>
      <c r="B81" s="50">
        <f>VLOOKUP($A81,'Data shares'!$C:$FM,102)</f>
        <v>15.85</v>
      </c>
      <c r="C81" s="50">
        <f>VLOOKUP($A81,'Data shares'!$C:$FM,110)</f>
        <v>15.64</v>
      </c>
      <c r="D81" s="50">
        <f>VLOOKUP($A81,'Data shares'!$C:$FM,114)</f>
        <v>16.190000000000001</v>
      </c>
      <c r="E81" s="50">
        <f>VLOOKUP($A81,'Data shares'!$C:$FM,106)</f>
        <v>19.579999999999998</v>
      </c>
      <c r="F81" s="50">
        <f>VLOOKUP($A81,'Data shares'!$C:$FM,108)</f>
        <v>-3.73</v>
      </c>
      <c r="G81" s="50">
        <f t="shared" si="2"/>
        <v>0.80949948927477022</v>
      </c>
    </row>
    <row r="82" spans="1:7" x14ac:dyDescent="0.25">
      <c r="A82" s="49" t="str">
        <f>'Data shares'!C77</f>
        <v>HDFCLIFE</v>
      </c>
      <c r="B82" s="50">
        <f>VLOOKUP($A82,'Data shares'!$C:$FM,102)</f>
        <v>19.59</v>
      </c>
      <c r="C82" s="50">
        <f>VLOOKUP($A82,'Data shares'!$C:$FM,110)</f>
        <v>19.41</v>
      </c>
      <c r="D82" s="50">
        <f>VLOOKUP($A82,'Data shares'!$C:$FM,114)</f>
        <v>20.010000000000002</v>
      </c>
      <c r="E82" s="50">
        <f>VLOOKUP($A82,'Data shares'!$C:$FM,106)</f>
        <v>24.89</v>
      </c>
      <c r="F82" s="50">
        <f>VLOOKUP($A82,'Data shares'!$C:$FM,108)</f>
        <v>-5.3</v>
      </c>
      <c r="G82" s="50">
        <f t="shared" si="2"/>
        <v>0.78706307754118121</v>
      </c>
    </row>
    <row r="83" spans="1:7" x14ac:dyDescent="0.25">
      <c r="A83" s="49" t="str">
        <f>'Data shares'!C78</f>
        <v>HEROMOTOCO</v>
      </c>
      <c r="B83" s="50">
        <f>VLOOKUP($A83,'Data shares'!$C:$FM,102)</f>
        <v>21.67</v>
      </c>
      <c r="C83" s="50">
        <f>VLOOKUP($A83,'Data shares'!$C:$FM,110)</f>
        <v>21.48</v>
      </c>
      <c r="D83" s="50">
        <f>VLOOKUP($A83,'Data shares'!$C:$FM,114)</f>
        <v>22.07</v>
      </c>
      <c r="E83" s="50">
        <f>VLOOKUP($A83,'Data shares'!$C:$FM,106)</f>
        <v>30.16</v>
      </c>
      <c r="F83" s="50">
        <f>VLOOKUP($A83,'Data shares'!$C:$FM,108)</f>
        <v>-8.49</v>
      </c>
      <c r="G83" s="50">
        <f t="shared" si="2"/>
        <v>0.718501326259947</v>
      </c>
    </row>
    <row r="84" spans="1:7" x14ac:dyDescent="0.25">
      <c r="A84" s="49" t="str">
        <f>'Data shares'!C79</f>
        <v>HINDALCO</v>
      </c>
      <c r="B84" s="50">
        <f>VLOOKUP($A84,'Data shares'!$C:$FM,102)</f>
        <v>23.26</v>
      </c>
      <c r="C84" s="50">
        <f>VLOOKUP($A84,'Data shares'!$C:$FM,110)</f>
        <v>22.49</v>
      </c>
      <c r="D84" s="50">
        <f>VLOOKUP($A84,'Data shares'!$C:$FM,114)</f>
        <v>24.41</v>
      </c>
      <c r="E84" s="50">
        <f>VLOOKUP($A84,'Data shares'!$C:$FM,106)</f>
        <v>32.090000000000003</v>
      </c>
      <c r="F84" s="50">
        <f>VLOOKUP($A84,'Data shares'!$C:$FM,108)</f>
        <v>-8.83</v>
      </c>
      <c r="G84" s="50">
        <f t="shared" si="2"/>
        <v>0.72483639763166097</v>
      </c>
    </row>
    <row r="85" spans="1:7" x14ac:dyDescent="0.25">
      <c r="A85" s="49" t="str">
        <f>'Data shares'!C80</f>
        <v>HINDPETRO</v>
      </c>
      <c r="B85" s="50">
        <f>VLOOKUP($A85,'Data shares'!$C:$FM,102)</f>
        <v>26.79</v>
      </c>
      <c r="C85" s="50">
        <f>VLOOKUP($A85,'Data shares'!$C:$FM,110)</f>
        <v>26.56</v>
      </c>
      <c r="D85" s="50">
        <f>VLOOKUP($A85,'Data shares'!$C:$FM,114)</f>
        <v>27.17</v>
      </c>
      <c r="E85" s="50">
        <f>VLOOKUP($A85,'Data shares'!$C:$FM,106)</f>
        <v>38.44</v>
      </c>
      <c r="F85" s="50">
        <f>VLOOKUP($A85,'Data shares'!$C:$FM,108)</f>
        <v>-11.65</v>
      </c>
      <c r="G85" s="50">
        <f t="shared" si="2"/>
        <v>0.69693028095733611</v>
      </c>
    </row>
    <row r="86" spans="1:7" x14ac:dyDescent="0.25">
      <c r="A86" s="49" t="str">
        <f>'Data shares'!C81</f>
        <v>HINDUNILVR</v>
      </c>
      <c r="B86" s="50">
        <f>VLOOKUP($A86,'Data shares'!$C:$FM,102)</f>
        <v>15.62</v>
      </c>
      <c r="C86" s="50">
        <f>VLOOKUP($A86,'Data shares'!$C:$FM,110)</f>
        <v>15.2</v>
      </c>
      <c r="D86" s="50">
        <f>VLOOKUP($A86,'Data shares'!$C:$FM,114)</f>
        <v>16.36</v>
      </c>
      <c r="E86" s="50">
        <f>VLOOKUP($A86,'Data shares'!$C:$FM,106)</f>
        <v>21.74</v>
      </c>
      <c r="F86" s="50">
        <f>VLOOKUP($A86,'Data shares'!$C:$FM,108)</f>
        <v>-6.12</v>
      </c>
      <c r="G86" s="50">
        <f t="shared" si="2"/>
        <v>0.71849126034958599</v>
      </c>
    </row>
    <row r="87" spans="1:7" x14ac:dyDescent="0.25">
      <c r="A87" s="49" t="str">
        <f>'Data shares'!C82</f>
        <v>HINDZINC</v>
      </c>
      <c r="B87" s="50">
        <f>VLOOKUP($A87,'Data shares'!$C:$FM,102)</f>
        <v>39.479999999999997</v>
      </c>
      <c r="C87" s="50">
        <f>VLOOKUP($A87,'Data shares'!$C:$FM,110)</f>
        <v>40.14</v>
      </c>
      <c r="D87" s="50">
        <f>VLOOKUP($A87,'Data shares'!$C:$FM,114)</f>
        <v>38.4</v>
      </c>
      <c r="E87" s="50">
        <f>VLOOKUP($A87,'Data shares'!$C:$FM,106)</f>
        <v>43.25</v>
      </c>
      <c r="F87" s="50">
        <f>VLOOKUP($A87,'Data shares'!$C:$FM,108)</f>
        <v>-3.77</v>
      </c>
      <c r="G87" s="50">
        <f t="shared" si="2"/>
        <v>0.91283236994219641</v>
      </c>
    </row>
    <row r="88" spans="1:7" x14ac:dyDescent="0.25">
      <c r="A88" s="49" t="str">
        <f>'Data shares'!C83</f>
        <v>HUDCO</v>
      </c>
      <c r="B88" s="50">
        <f>VLOOKUP($A88,'Data shares'!$C:$FM,102)</f>
        <v>31.29</v>
      </c>
      <c r="C88" s="50">
        <f>VLOOKUP($A88,'Data shares'!$C:$FM,110)</f>
        <v>31.19</v>
      </c>
      <c r="D88" s="50">
        <f>VLOOKUP($A88,'Data shares'!$C:$FM,114)</f>
        <v>31.52</v>
      </c>
      <c r="E88" s="50">
        <f>VLOOKUP($A88,'Data shares'!$C:$FM,106)</f>
        <v>50.44</v>
      </c>
      <c r="F88" s="50">
        <f>VLOOKUP($A88,'Data shares'!$C:$FM,108)</f>
        <v>-19.149999999999999</v>
      </c>
      <c r="G88" s="50">
        <f t="shared" si="2"/>
        <v>0.6203409992069786</v>
      </c>
    </row>
    <row r="89" spans="1:7" x14ac:dyDescent="0.25">
      <c r="A89" s="49" t="str">
        <f>'Data shares'!C84</f>
        <v>ICICIBANK</v>
      </c>
      <c r="B89" s="50">
        <f>VLOOKUP($A89,'Data shares'!$C:$FM,102)</f>
        <v>15.98</v>
      </c>
      <c r="C89" s="50">
        <f>VLOOKUP($A89,'Data shares'!$C:$FM,110)</f>
        <v>15.91</v>
      </c>
      <c r="D89" s="50">
        <f>VLOOKUP($A89,'Data shares'!$C:$FM,114)</f>
        <v>16.13</v>
      </c>
      <c r="E89" s="50">
        <f>VLOOKUP($A89,'Data shares'!$C:$FM,106)</f>
        <v>20.100000000000001</v>
      </c>
      <c r="F89" s="50">
        <f>VLOOKUP($A89,'Data shares'!$C:$FM,108)</f>
        <v>-4.12</v>
      </c>
      <c r="G89" s="50">
        <f t="shared" si="2"/>
        <v>0.7950248756218905</v>
      </c>
    </row>
    <row r="90" spans="1:7" x14ac:dyDescent="0.25">
      <c r="A90" s="49" t="str">
        <f>'Data shares'!C85</f>
        <v>ICICIGI</v>
      </c>
      <c r="B90" s="50">
        <f>VLOOKUP($A90,'Data shares'!$C:$FM,102)</f>
        <v>21.76</v>
      </c>
      <c r="C90" s="50">
        <f>VLOOKUP($A90,'Data shares'!$C:$FM,110)</f>
        <v>21.61</v>
      </c>
      <c r="D90" s="50">
        <f>VLOOKUP($A90,'Data shares'!$C:$FM,114)</f>
        <v>21.93</v>
      </c>
      <c r="E90" s="50">
        <f>VLOOKUP($A90,'Data shares'!$C:$FM,106)</f>
        <v>27.64</v>
      </c>
      <c r="F90" s="50">
        <f>VLOOKUP($A90,'Data shares'!$C:$FM,108)</f>
        <v>-5.88</v>
      </c>
      <c r="G90" s="50">
        <f t="shared" si="2"/>
        <v>0.7872648335745297</v>
      </c>
    </row>
    <row r="91" spans="1:7" x14ac:dyDescent="0.25">
      <c r="A91" s="49" t="str">
        <f>'Data shares'!C86</f>
        <v>ICICIPRULI</v>
      </c>
      <c r="B91" s="50">
        <f>VLOOKUP($A91,'Data shares'!$C:$FM,102)</f>
        <v>25.21</v>
      </c>
      <c r="C91" s="50">
        <f>VLOOKUP($A91,'Data shares'!$C:$FM,110)</f>
        <v>24.23</v>
      </c>
      <c r="D91" s="50">
        <f>VLOOKUP($A91,'Data shares'!$C:$FM,114)</f>
        <v>26.57</v>
      </c>
      <c r="E91" s="50">
        <f>VLOOKUP($A91,'Data shares'!$C:$FM,106)</f>
        <v>27.01</v>
      </c>
      <c r="F91" s="50">
        <f>VLOOKUP($A91,'Data shares'!$C:$FM,108)</f>
        <v>-1.8</v>
      </c>
      <c r="G91" s="50">
        <f t="shared" si="2"/>
        <v>0.93335801554979636</v>
      </c>
    </row>
    <row r="92" spans="1:7" x14ac:dyDescent="0.25">
      <c r="A92" s="49" t="str">
        <f>'Data shares'!C87</f>
        <v>IDEA</v>
      </c>
      <c r="B92" s="50">
        <f>VLOOKUP($A92,'Data shares'!$C:$FM,102)</f>
        <v>57.54</v>
      </c>
      <c r="C92" s="50">
        <f>VLOOKUP($A92,'Data shares'!$C:$FM,110)</f>
        <v>57.71</v>
      </c>
      <c r="D92" s="50">
        <f>VLOOKUP($A92,'Data shares'!$C:$FM,114)</f>
        <v>57.18</v>
      </c>
      <c r="E92" s="50">
        <f>VLOOKUP($A92,'Data shares'!$C:$FM,106)</f>
        <v>68.819999999999993</v>
      </c>
      <c r="F92" s="50">
        <f>VLOOKUP($A92,'Data shares'!$C:$FM,108)</f>
        <v>-11.28</v>
      </c>
      <c r="G92" s="50">
        <f t="shared" si="2"/>
        <v>0.83609415867480386</v>
      </c>
    </row>
    <row r="93" spans="1:7" x14ac:dyDescent="0.25">
      <c r="A93" s="49" t="str">
        <f>'Data shares'!C88</f>
        <v>IDFCFIRSTB</v>
      </c>
      <c r="B93" s="50">
        <f>VLOOKUP($A93,'Data shares'!$C:$FM,102)</f>
        <v>22.98</v>
      </c>
      <c r="C93" s="50">
        <f>VLOOKUP($A93,'Data shares'!$C:$FM,110)</f>
        <v>22.82</v>
      </c>
      <c r="D93" s="50">
        <f>VLOOKUP($A93,'Data shares'!$C:$FM,114)</f>
        <v>23.28</v>
      </c>
      <c r="E93" s="50">
        <f>VLOOKUP($A93,'Data shares'!$C:$FM,106)</f>
        <v>32.479999999999997</v>
      </c>
      <c r="F93" s="50">
        <f>VLOOKUP($A93,'Data shares'!$C:$FM,108)</f>
        <v>-9.5</v>
      </c>
      <c r="G93" s="50">
        <f t="shared" si="2"/>
        <v>0.70751231527093605</v>
      </c>
    </row>
    <row r="94" spans="1:7" x14ac:dyDescent="0.25">
      <c r="A94" s="49" t="str">
        <f>'Data shares'!C89</f>
        <v>IEX</v>
      </c>
      <c r="B94" s="50">
        <f>VLOOKUP($A94,'Data shares'!$C:$FM,102)</f>
        <v>38.06</v>
      </c>
      <c r="C94" s="50">
        <f>VLOOKUP($A94,'Data shares'!$C:$FM,110)</f>
        <v>38.590000000000003</v>
      </c>
      <c r="D94" s="50">
        <f>VLOOKUP($A94,'Data shares'!$C:$FM,114)</f>
        <v>36.51</v>
      </c>
      <c r="E94" s="50">
        <f>VLOOKUP($A94,'Data shares'!$C:$FM,106)</f>
        <v>52.43</v>
      </c>
      <c r="F94" s="50">
        <f>VLOOKUP($A94,'Data shares'!$C:$FM,108)</f>
        <v>-14.37</v>
      </c>
      <c r="G94" s="50">
        <f t="shared" si="2"/>
        <v>0.72592027465191689</v>
      </c>
    </row>
    <row r="95" spans="1:7" x14ac:dyDescent="0.25">
      <c r="A95" s="49" t="str">
        <f>'Data shares'!C90</f>
        <v>IIFL</v>
      </c>
      <c r="B95" s="50">
        <f>VLOOKUP($A95,'Data shares'!$C:$FM,102)</f>
        <v>30.18</v>
      </c>
      <c r="C95" s="50">
        <f>VLOOKUP($A95,'Data shares'!$C:$FM,110)</f>
        <v>29.72</v>
      </c>
      <c r="D95" s="50">
        <f>VLOOKUP($A95,'Data shares'!$C:$FM,114)</f>
        <v>31.1</v>
      </c>
      <c r="E95" s="50">
        <f>VLOOKUP($A95,'Data shares'!$C:$FM,106)</f>
        <v>48.78</v>
      </c>
      <c r="F95" s="50">
        <f>VLOOKUP($A95,'Data shares'!$C:$FM,108)</f>
        <v>-18.600000000000001</v>
      </c>
      <c r="G95" s="50">
        <f t="shared" si="2"/>
        <v>0.61869618696186957</v>
      </c>
    </row>
    <row r="96" spans="1:7" x14ac:dyDescent="0.25">
      <c r="A96" s="49" t="str">
        <f>'Data shares'!C91</f>
        <v>INDHOTEL</v>
      </c>
      <c r="B96" s="50">
        <f>VLOOKUP($A96,'Data shares'!$C:$FM,102)</f>
        <v>18.54</v>
      </c>
      <c r="C96" s="50">
        <f>VLOOKUP($A96,'Data shares'!$C:$FM,110)</f>
        <v>18.29</v>
      </c>
      <c r="D96" s="50">
        <f>VLOOKUP($A96,'Data shares'!$C:$FM,114)</f>
        <v>19.13</v>
      </c>
      <c r="E96" s="50">
        <f>VLOOKUP($A96,'Data shares'!$C:$FM,106)</f>
        <v>33.479999999999997</v>
      </c>
      <c r="F96" s="50">
        <f>VLOOKUP($A96,'Data shares'!$C:$FM,108)</f>
        <v>-14.94</v>
      </c>
      <c r="G96" s="50">
        <f t="shared" si="2"/>
        <v>0.55376344086021512</v>
      </c>
    </row>
    <row r="97" spans="1:7" x14ac:dyDescent="0.25">
      <c r="A97" s="49" t="str">
        <f>'Data shares'!C92</f>
        <v>INDIANB</v>
      </c>
      <c r="B97" s="50">
        <f>VLOOKUP($A97,'Data shares'!$C:$FM,102)</f>
        <v>27.52</v>
      </c>
      <c r="C97" s="50">
        <f>VLOOKUP($A97,'Data shares'!$C:$FM,110)</f>
        <v>27.44</v>
      </c>
      <c r="D97" s="50">
        <f>VLOOKUP($A97,'Data shares'!$C:$FM,114)</f>
        <v>27.71</v>
      </c>
      <c r="E97" s="50">
        <f>VLOOKUP($A97,'Data shares'!$C:$FM,106)</f>
        <v>37.369999999999997</v>
      </c>
      <c r="F97" s="50">
        <f>VLOOKUP($A97,'Data shares'!$C:$FM,108)</f>
        <v>-9.85</v>
      </c>
      <c r="G97" s="50">
        <f t="shared" si="2"/>
        <v>0.73641958790473649</v>
      </c>
    </row>
    <row r="98" spans="1:7" x14ac:dyDescent="0.25">
      <c r="A98" s="49" t="str">
        <f>'Data shares'!C93</f>
        <v>INDIAVIX</v>
      </c>
      <c r="B98" s="50">
        <f>VLOOKUP($A98,'Data shares'!$C:$FM,102)</f>
        <v>0</v>
      </c>
      <c r="C98" s="50">
        <f>VLOOKUP($A98,'Data shares'!$C:$FM,110)</f>
        <v>0</v>
      </c>
      <c r="D98" s="50">
        <f>VLOOKUP($A98,'Data shares'!$C:$FM,114)</f>
        <v>0</v>
      </c>
      <c r="E98" s="50">
        <f>VLOOKUP($A98,'Data shares'!$C:$FM,106)</f>
        <v>0</v>
      </c>
      <c r="F98" s="50">
        <f>VLOOKUP($A98,'Data shares'!$C:$FM,108)</f>
        <v>0</v>
      </c>
      <c r="G98" s="50" t="e">
        <f t="shared" si="2"/>
        <v>#DIV/0!</v>
      </c>
    </row>
    <row r="99" spans="1:7" x14ac:dyDescent="0.25">
      <c r="A99" s="49" t="str">
        <f>'Data shares'!C94</f>
        <v>INDIGO</v>
      </c>
      <c r="B99" s="50">
        <f>VLOOKUP($A99,'Data shares'!$C:$FM,102)</f>
        <v>24.09</v>
      </c>
      <c r="C99" s="50">
        <f>VLOOKUP($A99,'Data shares'!$C:$FM,110)</f>
        <v>23.51</v>
      </c>
      <c r="D99" s="50">
        <f>VLOOKUP($A99,'Data shares'!$C:$FM,114)</f>
        <v>25.27</v>
      </c>
      <c r="E99" s="50">
        <f>VLOOKUP($A99,'Data shares'!$C:$FM,106)</f>
        <v>33.32</v>
      </c>
      <c r="F99" s="50">
        <f>VLOOKUP($A99,'Data shares'!$C:$FM,108)</f>
        <v>-9.23</v>
      </c>
      <c r="G99" s="50">
        <f t="shared" si="2"/>
        <v>0.72298919567827125</v>
      </c>
    </row>
    <row r="100" spans="1:7" x14ac:dyDescent="0.25">
      <c r="A100" s="49" t="str">
        <f>'Data shares'!C95</f>
        <v>INDUSINDBK</v>
      </c>
      <c r="B100" s="50">
        <f>VLOOKUP($A100,'Data shares'!$C:$FM,102)</f>
        <v>27.14</v>
      </c>
      <c r="C100" s="50">
        <f>VLOOKUP($A100,'Data shares'!$C:$FM,110)</f>
        <v>27.06</v>
      </c>
      <c r="D100" s="50">
        <f>VLOOKUP($A100,'Data shares'!$C:$FM,114)</f>
        <v>27.28</v>
      </c>
      <c r="E100" s="50">
        <f>VLOOKUP($A100,'Data shares'!$C:$FM,106)</f>
        <v>43.66</v>
      </c>
      <c r="F100" s="50">
        <f>VLOOKUP($A100,'Data shares'!$C:$FM,108)</f>
        <v>-16.52</v>
      </c>
      <c r="G100" s="50">
        <f t="shared" si="2"/>
        <v>0.62162162162162171</v>
      </c>
    </row>
    <row r="101" spans="1:7" x14ac:dyDescent="0.25">
      <c r="A101" s="49" t="str">
        <f>'Data shares'!C96</f>
        <v>INDUSTOWER</v>
      </c>
      <c r="B101" s="50">
        <f>VLOOKUP($A101,'Data shares'!$C:$FM,102)</f>
        <v>26.8</v>
      </c>
      <c r="C101" s="50">
        <f>VLOOKUP($A101,'Data shares'!$C:$FM,110)</f>
        <v>26.5</v>
      </c>
      <c r="D101" s="50">
        <f>VLOOKUP($A101,'Data shares'!$C:$FM,114)</f>
        <v>27.5</v>
      </c>
      <c r="E101" s="50">
        <f>VLOOKUP($A101,'Data shares'!$C:$FM,106)</f>
        <v>38.270000000000003</v>
      </c>
      <c r="F101" s="50">
        <f>VLOOKUP($A101,'Data shares'!$C:$FM,108)</f>
        <v>-11.47</v>
      </c>
      <c r="G101" s="50">
        <f t="shared" si="2"/>
        <v>0.70028743140841387</v>
      </c>
    </row>
    <row r="102" spans="1:7" x14ac:dyDescent="0.25">
      <c r="A102" s="49" t="str">
        <f>'Data shares'!C97</f>
        <v>INFY</v>
      </c>
      <c r="B102" s="50">
        <f>VLOOKUP($A102,'Data shares'!$C:$FM,102)</f>
        <v>23.42</v>
      </c>
      <c r="C102" s="50">
        <f>VLOOKUP($A102,'Data shares'!$C:$FM,110)</f>
        <v>23.09</v>
      </c>
      <c r="D102" s="50">
        <f>VLOOKUP($A102,'Data shares'!$C:$FM,114)</f>
        <v>24.17</v>
      </c>
      <c r="E102" s="50">
        <f>VLOOKUP($A102,'Data shares'!$C:$FM,106)</f>
        <v>28.25</v>
      </c>
      <c r="F102" s="50">
        <f>VLOOKUP($A102,'Data shares'!$C:$FM,108)</f>
        <v>-4.83</v>
      </c>
      <c r="G102" s="50">
        <f t="shared" si="2"/>
        <v>0.82902654867256642</v>
      </c>
    </row>
    <row r="103" spans="1:7" x14ac:dyDescent="0.25">
      <c r="A103" s="49" t="str">
        <f>'Data shares'!C98</f>
        <v>INOXWIND</v>
      </c>
      <c r="B103" s="50">
        <f>VLOOKUP($A103,'Data shares'!$C:$FM,102)</f>
        <v>34.909999999999997</v>
      </c>
      <c r="C103" s="50">
        <f>VLOOKUP($A103,'Data shares'!$C:$FM,110)</f>
        <v>35.119999999999997</v>
      </c>
      <c r="D103" s="50">
        <f>VLOOKUP($A103,'Data shares'!$C:$FM,114)</f>
        <v>34.35</v>
      </c>
      <c r="E103" s="50">
        <f>VLOOKUP($A103,'Data shares'!$C:$FM,106)</f>
        <v>52.03</v>
      </c>
      <c r="F103" s="50">
        <f>VLOOKUP($A103,'Data shares'!$C:$FM,108)</f>
        <v>-17.12</v>
      </c>
      <c r="G103" s="50">
        <f t="shared" ref="G103:G134" si="3">B103/E103</f>
        <v>0.67095906207956935</v>
      </c>
    </row>
    <row r="104" spans="1:7" x14ac:dyDescent="0.25">
      <c r="A104" s="49" t="str">
        <f>'Data shares'!C99</f>
        <v>IOC</v>
      </c>
      <c r="B104" s="50">
        <f>VLOOKUP($A104,'Data shares'!$C:$FM,102)</f>
        <v>20.82</v>
      </c>
      <c r="C104" s="50">
        <f>VLOOKUP($A104,'Data shares'!$C:$FM,110)</f>
        <v>20.82</v>
      </c>
      <c r="D104" s="50">
        <f>VLOOKUP($A104,'Data shares'!$C:$FM,114)</f>
        <v>20.82</v>
      </c>
      <c r="E104" s="50">
        <f>VLOOKUP($A104,'Data shares'!$C:$FM,106)</f>
        <v>30.68</v>
      </c>
      <c r="F104" s="50">
        <f>VLOOKUP($A104,'Data shares'!$C:$FM,108)</f>
        <v>-9.86</v>
      </c>
      <c r="G104" s="50">
        <f t="shared" si="3"/>
        <v>0.67861799217731422</v>
      </c>
    </row>
    <row r="105" spans="1:7" x14ac:dyDescent="0.25">
      <c r="A105" s="49" t="str">
        <f>'Data shares'!C100</f>
        <v>IRCTC</v>
      </c>
      <c r="B105" s="50">
        <f>VLOOKUP($A105,'Data shares'!$C:$FM,102)</f>
        <v>23.49</v>
      </c>
      <c r="C105" s="50">
        <f>VLOOKUP($A105,'Data shares'!$C:$FM,110)</f>
        <v>23.77</v>
      </c>
      <c r="D105" s="50">
        <f>VLOOKUP($A105,'Data shares'!$C:$FM,114)</f>
        <v>22.49</v>
      </c>
      <c r="E105" s="50">
        <f>VLOOKUP($A105,'Data shares'!$C:$FM,106)</f>
        <v>29.1</v>
      </c>
      <c r="F105" s="50">
        <f>VLOOKUP($A105,'Data shares'!$C:$FM,108)</f>
        <v>-5.61</v>
      </c>
      <c r="G105" s="50">
        <f t="shared" si="3"/>
        <v>0.80721649484536073</v>
      </c>
    </row>
    <row r="106" spans="1:7" x14ac:dyDescent="0.25">
      <c r="A106" s="49" t="str">
        <f>'Data shares'!C101</f>
        <v>IREDA</v>
      </c>
      <c r="B106" s="50">
        <f>VLOOKUP($A106,'Data shares'!$C:$FM,102)</f>
        <v>35.619999999999997</v>
      </c>
      <c r="C106" s="50">
        <f>VLOOKUP($A106,'Data shares'!$C:$FM,110)</f>
        <v>35.76</v>
      </c>
      <c r="D106" s="50">
        <f>VLOOKUP($A106,'Data shares'!$C:$FM,114)</f>
        <v>34.93</v>
      </c>
      <c r="E106" s="50">
        <f>VLOOKUP($A106,'Data shares'!$C:$FM,106)</f>
        <v>47.98</v>
      </c>
      <c r="F106" s="50">
        <f>VLOOKUP($A106,'Data shares'!$C:$FM,108)</f>
        <v>-12.36</v>
      </c>
      <c r="G106" s="50">
        <f t="shared" si="3"/>
        <v>0.74239266360983747</v>
      </c>
    </row>
    <row r="107" spans="1:7" x14ac:dyDescent="0.25">
      <c r="A107" s="49" t="str">
        <f>'Data shares'!C102</f>
        <v>IRFC</v>
      </c>
      <c r="B107" s="50">
        <f>VLOOKUP($A107,'Data shares'!$C:$FM,102)</f>
        <v>39.42</v>
      </c>
      <c r="C107" s="50">
        <f>VLOOKUP($A107,'Data shares'!$C:$FM,110)</f>
        <v>39.69</v>
      </c>
      <c r="D107" s="50">
        <f>VLOOKUP($A107,'Data shares'!$C:$FM,114)</f>
        <v>38.46</v>
      </c>
      <c r="E107" s="50">
        <f>VLOOKUP($A107,'Data shares'!$C:$FM,106)</f>
        <v>45.87</v>
      </c>
      <c r="F107" s="50">
        <f>VLOOKUP($A107,'Data shares'!$C:$FM,108)</f>
        <v>-6.45</v>
      </c>
      <c r="G107" s="50">
        <f t="shared" si="3"/>
        <v>0.85938521909744936</v>
      </c>
    </row>
    <row r="108" spans="1:7" x14ac:dyDescent="0.25">
      <c r="A108" s="49" t="str">
        <f>'Data shares'!C103</f>
        <v>ITC</v>
      </c>
      <c r="B108" s="50">
        <f>VLOOKUP($A108,'Data shares'!$C:$FM,102)</f>
        <v>26.3</v>
      </c>
      <c r="C108" s="50">
        <f>VLOOKUP($A108,'Data shares'!$C:$FM,110)</f>
        <v>26.43</v>
      </c>
      <c r="D108" s="50">
        <f>VLOOKUP($A108,'Data shares'!$C:$FM,114)</f>
        <v>26.15</v>
      </c>
      <c r="E108" s="50">
        <f>VLOOKUP($A108,'Data shares'!$C:$FM,106)</f>
        <v>22.81</v>
      </c>
      <c r="F108" s="50">
        <f>VLOOKUP($A108,'Data shares'!$C:$FM,108)</f>
        <v>3.49</v>
      </c>
      <c r="G108" s="50">
        <f t="shared" si="3"/>
        <v>1.1530030688294608</v>
      </c>
    </row>
    <row r="109" spans="1:7" x14ac:dyDescent="0.25">
      <c r="A109" s="49" t="str">
        <f>'Data shares'!C104</f>
        <v>JINDALSTEL</v>
      </c>
      <c r="B109" s="50">
        <f>VLOOKUP($A109,'Data shares'!$C:$FM,102)</f>
        <v>24.98</v>
      </c>
      <c r="C109" s="50">
        <f>VLOOKUP($A109,'Data shares'!$C:$FM,110)</f>
        <v>24.76</v>
      </c>
      <c r="D109" s="50">
        <f>VLOOKUP($A109,'Data shares'!$C:$FM,114)</f>
        <v>25.42</v>
      </c>
      <c r="E109" s="50">
        <f>VLOOKUP($A109,'Data shares'!$C:$FM,106)</f>
        <v>34.340000000000003</v>
      </c>
      <c r="F109" s="50">
        <f>VLOOKUP($A109,'Data shares'!$C:$FM,108)</f>
        <v>-9.36</v>
      </c>
      <c r="G109" s="50">
        <f t="shared" si="3"/>
        <v>0.72743156668608033</v>
      </c>
    </row>
    <row r="110" spans="1:7" x14ac:dyDescent="0.25">
      <c r="A110" s="49" t="str">
        <f>'Data shares'!C105</f>
        <v>JIOFIN</v>
      </c>
      <c r="B110" s="50">
        <f>VLOOKUP($A110,'Data shares'!$C:$FM,102)</f>
        <v>23.22</v>
      </c>
      <c r="C110" s="50">
        <f>VLOOKUP($A110,'Data shares'!$C:$FM,110)</f>
        <v>23.03</v>
      </c>
      <c r="D110" s="50">
        <f>VLOOKUP($A110,'Data shares'!$C:$FM,114)</f>
        <v>23.73</v>
      </c>
      <c r="E110" s="50">
        <f>VLOOKUP($A110,'Data shares'!$C:$FM,106)</f>
        <v>33.36</v>
      </c>
      <c r="F110" s="50">
        <f>VLOOKUP($A110,'Data shares'!$C:$FM,108)</f>
        <v>-10.14</v>
      </c>
      <c r="G110" s="50">
        <f t="shared" si="3"/>
        <v>0.6960431654676259</v>
      </c>
    </row>
    <row r="111" spans="1:7" x14ac:dyDescent="0.25">
      <c r="A111" s="49" t="str">
        <f>'Data shares'!C106</f>
        <v>JSWENERGY</v>
      </c>
      <c r="B111" s="50">
        <f>VLOOKUP($A111,'Data shares'!$C:$FM,102)</f>
        <v>27.3</v>
      </c>
      <c r="C111" s="50">
        <f>VLOOKUP($A111,'Data shares'!$C:$FM,110)</f>
        <v>27.12</v>
      </c>
      <c r="D111" s="50">
        <f>VLOOKUP($A111,'Data shares'!$C:$FM,114)</f>
        <v>27.83</v>
      </c>
      <c r="E111" s="50">
        <f>VLOOKUP($A111,'Data shares'!$C:$FM,106)</f>
        <v>42.73</v>
      </c>
      <c r="F111" s="50">
        <f>VLOOKUP($A111,'Data shares'!$C:$FM,108)</f>
        <v>-15.43</v>
      </c>
      <c r="G111" s="50">
        <f t="shared" si="3"/>
        <v>0.63889538965597947</v>
      </c>
    </row>
    <row r="112" spans="1:7" x14ac:dyDescent="0.25">
      <c r="A112" s="49" t="str">
        <f>'Data shares'!C107</f>
        <v>JSWSTEEL</v>
      </c>
      <c r="B112" s="50">
        <f>VLOOKUP($A112,'Data shares'!$C:$FM,102)</f>
        <v>22.76</v>
      </c>
      <c r="C112" s="50">
        <f>VLOOKUP($A112,'Data shares'!$C:$FM,110)</f>
        <v>22.15</v>
      </c>
      <c r="D112" s="50">
        <f>VLOOKUP($A112,'Data shares'!$C:$FM,114)</f>
        <v>23.34</v>
      </c>
      <c r="E112" s="50">
        <f>VLOOKUP($A112,'Data shares'!$C:$FM,106)</f>
        <v>29.48</v>
      </c>
      <c r="F112" s="50">
        <f>VLOOKUP($A112,'Data shares'!$C:$FM,108)</f>
        <v>-6.72</v>
      </c>
      <c r="G112" s="50">
        <f t="shared" si="3"/>
        <v>0.77204884667571239</v>
      </c>
    </row>
    <row r="113" spans="1:7" x14ac:dyDescent="0.25">
      <c r="A113" s="49" t="str">
        <f>'Data shares'!C108</f>
        <v>JUBLFOOD</v>
      </c>
      <c r="B113" s="50">
        <f>VLOOKUP($A113,'Data shares'!$C:$FM,102)</f>
        <v>26.12</v>
      </c>
      <c r="C113" s="50">
        <f>VLOOKUP($A113,'Data shares'!$C:$FM,110)</f>
        <v>26.22</v>
      </c>
      <c r="D113" s="50">
        <f>VLOOKUP($A113,'Data shares'!$C:$FM,114)</f>
        <v>26.01</v>
      </c>
      <c r="E113" s="50">
        <f>VLOOKUP($A113,'Data shares'!$C:$FM,106)</f>
        <v>33.130000000000003</v>
      </c>
      <c r="F113" s="50">
        <f>VLOOKUP($A113,'Data shares'!$C:$FM,108)</f>
        <v>-7.01</v>
      </c>
      <c r="G113" s="50">
        <f t="shared" si="3"/>
        <v>0.78840929670993054</v>
      </c>
    </row>
    <row r="114" spans="1:7" x14ac:dyDescent="0.25">
      <c r="A114" s="49" t="str">
        <f>'Data shares'!C109</f>
        <v>KALYANKJIL</v>
      </c>
      <c r="B114" s="50">
        <f>VLOOKUP($A114,'Data shares'!$C:$FM,102)</f>
        <v>29.52</v>
      </c>
      <c r="C114" s="50">
        <f>VLOOKUP($A114,'Data shares'!$C:$FM,110)</f>
        <v>29.45</v>
      </c>
      <c r="D114" s="50">
        <f>VLOOKUP($A114,'Data shares'!$C:$FM,114)</f>
        <v>29.71</v>
      </c>
      <c r="E114" s="50">
        <f>VLOOKUP($A114,'Data shares'!$C:$FM,106)</f>
        <v>47.18</v>
      </c>
      <c r="F114" s="50">
        <f>VLOOKUP($A114,'Data shares'!$C:$FM,108)</f>
        <v>-17.66</v>
      </c>
      <c r="G114" s="50">
        <f t="shared" si="3"/>
        <v>0.625688851208139</v>
      </c>
    </row>
    <row r="115" spans="1:7" x14ac:dyDescent="0.25">
      <c r="A115" s="49" t="str">
        <f>'Data shares'!C110</f>
        <v>KAYNES</v>
      </c>
      <c r="B115" s="50">
        <f>VLOOKUP($A115,'Data shares'!$C:$FM,102)</f>
        <v>41.03</v>
      </c>
      <c r="C115" s="50">
        <f>VLOOKUP($A115,'Data shares'!$C:$FM,110)</f>
        <v>41.31</v>
      </c>
      <c r="D115" s="50">
        <f>VLOOKUP($A115,'Data shares'!$C:$FM,114)</f>
        <v>40.54</v>
      </c>
      <c r="E115" s="50">
        <f>VLOOKUP($A115,'Data shares'!$C:$FM,106)</f>
        <v>62.03</v>
      </c>
      <c r="F115" s="50">
        <f>VLOOKUP($A115,'Data shares'!$C:$FM,108)</f>
        <v>-21</v>
      </c>
      <c r="G115" s="50">
        <f t="shared" si="3"/>
        <v>0.66145413509592133</v>
      </c>
    </row>
    <row r="116" spans="1:7" x14ac:dyDescent="0.25">
      <c r="A116" s="49" t="str">
        <f>'Data shares'!C111</f>
        <v>KEI</v>
      </c>
      <c r="B116" s="50">
        <f>VLOOKUP($A116,'Data shares'!$C:$FM,102)</f>
        <v>26.64</v>
      </c>
      <c r="C116" s="50">
        <f>VLOOKUP($A116,'Data shares'!$C:$FM,110)</f>
        <v>26.55</v>
      </c>
      <c r="D116" s="50">
        <f>VLOOKUP($A116,'Data shares'!$C:$FM,114)</f>
        <v>26.9</v>
      </c>
      <c r="E116" s="50">
        <f>VLOOKUP($A116,'Data shares'!$C:$FM,106)</f>
        <v>45.43</v>
      </c>
      <c r="F116" s="50">
        <f>VLOOKUP($A116,'Data shares'!$C:$FM,108)</f>
        <v>-18.79</v>
      </c>
      <c r="G116" s="50">
        <f t="shared" si="3"/>
        <v>0.58639665419326437</v>
      </c>
    </row>
    <row r="117" spans="1:7" x14ac:dyDescent="0.25">
      <c r="A117" s="49" t="str">
        <f>'Data shares'!C112</f>
        <v>KFINTECH</v>
      </c>
      <c r="B117" s="50">
        <f>VLOOKUP($A117,'Data shares'!$C:$FM,102)</f>
        <v>31.09</v>
      </c>
      <c r="C117" s="50">
        <f>VLOOKUP($A117,'Data shares'!$C:$FM,110)</f>
        <v>30.75</v>
      </c>
      <c r="D117" s="50">
        <f>VLOOKUP($A117,'Data shares'!$C:$FM,114)</f>
        <v>32.11</v>
      </c>
      <c r="E117" s="50">
        <f>VLOOKUP($A117,'Data shares'!$C:$FM,106)</f>
        <v>51.83</v>
      </c>
      <c r="F117" s="50">
        <f>VLOOKUP($A117,'Data shares'!$C:$FM,108)</f>
        <v>-20.74</v>
      </c>
      <c r="G117" s="50">
        <f t="shared" si="3"/>
        <v>0.59984564923789307</v>
      </c>
    </row>
    <row r="118" spans="1:7" x14ac:dyDescent="0.25">
      <c r="A118" s="49" t="str">
        <f>'Data shares'!C113</f>
        <v>KOTAKBANK</v>
      </c>
      <c r="B118" s="50">
        <f>VLOOKUP($A118,'Data shares'!$C:$FM,102)</f>
        <v>17.53</v>
      </c>
      <c r="C118" s="50">
        <f>VLOOKUP($A118,'Data shares'!$C:$FM,110)</f>
        <v>17.16</v>
      </c>
      <c r="D118" s="50">
        <f>VLOOKUP($A118,'Data shares'!$C:$FM,114)</f>
        <v>18.32</v>
      </c>
      <c r="E118" s="50">
        <f>VLOOKUP($A118,'Data shares'!$C:$FM,106)</f>
        <v>25.4</v>
      </c>
      <c r="F118" s="50">
        <f>VLOOKUP($A118,'Data shares'!$C:$FM,108)</f>
        <v>-7.87</v>
      </c>
      <c r="G118" s="50">
        <f t="shared" si="3"/>
        <v>0.69015748031496071</v>
      </c>
    </row>
    <row r="119" spans="1:7" x14ac:dyDescent="0.25">
      <c r="A119" s="49" t="str">
        <f>'Data shares'!C114</f>
        <v>KPITTECH</v>
      </c>
      <c r="B119" s="50">
        <f>VLOOKUP($A119,'Data shares'!$C:$FM,102)</f>
        <v>29.92</v>
      </c>
      <c r="C119" s="50">
        <f>VLOOKUP($A119,'Data shares'!$C:$FM,110)</f>
        <v>29.89</v>
      </c>
      <c r="D119" s="50">
        <f>VLOOKUP($A119,'Data shares'!$C:$FM,114)</f>
        <v>30</v>
      </c>
      <c r="E119" s="50">
        <f>VLOOKUP($A119,'Data shares'!$C:$FM,106)</f>
        <v>42.53</v>
      </c>
      <c r="F119" s="50">
        <f>VLOOKUP($A119,'Data shares'!$C:$FM,108)</f>
        <v>-12.61</v>
      </c>
      <c r="G119" s="50">
        <f t="shared" si="3"/>
        <v>0.70350340935810018</v>
      </c>
    </row>
    <row r="120" spans="1:7" x14ac:dyDescent="0.25">
      <c r="A120" s="49" t="str">
        <f>'Data shares'!C115</f>
        <v>LAURUSLABS</v>
      </c>
      <c r="B120" s="50">
        <f>VLOOKUP($A120,'Data shares'!$C:$FM,102)</f>
        <v>27.45</v>
      </c>
      <c r="C120" s="50">
        <f>VLOOKUP($A120,'Data shares'!$C:$FM,110)</f>
        <v>27.11</v>
      </c>
      <c r="D120" s="50">
        <f>VLOOKUP($A120,'Data shares'!$C:$FM,114)</f>
        <v>28</v>
      </c>
      <c r="E120" s="50">
        <f>VLOOKUP($A120,'Data shares'!$C:$FM,106)</f>
        <v>37.799999999999997</v>
      </c>
      <c r="F120" s="50">
        <f>VLOOKUP($A120,'Data shares'!$C:$FM,108)</f>
        <v>-10.35</v>
      </c>
      <c r="G120" s="50">
        <f t="shared" si="3"/>
        <v>0.72619047619047628</v>
      </c>
    </row>
    <row r="121" spans="1:7" x14ac:dyDescent="0.25">
      <c r="A121" s="49" t="str">
        <f>'Data shares'!C116</f>
        <v>LICHSGFIN</v>
      </c>
      <c r="B121" s="50">
        <f>VLOOKUP($A121,'Data shares'!$C:$FM,102)</f>
        <v>19.760000000000002</v>
      </c>
      <c r="C121" s="50">
        <f>VLOOKUP($A121,'Data shares'!$C:$FM,110)</f>
        <v>19.36</v>
      </c>
      <c r="D121" s="50">
        <f>VLOOKUP($A121,'Data shares'!$C:$FM,114)</f>
        <v>20.54</v>
      </c>
      <c r="E121" s="50">
        <f>VLOOKUP($A121,'Data shares'!$C:$FM,106)</f>
        <v>31.99</v>
      </c>
      <c r="F121" s="50">
        <f>VLOOKUP($A121,'Data shares'!$C:$FM,108)</f>
        <v>-12.23</v>
      </c>
      <c r="G121" s="50">
        <f t="shared" si="3"/>
        <v>0.61769302907158496</v>
      </c>
    </row>
    <row r="122" spans="1:7" x14ac:dyDescent="0.25">
      <c r="A122" s="49" t="str">
        <f>'Data shares'!C117</f>
        <v>LICI</v>
      </c>
      <c r="B122" s="50">
        <f>VLOOKUP($A122,'Data shares'!$C:$FM,102)</f>
        <v>17.3</v>
      </c>
      <c r="C122" s="50">
        <f>VLOOKUP($A122,'Data shares'!$C:$FM,110)</f>
        <v>17.510000000000002</v>
      </c>
      <c r="D122" s="50">
        <f>VLOOKUP($A122,'Data shares'!$C:$FM,114)</f>
        <v>16.809999999999999</v>
      </c>
      <c r="E122" s="50">
        <f>VLOOKUP($A122,'Data shares'!$C:$FM,106)</f>
        <v>29.86</v>
      </c>
      <c r="F122" s="50">
        <f>VLOOKUP($A122,'Data shares'!$C:$FM,108)</f>
        <v>-12.56</v>
      </c>
      <c r="G122" s="50">
        <f t="shared" si="3"/>
        <v>0.579370395177495</v>
      </c>
    </row>
    <row r="123" spans="1:7" x14ac:dyDescent="0.25">
      <c r="A123" s="49" t="str">
        <f>'Data shares'!C118</f>
        <v>LODHA</v>
      </c>
      <c r="B123" s="50">
        <f>VLOOKUP($A123,'Data shares'!$C:$FM,102)</f>
        <v>27.39</v>
      </c>
      <c r="C123" s="50">
        <f>VLOOKUP($A123,'Data shares'!$C:$FM,110)</f>
        <v>27.41</v>
      </c>
      <c r="D123" s="50">
        <f>VLOOKUP($A123,'Data shares'!$C:$FM,114)</f>
        <v>27.35</v>
      </c>
      <c r="E123" s="50">
        <f>VLOOKUP($A123,'Data shares'!$C:$FM,106)</f>
        <v>43.1</v>
      </c>
      <c r="F123" s="50">
        <f>VLOOKUP($A123,'Data shares'!$C:$FM,108)</f>
        <v>-15.71</v>
      </c>
      <c r="G123" s="50">
        <f t="shared" si="3"/>
        <v>0.63549883990719258</v>
      </c>
    </row>
    <row r="124" spans="1:7" x14ac:dyDescent="0.25">
      <c r="A124" s="49" t="str">
        <f>'Data shares'!C119</f>
        <v>LT</v>
      </c>
      <c r="B124" s="50">
        <f>VLOOKUP($A124,'Data shares'!$C:$FM,102)</f>
        <v>15.09</v>
      </c>
      <c r="C124" s="50">
        <f>VLOOKUP($A124,'Data shares'!$C:$FM,110)</f>
        <v>14.68</v>
      </c>
      <c r="D124" s="50">
        <f>VLOOKUP($A124,'Data shares'!$C:$FM,114)</f>
        <v>16</v>
      </c>
      <c r="E124" s="50">
        <f>VLOOKUP($A124,'Data shares'!$C:$FM,106)</f>
        <v>25.59</v>
      </c>
      <c r="F124" s="50">
        <f>VLOOKUP($A124,'Data shares'!$C:$FM,108)</f>
        <v>-10.5</v>
      </c>
      <c r="G124" s="50">
        <f t="shared" si="3"/>
        <v>0.58968347010550992</v>
      </c>
    </row>
    <row r="125" spans="1:7" x14ac:dyDescent="0.25">
      <c r="A125" s="49" t="str">
        <f>'Data shares'!C120</f>
        <v>LTF</v>
      </c>
      <c r="B125" s="50">
        <f>VLOOKUP($A125,'Data shares'!$C:$FM,102)</f>
        <v>29.04</v>
      </c>
      <c r="C125" s="50">
        <f>VLOOKUP($A125,'Data shares'!$C:$FM,110)</f>
        <v>29</v>
      </c>
      <c r="D125" s="50">
        <f>VLOOKUP($A125,'Data shares'!$C:$FM,114)</f>
        <v>29.15</v>
      </c>
      <c r="E125" s="50">
        <f>VLOOKUP($A125,'Data shares'!$C:$FM,106)</f>
        <v>38.53</v>
      </c>
      <c r="F125" s="50">
        <f>VLOOKUP($A125,'Data shares'!$C:$FM,108)</f>
        <v>-9.49</v>
      </c>
      <c r="G125" s="50">
        <f t="shared" si="3"/>
        <v>0.75369841681806382</v>
      </c>
    </row>
    <row r="126" spans="1:7" x14ac:dyDescent="0.25">
      <c r="A126" s="49" t="str">
        <f>'Data shares'!C121</f>
        <v>LTIM</v>
      </c>
      <c r="B126" s="50">
        <f>VLOOKUP($A126,'Data shares'!$C:$FM,102)</f>
        <v>24.62</v>
      </c>
      <c r="C126" s="50">
        <f>VLOOKUP($A126,'Data shares'!$C:$FM,110)</f>
        <v>24.18</v>
      </c>
      <c r="D126" s="50">
        <f>VLOOKUP($A126,'Data shares'!$C:$FM,114)</f>
        <v>25.49</v>
      </c>
      <c r="E126" s="50">
        <f>VLOOKUP($A126,'Data shares'!$C:$FM,106)</f>
        <v>31.65</v>
      </c>
      <c r="F126" s="50">
        <f>VLOOKUP($A126,'Data shares'!$C:$FM,108)</f>
        <v>-7.03</v>
      </c>
      <c r="G126" s="50">
        <f t="shared" si="3"/>
        <v>0.77788309636650876</v>
      </c>
    </row>
    <row r="127" spans="1:7" x14ac:dyDescent="0.25">
      <c r="A127" s="49" t="str">
        <f>'Data shares'!C122</f>
        <v>LUPIN</v>
      </c>
      <c r="B127" s="50">
        <f>VLOOKUP($A127,'Data shares'!$C:$FM,102)</f>
        <v>18.27</v>
      </c>
      <c r="C127" s="50">
        <f>VLOOKUP($A127,'Data shares'!$C:$FM,110)</f>
        <v>18.23</v>
      </c>
      <c r="D127" s="50">
        <f>VLOOKUP($A127,'Data shares'!$C:$FM,114)</f>
        <v>18.36</v>
      </c>
      <c r="E127" s="50">
        <f>VLOOKUP($A127,'Data shares'!$C:$FM,106)</f>
        <v>29.74</v>
      </c>
      <c r="F127" s="50">
        <f>VLOOKUP($A127,'Data shares'!$C:$FM,108)</f>
        <v>-11.47</v>
      </c>
      <c r="G127" s="50">
        <f t="shared" si="3"/>
        <v>0.61432414256893075</v>
      </c>
    </row>
    <row r="128" spans="1:7" x14ac:dyDescent="0.25">
      <c r="A128" s="49" t="str">
        <f>'Data shares'!C123</f>
        <v>M&amp;M</v>
      </c>
      <c r="B128" s="50">
        <f>VLOOKUP($A128,'Data shares'!$C:$FM,102)</f>
        <v>19.850000000000001</v>
      </c>
      <c r="C128" s="50">
        <f>VLOOKUP($A128,'Data shares'!$C:$FM,110)</f>
        <v>19.510000000000002</v>
      </c>
      <c r="D128" s="50">
        <f>VLOOKUP($A128,'Data shares'!$C:$FM,114)</f>
        <v>20.85</v>
      </c>
      <c r="E128" s="50">
        <f>VLOOKUP($A128,'Data shares'!$C:$FM,106)</f>
        <v>31.64</v>
      </c>
      <c r="F128" s="50">
        <f>VLOOKUP($A128,'Data shares'!$C:$FM,108)</f>
        <v>-11.79</v>
      </c>
      <c r="G128" s="50">
        <f t="shared" si="3"/>
        <v>0.62737041719342612</v>
      </c>
    </row>
    <row r="129" spans="1:7" x14ac:dyDescent="0.25">
      <c r="A129" s="49" t="str">
        <f>'Data shares'!C124</f>
        <v>MANAPPURAM</v>
      </c>
      <c r="B129" s="50">
        <f>VLOOKUP($A129,'Data shares'!$C:$FM,102)</f>
        <v>28.29</v>
      </c>
      <c r="C129" s="50">
        <f>VLOOKUP($A129,'Data shares'!$C:$FM,110)</f>
        <v>27.79</v>
      </c>
      <c r="D129" s="50">
        <f>VLOOKUP($A129,'Data shares'!$C:$FM,114)</f>
        <v>29.59</v>
      </c>
      <c r="E129" s="50">
        <f>VLOOKUP($A129,'Data shares'!$C:$FM,106)</f>
        <v>40.75</v>
      </c>
      <c r="F129" s="50">
        <f>VLOOKUP($A129,'Data shares'!$C:$FM,108)</f>
        <v>-12.46</v>
      </c>
      <c r="G129" s="50">
        <f t="shared" si="3"/>
        <v>0.69423312883435584</v>
      </c>
    </row>
    <row r="130" spans="1:7" x14ac:dyDescent="0.25">
      <c r="A130" s="49" t="str">
        <f>'Data shares'!C125</f>
        <v>MANKIND</v>
      </c>
      <c r="B130" s="50">
        <f>VLOOKUP($A130,'Data shares'!$C:$FM,102)</f>
        <v>23.07</v>
      </c>
      <c r="C130" s="50">
        <f>VLOOKUP($A130,'Data shares'!$C:$FM,110)</f>
        <v>23.41</v>
      </c>
      <c r="D130" s="50">
        <f>VLOOKUP($A130,'Data shares'!$C:$FM,114)</f>
        <v>22.19</v>
      </c>
      <c r="E130" s="50">
        <f>VLOOKUP($A130,'Data shares'!$C:$FM,106)</f>
        <v>32.1</v>
      </c>
      <c r="F130" s="50">
        <f>VLOOKUP($A130,'Data shares'!$C:$FM,108)</f>
        <v>-9.0299999999999994</v>
      </c>
      <c r="G130" s="50">
        <f t="shared" si="3"/>
        <v>0.71869158878504669</v>
      </c>
    </row>
    <row r="131" spans="1:7" x14ac:dyDescent="0.25">
      <c r="A131" s="49" t="str">
        <f>'Data shares'!C126</f>
        <v>MARICO</v>
      </c>
      <c r="B131" s="50">
        <f>VLOOKUP($A131,'Data shares'!$C:$FM,102)</f>
        <v>19.59</v>
      </c>
      <c r="C131" s="50">
        <f>VLOOKUP($A131,'Data shares'!$C:$FM,110)</f>
        <v>19.36</v>
      </c>
      <c r="D131" s="50">
        <f>VLOOKUP($A131,'Data shares'!$C:$FM,114)</f>
        <v>20.149999999999999</v>
      </c>
      <c r="E131" s="50">
        <f>VLOOKUP($A131,'Data shares'!$C:$FM,106)</f>
        <v>24.6</v>
      </c>
      <c r="F131" s="50">
        <f>VLOOKUP($A131,'Data shares'!$C:$FM,108)</f>
        <v>-5.01</v>
      </c>
      <c r="G131" s="50">
        <f t="shared" si="3"/>
        <v>0.79634146341463408</v>
      </c>
    </row>
    <row r="132" spans="1:7" x14ac:dyDescent="0.25">
      <c r="A132" s="49" t="str">
        <f>'Data shares'!C127</f>
        <v>MARUTI</v>
      </c>
      <c r="B132" s="50">
        <f>VLOOKUP($A132,'Data shares'!$C:$FM,102)</f>
        <v>16.95</v>
      </c>
      <c r="C132" s="50">
        <f>VLOOKUP($A132,'Data shares'!$C:$FM,110)</f>
        <v>16.57</v>
      </c>
      <c r="D132" s="50">
        <f>VLOOKUP($A132,'Data shares'!$C:$FM,114)</f>
        <v>17.510000000000002</v>
      </c>
      <c r="E132" s="50">
        <f>VLOOKUP($A132,'Data shares'!$C:$FM,106)</f>
        <v>24.15</v>
      </c>
      <c r="F132" s="50">
        <f>VLOOKUP($A132,'Data shares'!$C:$FM,108)</f>
        <v>-7.2</v>
      </c>
      <c r="G132" s="50">
        <f t="shared" si="3"/>
        <v>0.70186335403726707</v>
      </c>
    </row>
    <row r="133" spans="1:7" x14ac:dyDescent="0.25">
      <c r="A133" s="49" t="str">
        <f>'Data shares'!C128</f>
        <v>MAXHEALTH</v>
      </c>
      <c r="B133" s="50">
        <f>VLOOKUP($A133,'Data shares'!$C:$FM,102)</f>
        <v>22.7</v>
      </c>
      <c r="C133" s="50">
        <f>VLOOKUP($A133,'Data shares'!$C:$FM,110)</f>
        <v>22.54</v>
      </c>
      <c r="D133" s="50">
        <f>VLOOKUP($A133,'Data shares'!$C:$FM,114)</f>
        <v>23.13</v>
      </c>
      <c r="E133" s="50">
        <f>VLOOKUP($A133,'Data shares'!$C:$FM,106)</f>
        <v>38.72</v>
      </c>
      <c r="F133" s="50">
        <f>VLOOKUP($A133,'Data shares'!$C:$FM,108)</f>
        <v>-16.02</v>
      </c>
      <c r="G133" s="50">
        <f t="shared" si="3"/>
        <v>0.58626033057851235</v>
      </c>
    </row>
    <row r="134" spans="1:7" x14ac:dyDescent="0.25">
      <c r="A134" s="49" t="str">
        <f>'Data shares'!C129</f>
        <v>MAZDOCK</v>
      </c>
      <c r="B134" s="50">
        <f>VLOOKUP($A134,'Data shares'!$C:$FM,102)</f>
        <v>32.729999999999997</v>
      </c>
      <c r="C134" s="50">
        <f>VLOOKUP($A134,'Data shares'!$C:$FM,110)</f>
        <v>33.049999999999997</v>
      </c>
      <c r="D134" s="50">
        <f>VLOOKUP($A134,'Data shares'!$C:$FM,114)</f>
        <v>31.92</v>
      </c>
      <c r="E134" s="50">
        <f>VLOOKUP($A134,'Data shares'!$C:$FM,106)</f>
        <v>54.77</v>
      </c>
      <c r="F134" s="50">
        <f>VLOOKUP($A134,'Data shares'!$C:$FM,108)</f>
        <v>-22.04</v>
      </c>
      <c r="G134" s="50">
        <f t="shared" si="3"/>
        <v>0.59758992148986667</v>
      </c>
    </row>
    <row r="135" spans="1:7" x14ac:dyDescent="0.25">
      <c r="A135" s="49" t="str">
        <f>'Data shares'!C130</f>
        <v>MCX</v>
      </c>
      <c r="B135" s="50">
        <f>VLOOKUP($A135,'Data shares'!$C:$FM,102)</f>
        <v>32.07</v>
      </c>
      <c r="C135" s="50">
        <f>VLOOKUP($A135,'Data shares'!$C:$FM,110)</f>
        <v>31.41</v>
      </c>
      <c r="D135" s="50">
        <f>VLOOKUP($A135,'Data shares'!$C:$FM,114)</f>
        <v>32.83</v>
      </c>
      <c r="E135" s="50">
        <f>VLOOKUP($A135,'Data shares'!$C:$FM,106)</f>
        <v>44.9</v>
      </c>
      <c r="F135" s="50">
        <f>VLOOKUP($A135,'Data shares'!$C:$FM,108)</f>
        <v>-12.83</v>
      </c>
      <c r="G135" s="50">
        <f t="shared" ref="G135:G166" si="4">B135/E135</f>
        <v>0.71425389755011137</v>
      </c>
    </row>
    <row r="136" spans="1:7" x14ac:dyDescent="0.25">
      <c r="A136" s="49" t="str">
        <f>'Data shares'!C131</f>
        <v>MFSL</v>
      </c>
      <c r="B136" s="50">
        <f>VLOOKUP($A136,'Data shares'!$C:$FM,102)</f>
        <v>22.97</v>
      </c>
      <c r="C136" s="50">
        <f>VLOOKUP($A136,'Data shares'!$C:$FM,110)</f>
        <v>22.79</v>
      </c>
      <c r="D136" s="50">
        <f>VLOOKUP($A136,'Data shares'!$C:$FM,114)</f>
        <v>23.27</v>
      </c>
      <c r="E136" s="50">
        <f>VLOOKUP($A136,'Data shares'!$C:$FM,106)</f>
        <v>29.53</v>
      </c>
      <c r="F136" s="50">
        <f>VLOOKUP($A136,'Data shares'!$C:$FM,108)</f>
        <v>-6.56</v>
      </c>
      <c r="G136" s="50">
        <f t="shared" si="4"/>
        <v>0.77785303081611912</v>
      </c>
    </row>
    <row r="137" spans="1:7" x14ac:dyDescent="0.25">
      <c r="A137" s="49" t="str">
        <f>'Data shares'!C132</f>
        <v>MIDCPNIFTY</v>
      </c>
      <c r="B137" s="50">
        <f>VLOOKUP($A137,'Data shares'!$C:$FM,102)</f>
        <v>14.1</v>
      </c>
      <c r="C137" s="50">
        <f>VLOOKUP($A137,'Data shares'!$C:$FM,110)</f>
        <v>13.36</v>
      </c>
      <c r="D137" s="50">
        <f>VLOOKUP($A137,'Data shares'!$C:$FM,114)</f>
        <v>14.85</v>
      </c>
      <c r="E137" s="50">
        <f>VLOOKUP($A137,'Data shares'!$C:$FM,106)</f>
        <v>21.51</v>
      </c>
      <c r="F137" s="50">
        <f>VLOOKUP($A137,'Data shares'!$C:$FM,108)</f>
        <v>-7.41</v>
      </c>
      <c r="G137" s="50">
        <f t="shared" si="4"/>
        <v>0.65550906555090649</v>
      </c>
    </row>
    <row r="138" spans="1:7" x14ac:dyDescent="0.25">
      <c r="A138" s="49" t="str">
        <f>'Data shares'!C133</f>
        <v>MOTHERSON</v>
      </c>
      <c r="B138" s="50">
        <f>VLOOKUP($A138,'Data shares'!$C:$FM,102)</f>
        <v>27.63</v>
      </c>
      <c r="C138" s="50">
        <f>VLOOKUP($A138,'Data shares'!$C:$FM,110)</f>
        <v>27.41</v>
      </c>
      <c r="D138" s="50">
        <f>VLOOKUP($A138,'Data shares'!$C:$FM,114)</f>
        <v>28.3</v>
      </c>
      <c r="E138" s="50">
        <f>VLOOKUP($A138,'Data shares'!$C:$FM,106)</f>
        <v>38.51</v>
      </c>
      <c r="F138" s="50">
        <f>VLOOKUP($A138,'Data shares'!$C:$FM,108)</f>
        <v>-10.88</v>
      </c>
      <c r="G138" s="50">
        <f t="shared" si="4"/>
        <v>0.71747598026486625</v>
      </c>
    </row>
    <row r="139" spans="1:7" x14ac:dyDescent="0.25">
      <c r="A139" s="49" t="str">
        <f>'Data shares'!C134</f>
        <v>MPHASIS</v>
      </c>
      <c r="B139" s="50">
        <f>VLOOKUP($A139,'Data shares'!$C:$FM,102)</f>
        <v>29.93</v>
      </c>
      <c r="C139" s="50">
        <f>VLOOKUP($A139,'Data shares'!$C:$FM,110)</f>
        <v>29.68</v>
      </c>
      <c r="D139" s="50">
        <f>VLOOKUP($A139,'Data shares'!$C:$FM,114)</f>
        <v>30.84</v>
      </c>
      <c r="E139" s="50">
        <f>VLOOKUP($A139,'Data shares'!$C:$FM,106)</f>
        <v>35.42</v>
      </c>
      <c r="F139" s="50">
        <f>VLOOKUP($A139,'Data shares'!$C:$FM,108)</f>
        <v>-5.49</v>
      </c>
      <c r="G139" s="50">
        <f t="shared" si="4"/>
        <v>0.8450028232636928</v>
      </c>
    </row>
    <row r="140" spans="1:7" x14ac:dyDescent="0.25">
      <c r="A140" s="49" t="str">
        <f>'Data shares'!C135</f>
        <v>MUTHOOTFIN</v>
      </c>
      <c r="B140" s="50">
        <f>VLOOKUP($A140,'Data shares'!$C:$FM,102)</f>
        <v>24.09</v>
      </c>
      <c r="C140" s="50">
        <f>VLOOKUP($A140,'Data shares'!$C:$FM,110)</f>
        <v>23.64</v>
      </c>
      <c r="D140" s="50">
        <f>VLOOKUP($A140,'Data shares'!$C:$FM,114)</f>
        <v>24.76</v>
      </c>
      <c r="E140" s="50">
        <f>VLOOKUP($A140,'Data shares'!$C:$FM,106)</f>
        <v>35.61</v>
      </c>
      <c r="F140" s="50">
        <f>VLOOKUP($A140,'Data shares'!$C:$FM,108)</f>
        <v>-11.52</v>
      </c>
      <c r="G140" s="50">
        <f t="shared" si="4"/>
        <v>0.67649536647009267</v>
      </c>
    </row>
    <row r="141" spans="1:7" x14ac:dyDescent="0.25">
      <c r="A141" s="49" t="str">
        <f>'Data shares'!C136</f>
        <v>NATIONALUM</v>
      </c>
      <c r="B141" s="50">
        <f>VLOOKUP($A141,'Data shares'!$C:$FM,102)</f>
        <v>33.090000000000003</v>
      </c>
      <c r="C141" s="50">
        <f>VLOOKUP($A141,'Data shares'!$C:$FM,110)</f>
        <v>33.08</v>
      </c>
      <c r="D141" s="50">
        <f>VLOOKUP($A141,'Data shares'!$C:$FM,114)</f>
        <v>33.11</v>
      </c>
      <c r="E141" s="50">
        <f>VLOOKUP($A141,'Data shares'!$C:$FM,106)</f>
        <v>46.31</v>
      </c>
      <c r="F141" s="50">
        <f>VLOOKUP($A141,'Data shares'!$C:$FM,108)</f>
        <v>-13.22</v>
      </c>
      <c r="G141" s="50">
        <f t="shared" si="4"/>
        <v>0.71453249838047939</v>
      </c>
    </row>
    <row r="142" spans="1:7" x14ac:dyDescent="0.25">
      <c r="A142" s="49" t="str">
        <f>'Data shares'!C137</f>
        <v>NAUKRI</v>
      </c>
      <c r="B142" s="50">
        <f>VLOOKUP($A142,'Data shares'!$C:$FM,102)</f>
        <v>25.6</v>
      </c>
      <c r="C142" s="50">
        <f>VLOOKUP($A142,'Data shares'!$C:$FM,110)</f>
        <v>25.42</v>
      </c>
      <c r="D142" s="50">
        <f>VLOOKUP($A142,'Data shares'!$C:$FM,114)</f>
        <v>25.81</v>
      </c>
      <c r="E142" s="50">
        <f>VLOOKUP($A142,'Data shares'!$C:$FM,106)</f>
        <v>35.71</v>
      </c>
      <c r="F142" s="50">
        <f>VLOOKUP($A142,'Data shares'!$C:$FM,108)</f>
        <v>-10.11</v>
      </c>
      <c r="G142" s="50">
        <f t="shared" si="4"/>
        <v>0.71688602632315879</v>
      </c>
    </row>
    <row r="143" spans="1:7" x14ac:dyDescent="0.25">
      <c r="A143" s="49" t="str">
        <f>'Data shares'!C138</f>
        <v>NBCC</v>
      </c>
      <c r="B143" s="50">
        <f>VLOOKUP($A143,'Data shares'!$C:$FM,102)</f>
        <v>32.450000000000003</v>
      </c>
      <c r="C143" s="50">
        <f>VLOOKUP($A143,'Data shares'!$C:$FM,110)</f>
        <v>32.39</v>
      </c>
      <c r="D143" s="50">
        <f>VLOOKUP($A143,'Data shares'!$C:$FM,114)</f>
        <v>32.619999999999997</v>
      </c>
      <c r="E143" s="50">
        <f>VLOOKUP($A143,'Data shares'!$C:$FM,106)</f>
        <v>50.82</v>
      </c>
      <c r="F143" s="50">
        <f>VLOOKUP($A143,'Data shares'!$C:$FM,108)</f>
        <v>-18.37</v>
      </c>
      <c r="G143" s="50">
        <f t="shared" si="4"/>
        <v>0.63852813852813861</v>
      </c>
    </row>
    <row r="144" spans="1:7" x14ac:dyDescent="0.25">
      <c r="A144" s="49" t="str">
        <f>'Data shares'!C139</f>
        <v>NESTLEIND</v>
      </c>
      <c r="B144" s="50">
        <f>VLOOKUP($A144,'Data shares'!$C:$FM,102)</f>
        <v>16.690000000000001</v>
      </c>
      <c r="C144" s="50">
        <f>VLOOKUP($A144,'Data shares'!$C:$FM,110)</f>
        <v>16.440000000000001</v>
      </c>
      <c r="D144" s="50">
        <f>VLOOKUP($A144,'Data shares'!$C:$FM,114)</f>
        <v>17.45</v>
      </c>
      <c r="E144" s="50">
        <f>VLOOKUP($A144,'Data shares'!$C:$FM,106)</f>
        <v>22.62</v>
      </c>
      <c r="F144" s="50">
        <f>VLOOKUP($A144,'Data shares'!$C:$FM,108)</f>
        <v>-5.93</v>
      </c>
      <c r="G144" s="50">
        <f t="shared" si="4"/>
        <v>0.73784261715296195</v>
      </c>
    </row>
    <row r="145" spans="1:7" x14ac:dyDescent="0.25">
      <c r="A145" s="49" t="str">
        <f>'Data shares'!C140</f>
        <v>NHPC</v>
      </c>
      <c r="B145" s="50">
        <f>VLOOKUP($A145,'Data shares'!$C:$FM,102)</f>
        <v>25.47</v>
      </c>
      <c r="C145" s="50">
        <f>VLOOKUP($A145,'Data shares'!$C:$FM,110)</f>
        <v>25.87</v>
      </c>
      <c r="D145" s="50">
        <f>VLOOKUP($A145,'Data shares'!$C:$FM,114)</f>
        <v>24.44</v>
      </c>
      <c r="E145" s="50">
        <f>VLOOKUP($A145,'Data shares'!$C:$FM,106)</f>
        <v>36.270000000000003</v>
      </c>
      <c r="F145" s="50">
        <f>VLOOKUP($A145,'Data shares'!$C:$FM,108)</f>
        <v>-10.8</v>
      </c>
      <c r="G145" s="50">
        <f t="shared" si="4"/>
        <v>0.70223325062034725</v>
      </c>
    </row>
    <row r="146" spans="1:7" x14ac:dyDescent="0.25">
      <c r="A146" s="49" t="str">
        <f>'Data shares'!C141</f>
        <v>NIFTY</v>
      </c>
      <c r="B146" s="50">
        <f>VLOOKUP($A146,'Data shares'!$C:$FM,102)</f>
        <v>8.43</v>
      </c>
      <c r="C146" s="50">
        <f>VLOOKUP($A146,'Data shares'!$C:$FM,110)</f>
        <v>7.84</v>
      </c>
      <c r="D146" s="50">
        <f>VLOOKUP($A146,'Data shares'!$C:$FM,114)</f>
        <v>9.01</v>
      </c>
      <c r="E146" s="50">
        <f>VLOOKUP($A146,'Data shares'!$C:$FM,106)</f>
        <v>13.9</v>
      </c>
      <c r="F146" s="50">
        <f>VLOOKUP($A146,'Data shares'!$C:$FM,108)</f>
        <v>-5.47</v>
      </c>
      <c r="G146" s="50">
        <f t="shared" si="4"/>
        <v>0.60647482014388487</v>
      </c>
    </row>
    <row r="147" spans="1:7" x14ac:dyDescent="0.25">
      <c r="A147" s="49" t="str">
        <f>'Data shares'!C142</f>
        <v>NIFTYNXT50</v>
      </c>
      <c r="B147" s="50">
        <f>VLOOKUP($A147,'Data shares'!$C:$FM,102)</f>
        <v>11.93</v>
      </c>
      <c r="C147" s="50">
        <f>VLOOKUP($A147,'Data shares'!$C:$FM,110)</f>
        <v>11.64</v>
      </c>
      <c r="D147" s="50">
        <f>VLOOKUP($A147,'Data shares'!$C:$FM,114)</f>
        <v>12.39</v>
      </c>
      <c r="E147" s="50">
        <f>VLOOKUP($A147,'Data shares'!$C:$FM,106)</f>
        <v>19.579999999999998</v>
      </c>
      <c r="F147" s="50">
        <f>VLOOKUP($A147,'Data shares'!$C:$FM,108)</f>
        <v>-7.65</v>
      </c>
      <c r="G147" s="50">
        <f t="shared" si="4"/>
        <v>0.6092951991828397</v>
      </c>
    </row>
    <row r="148" spans="1:7" x14ac:dyDescent="0.25">
      <c r="A148" s="49" t="str">
        <f>'Data shares'!C143</f>
        <v>NMDC</v>
      </c>
      <c r="B148" s="50">
        <f>VLOOKUP($A148,'Data shares'!$C:$FM,102)</f>
        <v>27.44</v>
      </c>
      <c r="C148" s="50">
        <f>VLOOKUP($A148,'Data shares'!$C:$FM,110)</f>
        <v>27.41</v>
      </c>
      <c r="D148" s="50">
        <f>VLOOKUP($A148,'Data shares'!$C:$FM,114)</f>
        <v>27.52</v>
      </c>
      <c r="E148" s="50">
        <f>VLOOKUP($A148,'Data shares'!$C:$FM,106)</f>
        <v>37.29</v>
      </c>
      <c r="F148" s="50">
        <f>VLOOKUP($A148,'Data shares'!$C:$FM,108)</f>
        <v>-9.85</v>
      </c>
      <c r="G148" s="50">
        <f t="shared" si="4"/>
        <v>0.73585411638508991</v>
      </c>
    </row>
    <row r="149" spans="1:7" x14ac:dyDescent="0.25">
      <c r="A149" s="49" t="str">
        <f>'Data shares'!C144</f>
        <v>NTPC</v>
      </c>
      <c r="B149" s="50">
        <f>VLOOKUP($A149,'Data shares'!$C:$FM,102)</f>
        <v>15.31</v>
      </c>
      <c r="C149" s="50">
        <f>VLOOKUP($A149,'Data shares'!$C:$FM,110)</f>
        <v>14.62</v>
      </c>
      <c r="D149" s="50">
        <f>VLOOKUP($A149,'Data shares'!$C:$FM,114)</f>
        <v>16.75</v>
      </c>
      <c r="E149" s="50">
        <f>VLOOKUP($A149,'Data shares'!$C:$FM,106)</f>
        <v>26.32</v>
      </c>
      <c r="F149" s="50">
        <f>VLOOKUP($A149,'Data shares'!$C:$FM,108)</f>
        <v>-11.01</v>
      </c>
      <c r="G149" s="50">
        <f t="shared" si="4"/>
        <v>0.58168693009118544</v>
      </c>
    </row>
    <row r="150" spans="1:7" x14ac:dyDescent="0.25">
      <c r="A150" s="49" t="str">
        <f>'Data shares'!C145</f>
        <v>NUVAMA</v>
      </c>
      <c r="B150" s="50">
        <f>VLOOKUP($A150,'Data shares'!$C:$FM,102)</f>
        <v>30.76</v>
      </c>
      <c r="C150" s="50">
        <f>VLOOKUP($A150,'Data shares'!$C:$FM,110)</f>
        <v>30.67</v>
      </c>
      <c r="D150" s="50">
        <f>VLOOKUP($A150,'Data shares'!$C:$FM,114)</f>
        <v>30.91</v>
      </c>
      <c r="E150" s="50">
        <f>VLOOKUP($A150,'Data shares'!$C:$FM,106)</f>
        <v>48.53</v>
      </c>
      <c r="F150" s="50">
        <f>VLOOKUP($A150,'Data shares'!$C:$FM,108)</f>
        <v>-17.77</v>
      </c>
      <c r="G150" s="50">
        <f t="shared" si="4"/>
        <v>0.63383474139707396</v>
      </c>
    </row>
    <row r="151" spans="1:7" x14ac:dyDescent="0.25">
      <c r="A151" s="49" t="str">
        <f>'Data shares'!C146</f>
        <v>NYKAA</v>
      </c>
      <c r="B151" s="50">
        <f>VLOOKUP($A151,'Data shares'!$C:$FM,102)</f>
        <v>26.61</v>
      </c>
      <c r="C151" s="50">
        <f>VLOOKUP($A151,'Data shares'!$C:$FM,110)</f>
        <v>26.52</v>
      </c>
      <c r="D151" s="50">
        <f>VLOOKUP($A151,'Data shares'!$C:$FM,114)</f>
        <v>26.89</v>
      </c>
      <c r="E151" s="50">
        <f>VLOOKUP($A151,'Data shares'!$C:$FM,106)</f>
        <v>35.520000000000003</v>
      </c>
      <c r="F151" s="50">
        <f>VLOOKUP($A151,'Data shares'!$C:$FM,108)</f>
        <v>-8.91</v>
      </c>
      <c r="G151" s="50">
        <f t="shared" si="4"/>
        <v>0.74915540540540537</v>
      </c>
    </row>
    <row r="152" spans="1:7" x14ac:dyDescent="0.25">
      <c r="A152" s="49" t="str">
        <f>'Data shares'!C147</f>
        <v>OBEROIRLTY</v>
      </c>
      <c r="B152" s="50">
        <f>VLOOKUP($A152,'Data shares'!$C:$FM,102)</f>
        <v>27.29</v>
      </c>
      <c r="C152" s="50">
        <f>VLOOKUP($A152,'Data shares'!$C:$FM,110)</f>
        <v>27.3</v>
      </c>
      <c r="D152" s="50">
        <f>VLOOKUP($A152,'Data shares'!$C:$FM,114)</f>
        <v>27.26</v>
      </c>
      <c r="E152" s="50">
        <f>VLOOKUP($A152,'Data shares'!$C:$FM,106)</f>
        <v>36.32</v>
      </c>
      <c r="F152" s="50">
        <f>VLOOKUP($A152,'Data shares'!$C:$FM,108)</f>
        <v>-9.0299999999999994</v>
      </c>
      <c r="G152" s="50">
        <f t="shared" si="4"/>
        <v>0.7513766519823788</v>
      </c>
    </row>
    <row r="153" spans="1:7" x14ac:dyDescent="0.25">
      <c r="A153" s="49" t="str">
        <f>'Data shares'!C148</f>
        <v>OFSS</v>
      </c>
      <c r="B153" s="50">
        <f>VLOOKUP($A153,'Data shares'!$C:$FM,102)</f>
        <v>29.12</v>
      </c>
      <c r="C153" s="50">
        <f>VLOOKUP($A153,'Data shares'!$C:$FM,110)</f>
        <v>27.77</v>
      </c>
      <c r="D153" s="50">
        <f>VLOOKUP($A153,'Data shares'!$C:$FM,114)</f>
        <v>30.78</v>
      </c>
      <c r="E153" s="50">
        <f>VLOOKUP($A153,'Data shares'!$C:$FM,106)</f>
        <v>38.229999999999997</v>
      </c>
      <c r="F153" s="50">
        <f>VLOOKUP($A153,'Data shares'!$C:$FM,108)</f>
        <v>-9.11</v>
      </c>
      <c r="G153" s="50">
        <f t="shared" si="4"/>
        <v>0.7617054669108031</v>
      </c>
    </row>
    <row r="154" spans="1:7" x14ac:dyDescent="0.25">
      <c r="A154" s="49" t="str">
        <f>'Data shares'!C149</f>
        <v>OIL</v>
      </c>
      <c r="B154" s="50">
        <f>VLOOKUP($A154,'Data shares'!$C:$FM,102)</f>
        <v>25.09</v>
      </c>
      <c r="C154" s="50">
        <f>VLOOKUP($A154,'Data shares'!$C:$FM,110)</f>
        <v>25.29</v>
      </c>
      <c r="D154" s="50">
        <f>VLOOKUP($A154,'Data shares'!$C:$FM,114)</f>
        <v>24.63</v>
      </c>
      <c r="E154" s="50">
        <f>VLOOKUP($A154,'Data shares'!$C:$FM,106)</f>
        <v>40.659999999999997</v>
      </c>
      <c r="F154" s="50">
        <f>VLOOKUP($A154,'Data shares'!$C:$FM,108)</f>
        <v>-15.57</v>
      </c>
      <c r="G154" s="50">
        <f t="shared" si="4"/>
        <v>0.61706837186424013</v>
      </c>
    </row>
    <row r="155" spans="1:7" x14ac:dyDescent="0.25">
      <c r="A155" s="49" t="str">
        <f>'Data shares'!C150</f>
        <v>ONGC</v>
      </c>
      <c r="B155" s="50">
        <f>VLOOKUP($A155,'Data shares'!$C:$FM,102)</f>
        <v>15.76</v>
      </c>
      <c r="C155" s="50">
        <f>VLOOKUP($A155,'Data shares'!$C:$FM,110)</f>
        <v>15.61</v>
      </c>
      <c r="D155" s="50">
        <f>VLOOKUP($A155,'Data shares'!$C:$FM,114)</f>
        <v>16.149999999999999</v>
      </c>
      <c r="E155" s="50">
        <f>VLOOKUP($A155,'Data shares'!$C:$FM,106)</f>
        <v>29.51</v>
      </c>
      <c r="F155" s="50">
        <f>VLOOKUP($A155,'Data shares'!$C:$FM,108)</f>
        <v>-13.75</v>
      </c>
      <c r="G155" s="50">
        <f t="shared" si="4"/>
        <v>0.53405625211792607</v>
      </c>
    </row>
    <row r="156" spans="1:7" x14ac:dyDescent="0.25">
      <c r="A156" s="49" t="str">
        <f>'Data shares'!C151</f>
        <v>PAGEIND</v>
      </c>
      <c r="B156" s="50">
        <f>VLOOKUP($A156,'Data shares'!$C:$FM,102)</f>
        <v>23.18</v>
      </c>
      <c r="C156" s="50">
        <f>VLOOKUP($A156,'Data shares'!$C:$FM,110)</f>
        <v>23.84</v>
      </c>
      <c r="D156" s="50">
        <f>VLOOKUP($A156,'Data shares'!$C:$FM,114)</f>
        <v>21.58</v>
      </c>
      <c r="E156" s="50">
        <f>VLOOKUP($A156,'Data shares'!$C:$FM,106)</f>
        <v>27.67</v>
      </c>
      <c r="F156" s="50">
        <f>VLOOKUP($A156,'Data shares'!$C:$FM,108)</f>
        <v>-4.49</v>
      </c>
      <c r="G156" s="50">
        <f t="shared" si="4"/>
        <v>0.83773039392844229</v>
      </c>
    </row>
    <row r="157" spans="1:7" x14ac:dyDescent="0.25">
      <c r="A157" s="49" t="str">
        <f>'Data shares'!C152</f>
        <v>PATANJALI</v>
      </c>
      <c r="B157" s="50">
        <f>VLOOKUP($A157,'Data shares'!$C:$FM,102)</f>
        <v>25.87</v>
      </c>
      <c r="C157" s="50">
        <f>VLOOKUP($A157,'Data shares'!$C:$FM,110)</f>
        <v>25.67</v>
      </c>
      <c r="D157" s="50">
        <f>VLOOKUP($A157,'Data shares'!$C:$FM,114)</f>
        <v>26.31</v>
      </c>
      <c r="E157" s="50">
        <f>VLOOKUP($A157,'Data shares'!$C:$FM,106)</f>
        <v>32.94</v>
      </c>
      <c r="F157" s="50">
        <f>VLOOKUP($A157,'Data shares'!$C:$FM,108)</f>
        <v>-7.07</v>
      </c>
      <c r="G157" s="50">
        <f t="shared" si="4"/>
        <v>0.7853673345476625</v>
      </c>
    </row>
    <row r="158" spans="1:7" x14ac:dyDescent="0.25">
      <c r="A158" s="49" t="str">
        <f>'Data shares'!C153</f>
        <v>PAYTM</v>
      </c>
      <c r="B158" s="50">
        <f>VLOOKUP($A158,'Data shares'!$C:$FM,102)</f>
        <v>29.19</v>
      </c>
      <c r="C158" s="50">
        <f>VLOOKUP($A158,'Data shares'!$C:$FM,110)</f>
        <v>29.27</v>
      </c>
      <c r="D158" s="50">
        <f>VLOOKUP($A158,'Data shares'!$C:$FM,114)</f>
        <v>28.97</v>
      </c>
      <c r="E158" s="50">
        <f>VLOOKUP($A158,'Data shares'!$C:$FM,106)</f>
        <v>51.39</v>
      </c>
      <c r="F158" s="50">
        <f>VLOOKUP($A158,'Data shares'!$C:$FM,108)</f>
        <v>-22.2</v>
      </c>
      <c r="G158" s="50">
        <f t="shared" si="4"/>
        <v>0.5680093403385873</v>
      </c>
    </row>
    <row r="159" spans="1:7" x14ac:dyDescent="0.25">
      <c r="A159" s="49" t="str">
        <f>'Data shares'!C154</f>
        <v>PERSISTENT</v>
      </c>
      <c r="B159" s="50">
        <f>VLOOKUP($A159,'Data shares'!$C:$FM,102)</f>
        <v>31.23</v>
      </c>
      <c r="C159" s="50">
        <f>VLOOKUP($A159,'Data shares'!$C:$FM,110)</f>
        <v>31.07</v>
      </c>
      <c r="D159" s="50">
        <f>VLOOKUP($A159,'Data shares'!$C:$FM,114)</f>
        <v>31.55</v>
      </c>
      <c r="E159" s="50">
        <f>VLOOKUP($A159,'Data shares'!$C:$FM,106)</f>
        <v>39.68</v>
      </c>
      <c r="F159" s="50">
        <f>VLOOKUP($A159,'Data shares'!$C:$FM,108)</f>
        <v>-8.4499999999999993</v>
      </c>
      <c r="G159" s="50">
        <f t="shared" si="4"/>
        <v>0.78704637096774199</v>
      </c>
    </row>
    <row r="160" spans="1:7" x14ac:dyDescent="0.25">
      <c r="A160" s="49" t="str">
        <f>'Data shares'!C155</f>
        <v>PETRONET</v>
      </c>
      <c r="B160" s="50">
        <f>VLOOKUP($A160,'Data shares'!$C:$FM,102)</f>
        <v>19.059999999999999</v>
      </c>
      <c r="C160" s="50">
        <f>VLOOKUP($A160,'Data shares'!$C:$FM,110)</f>
        <v>17.95</v>
      </c>
      <c r="D160" s="50">
        <f>VLOOKUP($A160,'Data shares'!$C:$FM,114)</f>
        <v>21.61</v>
      </c>
      <c r="E160" s="50">
        <f>VLOOKUP($A160,'Data shares'!$C:$FM,106)</f>
        <v>30.79</v>
      </c>
      <c r="F160" s="50">
        <f>VLOOKUP($A160,'Data shares'!$C:$FM,108)</f>
        <v>-11.73</v>
      </c>
      <c r="G160" s="50">
        <f t="shared" si="4"/>
        <v>0.61903215329652483</v>
      </c>
    </row>
    <row r="161" spans="1:7" x14ac:dyDescent="0.25">
      <c r="A161" s="49" t="str">
        <f>'Data shares'!C156</f>
        <v>PFC</v>
      </c>
      <c r="B161" s="50">
        <f>VLOOKUP($A161,'Data shares'!$C:$FM,102)</f>
        <v>22.82</v>
      </c>
      <c r="C161" s="50">
        <f>VLOOKUP($A161,'Data shares'!$C:$FM,110)</f>
        <v>22.75</v>
      </c>
      <c r="D161" s="50">
        <f>VLOOKUP($A161,'Data shares'!$C:$FM,114)</f>
        <v>23.17</v>
      </c>
      <c r="E161" s="50">
        <f>VLOOKUP($A161,'Data shares'!$C:$FM,106)</f>
        <v>40.89</v>
      </c>
      <c r="F161" s="50">
        <f>VLOOKUP($A161,'Data shares'!$C:$FM,108)</f>
        <v>-18.07</v>
      </c>
      <c r="G161" s="50">
        <f t="shared" si="4"/>
        <v>0.55808266079726099</v>
      </c>
    </row>
    <row r="162" spans="1:7" x14ac:dyDescent="0.25">
      <c r="A162" s="49" t="str">
        <f>'Data shares'!C157</f>
        <v>PGEL</v>
      </c>
      <c r="B162" s="50">
        <f>VLOOKUP($A162,'Data shares'!$C:$FM,102)</f>
        <v>33.26</v>
      </c>
      <c r="C162" s="50">
        <f>VLOOKUP($A162,'Data shares'!$C:$FM,110)</f>
        <v>33.03</v>
      </c>
      <c r="D162" s="50">
        <f>VLOOKUP($A162,'Data shares'!$C:$FM,114)</f>
        <v>33.770000000000003</v>
      </c>
      <c r="E162" s="50">
        <f>VLOOKUP($A162,'Data shares'!$C:$FM,106)</f>
        <v>64.900000000000006</v>
      </c>
      <c r="F162" s="50">
        <f>VLOOKUP($A162,'Data shares'!$C:$FM,108)</f>
        <v>-31.64</v>
      </c>
      <c r="G162" s="50">
        <f t="shared" si="4"/>
        <v>0.51248073959938356</v>
      </c>
    </row>
    <row r="163" spans="1:7" x14ac:dyDescent="0.25">
      <c r="A163" s="49" t="str">
        <f>'Data shares'!C158</f>
        <v>PHOENIXLTD</v>
      </c>
      <c r="B163" s="50">
        <f>VLOOKUP($A163,'Data shares'!$C:$FM,102)</f>
        <v>22.44</v>
      </c>
      <c r="C163" s="50">
        <f>VLOOKUP($A163,'Data shares'!$C:$FM,110)</f>
        <v>22.37</v>
      </c>
      <c r="D163" s="50">
        <f>VLOOKUP($A163,'Data shares'!$C:$FM,114)</f>
        <v>22.65</v>
      </c>
      <c r="E163" s="50">
        <f>VLOOKUP($A163,'Data shares'!$C:$FM,106)</f>
        <v>40.340000000000003</v>
      </c>
      <c r="F163" s="50">
        <f>VLOOKUP($A163,'Data shares'!$C:$FM,108)</f>
        <v>-17.899999999999999</v>
      </c>
      <c r="G163" s="50">
        <f t="shared" si="4"/>
        <v>0.55627169062964799</v>
      </c>
    </row>
    <row r="164" spans="1:7" x14ac:dyDescent="0.25">
      <c r="A164" s="49" t="str">
        <f>'Data shares'!C159</f>
        <v>PIDILITIND</v>
      </c>
      <c r="B164" s="50">
        <f>VLOOKUP($A164,'Data shares'!$C:$FM,102)</f>
        <v>17.07</v>
      </c>
      <c r="C164" s="50">
        <f>VLOOKUP($A164,'Data shares'!$C:$FM,110)</f>
        <v>17.09</v>
      </c>
      <c r="D164" s="50">
        <f>VLOOKUP($A164,'Data shares'!$C:$FM,114)</f>
        <v>17.03</v>
      </c>
      <c r="E164" s="50">
        <f>VLOOKUP($A164,'Data shares'!$C:$FM,106)</f>
        <v>21.17</v>
      </c>
      <c r="F164" s="50">
        <f>VLOOKUP($A164,'Data shares'!$C:$FM,108)</f>
        <v>-4.0999999999999996</v>
      </c>
      <c r="G164" s="50">
        <f t="shared" si="4"/>
        <v>0.80632971185640057</v>
      </c>
    </row>
    <row r="165" spans="1:7" x14ac:dyDescent="0.25">
      <c r="A165" s="49" t="str">
        <f>'Data shares'!C160</f>
        <v>PIIND</v>
      </c>
      <c r="B165" s="50">
        <f>VLOOKUP($A165,'Data shares'!$C:$FM,102)</f>
        <v>20.88</v>
      </c>
      <c r="C165" s="50">
        <f>VLOOKUP($A165,'Data shares'!$C:$FM,110)</f>
        <v>20.85</v>
      </c>
      <c r="D165" s="50">
        <f>VLOOKUP($A165,'Data shares'!$C:$FM,114)</f>
        <v>20.96</v>
      </c>
      <c r="E165" s="50">
        <f>VLOOKUP($A165,'Data shares'!$C:$FM,106)</f>
        <v>28.93</v>
      </c>
      <c r="F165" s="50">
        <f>VLOOKUP($A165,'Data shares'!$C:$FM,108)</f>
        <v>-8.0500000000000007</v>
      </c>
      <c r="G165" s="50">
        <f t="shared" si="4"/>
        <v>0.72174213619080541</v>
      </c>
    </row>
    <row r="166" spans="1:7" x14ac:dyDescent="0.25">
      <c r="A166" s="49" t="str">
        <f>'Data shares'!C161</f>
        <v>PNB</v>
      </c>
      <c r="B166" s="50">
        <f>VLOOKUP($A166,'Data shares'!$C:$FM,102)</f>
        <v>25.27</v>
      </c>
      <c r="C166" s="50">
        <f>VLOOKUP($A166,'Data shares'!$C:$FM,110)</f>
        <v>25.14</v>
      </c>
      <c r="D166" s="50">
        <f>VLOOKUP($A166,'Data shares'!$C:$FM,114)</f>
        <v>25.43</v>
      </c>
      <c r="E166" s="50">
        <f>VLOOKUP($A166,'Data shares'!$C:$FM,106)</f>
        <v>35.17</v>
      </c>
      <c r="F166" s="50">
        <f>VLOOKUP($A166,'Data shares'!$C:$FM,108)</f>
        <v>-9.9</v>
      </c>
      <c r="G166" s="50">
        <f t="shared" si="4"/>
        <v>0.71851009382996867</v>
      </c>
    </row>
    <row r="167" spans="1:7" x14ac:dyDescent="0.25">
      <c r="A167" s="49" t="str">
        <f>'Data shares'!C162</f>
        <v>PNBHOUSING</v>
      </c>
      <c r="B167" s="50">
        <f>VLOOKUP($A167,'Data shares'!$C:$FM,102)</f>
        <v>29.56</v>
      </c>
      <c r="C167" s="50">
        <f>VLOOKUP($A167,'Data shares'!$C:$FM,110)</f>
        <v>29.5</v>
      </c>
      <c r="D167" s="50">
        <f>VLOOKUP($A167,'Data shares'!$C:$FM,114)</f>
        <v>29.8</v>
      </c>
      <c r="E167" s="50">
        <f>VLOOKUP($A167,'Data shares'!$C:$FM,106)</f>
        <v>46.12</v>
      </c>
      <c r="F167" s="50">
        <f>VLOOKUP($A167,'Data shares'!$C:$FM,108)</f>
        <v>-16.559999999999999</v>
      </c>
      <c r="G167" s="50">
        <f t="shared" ref="G167:G189" si="5">B167/E167</f>
        <v>0.6409366869037294</v>
      </c>
    </row>
    <row r="168" spans="1:7" x14ac:dyDescent="0.25">
      <c r="A168" s="49" t="str">
        <f>'Data shares'!C163</f>
        <v>POLICYBZR</v>
      </c>
      <c r="B168" s="50">
        <f>VLOOKUP($A168,'Data shares'!$C:$FM,102)</f>
        <v>29.94</v>
      </c>
      <c r="C168" s="50">
        <f>VLOOKUP($A168,'Data shares'!$C:$FM,110)</f>
        <v>29.87</v>
      </c>
      <c r="D168" s="50">
        <f>VLOOKUP($A168,'Data shares'!$C:$FM,114)</f>
        <v>30</v>
      </c>
      <c r="E168" s="50">
        <f>VLOOKUP($A168,'Data shares'!$C:$FM,106)</f>
        <v>46.44</v>
      </c>
      <c r="F168" s="50">
        <f>VLOOKUP($A168,'Data shares'!$C:$FM,108)</f>
        <v>-16.5</v>
      </c>
      <c r="G168" s="50">
        <f t="shared" si="5"/>
        <v>0.64470284237726105</v>
      </c>
    </row>
    <row r="169" spans="1:7" x14ac:dyDescent="0.25">
      <c r="A169" s="49" t="str">
        <f>'Data shares'!C164</f>
        <v>POLYCAB</v>
      </c>
      <c r="B169" s="50">
        <f>VLOOKUP($A169,'Data shares'!$C:$FM,102)</f>
        <v>22.57</v>
      </c>
      <c r="C169" s="50">
        <f>VLOOKUP($A169,'Data shares'!$C:$FM,110)</f>
        <v>21.89</v>
      </c>
      <c r="D169" s="50">
        <f>VLOOKUP($A169,'Data shares'!$C:$FM,114)</f>
        <v>23.87</v>
      </c>
      <c r="E169" s="50">
        <f>VLOOKUP($A169,'Data shares'!$C:$FM,106)</f>
        <v>38.56</v>
      </c>
      <c r="F169" s="50">
        <f>VLOOKUP($A169,'Data shares'!$C:$FM,108)</f>
        <v>-15.99</v>
      </c>
      <c r="G169" s="50">
        <f t="shared" si="5"/>
        <v>0.5853215767634854</v>
      </c>
    </row>
    <row r="170" spans="1:7" x14ac:dyDescent="0.25">
      <c r="A170" s="49" t="str">
        <f>'Data shares'!C165</f>
        <v>POWERGRID</v>
      </c>
      <c r="B170" s="50">
        <f>VLOOKUP($A170,'Data shares'!$C:$FM,102)</f>
        <v>17.54</v>
      </c>
      <c r="C170" s="50">
        <f>VLOOKUP($A170,'Data shares'!$C:$FM,110)</f>
        <v>17.12</v>
      </c>
      <c r="D170" s="50">
        <f>VLOOKUP($A170,'Data shares'!$C:$FM,114)</f>
        <v>18.71</v>
      </c>
      <c r="E170" s="50">
        <f>VLOOKUP($A170,'Data shares'!$C:$FM,106)</f>
        <v>27.56</v>
      </c>
      <c r="F170" s="50">
        <f>VLOOKUP($A170,'Data shares'!$C:$FM,108)</f>
        <v>-10.02</v>
      </c>
      <c r="G170" s="50">
        <f t="shared" si="5"/>
        <v>0.63642960812772131</v>
      </c>
    </row>
    <row r="171" spans="1:7" x14ac:dyDescent="0.25">
      <c r="A171" s="49" t="str">
        <f>'Data shares'!C166</f>
        <v>POWERINDIA</v>
      </c>
      <c r="B171" s="50">
        <f>VLOOKUP($A171,'Data shares'!$C:$FM,102)</f>
        <v>32.049999999999997</v>
      </c>
      <c r="C171" s="50">
        <f>VLOOKUP($A171,'Data shares'!$C:$FM,110)</f>
        <v>32</v>
      </c>
      <c r="D171" s="50">
        <f>VLOOKUP($A171,'Data shares'!$C:$FM,114)</f>
        <v>32.200000000000003</v>
      </c>
      <c r="E171" s="50">
        <f>VLOOKUP($A171,'Data shares'!$C:$FM,106)</f>
        <v>57.39</v>
      </c>
      <c r="F171" s="50">
        <f>VLOOKUP($A171,'Data shares'!$C:$FM,108)</f>
        <v>-25.34</v>
      </c>
      <c r="G171" s="50">
        <f t="shared" si="5"/>
        <v>0.55845966196201424</v>
      </c>
    </row>
    <row r="172" spans="1:7" x14ac:dyDescent="0.25">
      <c r="A172" s="49" t="str">
        <f>'Data shares'!C167</f>
        <v>PPLPHARMA</v>
      </c>
      <c r="B172" s="50">
        <f>VLOOKUP($A172,'Data shares'!$C:$FM,102)</f>
        <v>31.36</v>
      </c>
      <c r="C172" s="50">
        <f>VLOOKUP($A172,'Data shares'!$C:$FM,110)</f>
        <v>31.43</v>
      </c>
      <c r="D172" s="50">
        <f>VLOOKUP($A172,'Data shares'!$C:$FM,114)</f>
        <v>31.2</v>
      </c>
      <c r="E172" s="50">
        <f>VLOOKUP($A172,'Data shares'!$C:$FM,106)</f>
        <v>43.18</v>
      </c>
      <c r="F172" s="50">
        <f>VLOOKUP($A172,'Data shares'!$C:$FM,108)</f>
        <v>-11.82</v>
      </c>
      <c r="G172" s="50">
        <f t="shared" si="5"/>
        <v>0.72626215840666974</v>
      </c>
    </row>
    <row r="173" spans="1:7" x14ac:dyDescent="0.25">
      <c r="A173" s="49" t="str">
        <f>'Data shares'!C168</f>
        <v>PREMIERENE</v>
      </c>
      <c r="B173" s="50">
        <f>VLOOKUP($A173,'Data shares'!$C:$FM,102)</f>
        <v>34.51</v>
      </c>
      <c r="C173" s="50">
        <f>VLOOKUP($A173,'Data shares'!$C:$FM,110)</f>
        <v>33.9</v>
      </c>
      <c r="D173" s="50">
        <f>VLOOKUP($A173,'Data shares'!$C:$FM,114)</f>
        <v>35.51</v>
      </c>
      <c r="E173" s="50">
        <f>VLOOKUP($A173,'Data shares'!$C:$FM,106)</f>
        <v>44.81</v>
      </c>
      <c r="F173" s="50">
        <f>VLOOKUP($A173,'Data shares'!$C:$FM,108)</f>
        <v>-10.3</v>
      </c>
      <c r="G173" s="50">
        <f t="shared" si="5"/>
        <v>0.77014059361749598</v>
      </c>
    </row>
    <row r="174" spans="1:7" x14ac:dyDescent="0.25">
      <c r="A174" s="49" t="str">
        <f>'Data shares'!C169</f>
        <v>PRESTIGE</v>
      </c>
      <c r="B174" s="50">
        <f>VLOOKUP($A174,'Data shares'!$C:$FM,102)</f>
        <v>28.03</v>
      </c>
      <c r="C174" s="50">
        <f>VLOOKUP($A174,'Data shares'!$C:$FM,110)</f>
        <v>27.95</v>
      </c>
      <c r="D174" s="50">
        <f>VLOOKUP($A174,'Data shares'!$C:$FM,114)</f>
        <v>28.28</v>
      </c>
      <c r="E174" s="50">
        <f>VLOOKUP($A174,'Data shares'!$C:$FM,106)</f>
        <v>43.93</v>
      </c>
      <c r="F174" s="50">
        <f>VLOOKUP($A174,'Data shares'!$C:$FM,108)</f>
        <v>-15.9</v>
      </c>
      <c r="G174" s="50">
        <f t="shared" si="5"/>
        <v>0.63806055087639424</v>
      </c>
    </row>
    <row r="175" spans="1:7" x14ac:dyDescent="0.25">
      <c r="A175" s="49" t="str">
        <f>'Data shares'!C170</f>
        <v>RBLBANK</v>
      </c>
      <c r="B175" s="50">
        <f>VLOOKUP($A175,'Data shares'!$C:$FM,102)</f>
        <v>21.09</v>
      </c>
      <c r="C175" s="50">
        <f>VLOOKUP($A175,'Data shares'!$C:$FM,110)</f>
        <v>20.7</v>
      </c>
      <c r="D175" s="50">
        <f>VLOOKUP($A175,'Data shares'!$C:$FM,114)</f>
        <v>21.93</v>
      </c>
      <c r="E175" s="50">
        <f>VLOOKUP($A175,'Data shares'!$C:$FM,106)</f>
        <v>43.84</v>
      </c>
      <c r="F175" s="50">
        <f>VLOOKUP($A175,'Data shares'!$C:$FM,108)</f>
        <v>-22.75</v>
      </c>
      <c r="G175" s="50">
        <f t="shared" si="5"/>
        <v>0.48106751824817512</v>
      </c>
    </row>
    <row r="176" spans="1:7" x14ac:dyDescent="0.25">
      <c r="A176" s="49" t="str">
        <f>'Data shares'!C171</f>
        <v>RECLTD</v>
      </c>
      <c r="B176" s="50">
        <f>VLOOKUP($A176,'Data shares'!$C:$FM,102)</f>
        <v>23.78</v>
      </c>
      <c r="C176" s="50">
        <f>VLOOKUP($A176,'Data shares'!$C:$FM,110)</f>
        <v>23.83</v>
      </c>
      <c r="D176" s="50">
        <f>VLOOKUP($A176,'Data shares'!$C:$FM,114)</f>
        <v>23.57</v>
      </c>
      <c r="E176" s="50">
        <f>VLOOKUP($A176,'Data shares'!$C:$FM,106)</f>
        <v>41.53</v>
      </c>
      <c r="F176" s="50">
        <f>VLOOKUP($A176,'Data shares'!$C:$FM,108)</f>
        <v>-17.75</v>
      </c>
      <c r="G176" s="50">
        <f t="shared" si="5"/>
        <v>0.57259812183963399</v>
      </c>
    </row>
    <row r="177" spans="1:7" x14ac:dyDescent="0.25">
      <c r="A177" s="49" t="str">
        <f>'Data shares'!C172</f>
        <v>RELIANCE</v>
      </c>
      <c r="B177" s="50">
        <f>VLOOKUP($A177,'Data shares'!$C:$FM,102)</f>
        <v>15.52</v>
      </c>
      <c r="C177" s="50">
        <f>VLOOKUP($A177,'Data shares'!$C:$FM,110)</f>
        <v>15.3</v>
      </c>
      <c r="D177" s="50">
        <f>VLOOKUP($A177,'Data shares'!$C:$FM,114)</f>
        <v>15.98</v>
      </c>
      <c r="E177" s="50">
        <f>VLOOKUP($A177,'Data shares'!$C:$FM,106)</f>
        <v>23.06</v>
      </c>
      <c r="F177" s="50">
        <f>VLOOKUP($A177,'Data shares'!$C:$FM,108)</f>
        <v>-7.54</v>
      </c>
      <c r="G177" s="50">
        <f t="shared" si="5"/>
        <v>0.67302688638334784</v>
      </c>
    </row>
    <row r="178" spans="1:7" x14ac:dyDescent="0.25">
      <c r="A178" s="49" t="str">
        <f>'Data shares'!C173</f>
        <v>RVNL</v>
      </c>
      <c r="B178" s="50">
        <f>VLOOKUP($A178,'Data shares'!$C:$FM,102)</f>
        <v>45.55</v>
      </c>
      <c r="C178" s="50">
        <f>VLOOKUP($A178,'Data shares'!$C:$FM,110)</f>
        <v>45.56</v>
      </c>
      <c r="D178" s="50">
        <f>VLOOKUP($A178,'Data shares'!$C:$FM,114)</f>
        <v>45.51</v>
      </c>
      <c r="E178" s="50">
        <f>VLOOKUP($A178,'Data shares'!$C:$FM,106)</f>
        <v>56.21</v>
      </c>
      <c r="F178" s="50">
        <f>VLOOKUP($A178,'Data shares'!$C:$FM,108)</f>
        <v>-10.66</v>
      </c>
      <c r="G178" s="50">
        <f t="shared" si="5"/>
        <v>0.81035402953211166</v>
      </c>
    </row>
    <row r="179" spans="1:7" x14ac:dyDescent="0.25">
      <c r="A179" s="49" t="str">
        <f>'Data shares'!C174</f>
        <v>SAIL</v>
      </c>
      <c r="B179" s="50">
        <f>VLOOKUP($A179,'Data shares'!$C:$FM,102)</f>
        <v>34.69</v>
      </c>
      <c r="C179" s="50">
        <f>VLOOKUP($A179,'Data shares'!$C:$FM,110)</f>
        <v>34.4</v>
      </c>
      <c r="D179" s="50">
        <f>VLOOKUP($A179,'Data shares'!$C:$FM,114)</f>
        <v>35.159999999999997</v>
      </c>
      <c r="E179" s="50">
        <f>VLOOKUP($A179,'Data shares'!$C:$FM,106)</f>
        <v>43.63</v>
      </c>
      <c r="F179" s="50">
        <f>VLOOKUP($A179,'Data shares'!$C:$FM,108)</f>
        <v>-8.94</v>
      </c>
      <c r="G179" s="50">
        <f t="shared" si="5"/>
        <v>0.79509511803804711</v>
      </c>
    </row>
    <row r="180" spans="1:7" x14ac:dyDescent="0.25">
      <c r="A180" s="49" t="str">
        <f>'Data shares'!C175</f>
        <v>SAMMAANCAP</v>
      </c>
      <c r="B180" s="50">
        <f>VLOOKUP($A180,'Data shares'!$C:$FM,102)</f>
        <v>33.659999999999997</v>
      </c>
      <c r="C180" s="50">
        <f>VLOOKUP($A180,'Data shares'!$C:$FM,110)</f>
        <v>34.32</v>
      </c>
      <c r="D180" s="50">
        <f>VLOOKUP($A180,'Data shares'!$C:$FM,114)</f>
        <v>32.89</v>
      </c>
      <c r="E180" s="50">
        <f>VLOOKUP($A180,'Data shares'!$C:$FM,106)</f>
        <v>56.46</v>
      </c>
      <c r="F180" s="50">
        <f>VLOOKUP($A180,'Data shares'!$C:$FM,108)</f>
        <v>-22.8</v>
      </c>
      <c r="G180" s="50">
        <f t="shared" si="5"/>
        <v>0.5961742826780021</v>
      </c>
    </row>
    <row r="181" spans="1:7" x14ac:dyDescent="0.25">
      <c r="A181" s="49" t="str">
        <f>'Data shares'!C176</f>
        <v>SBICARD</v>
      </c>
      <c r="B181" s="50">
        <f>VLOOKUP($A181,'Data shares'!$C:$FM,102)</f>
        <v>24.7</v>
      </c>
      <c r="C181" s="50">
        <f>VLOOKUP($A181,'Data shares'!$C:$FM,110)</f>
        <v>24.81</v>
      </c>
      <c r="D181" s="50">
        <f>VLOOKUP($A181,'Data shares'!$C:$FM,114)</f>
        <v>24.55</v>
      </c>
      <c r="E181" s="50">
        <f>VLOOKUP($A181,'Data shares'!$C:$FM,106)</f>
        <v>29.13</v>
      </c>
      <c r="F181" s="50">
        <f>VLOOKUP($A181,'Data shares'!$C:$FM,108)</f>
        <v>-4.43</v>
      </c>
      <c r="G181" s="50">
        <f t="shared" si="5"/>
        <v>0.8479231033299004</v>
      </c>
    </row>
    <row r="182" spans="1:7" x14ac:dyDescent="0.25">
      <c r="A182" s="49" t="str">
        <f>'Data shares'!C177</f>
        <v>SBILIFE</v>
      </c>
      <c r="B182" s="50">
        <f>VLOOKUP($A182,'Data shares'!$C:$FM,102)</f>
        <v>20.149999999999999</v>
      </c>
      <c r="C182" s="50">
        <f>VLOOKUP($A182,'Data shares'!$C:$FM,110)</f>
        <v>19.64</v>
      </c>
      <c r="D182" s="50">
        <f>VLOOKUP($A182,'Data shares'!$C:$FM,114)</f>
        <v>21.06</v>
      </c>
      <c r="E182" s="50">
        <f>VLOOKUP($A182,'Data shares'!$C:$FM,106)</f>
        <v>23.98</v>
      </c>
      <c r="F182" s="50">
        <f>VLOOKUP($A182,'Data shares'!$C:$FM,108)</f>
        <v>-3.83</v>
      </c>
      <c r="G182" s="50">
        <f t="shared" si="5"/>
        <v>0.84028356964136774</v>
      </c>
    </row>
    <row r="183" spans="1:7" x14ac:dyDescent="0.25">
      <c r="A183" s="49" t="str">
        <f>'Data shares'!C178</f>
        <v>SBIN</v>
      </c>
      <c r="B183" s="50">
        <f>VLOOKUP($A183,'Data shares'!$C:$FM,102)</f>
        <v>14.9</v>
      </c>
      <c r="C183" s="50">
        <f>VLOOKUP($A183,'Data shares'!$C:$FM,110)</f>
        <v>14.67</v>
      </c>
      <c r="D183" s="50">
        <f>VLOOKUP($A183,'Data shares'!$C:$FM,114)</f>
        <v>15.27</v>
      </c>
      <c r="E183" s="50">
        <f>VLOOKUP($A183,'Data shares'!$C:$FM,106)</f>
        <v>24.3</v>
      </c>
      <c r="F183" s="50">
        <f>VLOOKUP($A183,'Data shares'!$C:$FM,108)</f>
        <v>-9.4</v>
      </c>
      <c r="G183" s="50">
        <f t="shared" si="5"/>
        <v>0.61316872427983538</v>
      </c>
    </row>
    <row r="184" spans="1:7" x14ac:dyDescent="0.25">
      <c r="A184" s="49" t="str">
        <f>'Data shares'!C179</f>
        <v>SHREECEM</v>
      </c>
      <c r="B184" s="50">
        <f>VLOOKUP($A184,'Data shares'!$C:$FM,102)</f>
        <v>20.309999999999999</v>
      </c>
      <c r="C184" s="50">
        <f>VLOOKUP($A184,'Data shares'!$C:$FM,110)</f>
        <v>17.93</v>
      </c>
      <c r="D184" s="50">
        <f>VLOOKUP($A184,'Data shares'!$C:$FM,114)</f>
        <v>23.57</v>
      </c>
      <c r="E184" s="50">
        <f>VLOOKUP($A184,'Data shares'!$C:$FM,106)</f>
        <v>24.37</v>
      </c>
      <c r="F184" s="50">
        <f>VLOOKUP($A184,'Data shares'!$C:$FM,108)</f>
        <v>-4.0599999999999996</v>
      </c>
      <c r="G184" s="50">
        <f t="shared" si="5"/>
        <v>0.83340172343044716</v>
      </c>
    </row>
    <row r="185" spans="1:7" x14ac:dyDescent="0.25">
      <c r="A185" s="49" t="str">
        <f>'Data shares'!C180</f>
        <v>SHRIRAMFIN</v>
      </c>
      <c r="B185" s="50">
        <f>VLOOKUP($A185,'Data shares'!$C:$FM,102)</f>
        <v>28.73</v>
      </c>
      <c r="C185" s="50">
        <f>VLOOKUP($A185,'Data shares'!$C:$FM,110)</f>
        <v>28.14</v>
      </c>
      <c r="D185" s="50">
        <f>VLOOKUP($A185,'Data shares'!$C:$FM,114)</f>
        <v>29.88</v>
      </c>
      <c r="E185" s="50">
        <f>VLOOKUP($A185,'Data shares'!$C:$FM,106)</f>
        <v>39.35</v>
      </c>
      <c r="F185" s="50">
        <f>VLOOKUP($A185,'Data shares'!$C:$FM,108)</f>
        <v>-10.62</v>
      </c>
      <c r="G185" s="50">
        <f t="shared" si="5"/>
        <v>0.73011435832274463</v>
      </c>
    </row>
    <row r="186" spans="1:7" x14ac:dyDescent="0.25">
      <c r="A186" s="49" t="str">
        <f>'Data shares'!C181</f>
        <v>SIEMENS</v>
      </c>
      <c r="B186" s="50">
        <f>VLOOKUP($A186,'Data shares'!$C:$FM,102)</f>
        <v>22.92</v>
      </c>
      <c r="C186" s="50">
        <f>VLOOKUP($A186,'Data shares'!$C:$FM,110)</f>
        <v>22.79</v>
      </c>
      <c r="D186" s="50">
        <f>VLOOKUP($A186,'Data shares'!$C:$FM,114)</f>
        <v>23.24</v>
      </c>
      <c r="E186" s="50">
        <f>VLOOKUP($A186,'Data shares'!$C:$FM,106)</f>
        <v>37.18</v>
      </c>
      <c r="F186" s="50">
        <f>VLOOKUP($A186,'Data shares'!$C:$FM,108)</f>
        <v>-14.26</v>
      </c>
      <c r="G186" s="50">
        <f t="shared" si="5"/>
        <v>0.61646046261430887</v>
      </c>
    </row>
    <row r="187" spans="1:7" x14ac:dyDescent="0.25">
      <c r="A187" s="49" t="str">
        <f>'Data shares'!C182</f>
        <v>SOLARINDS</v>
      </c>
      <c r="B187" s="50">
        <f>VLOOKUP($A187,'Data shares'!$C:$FM,102)</f>
        <v>33.119999999999997</v>
      </c>
      <c r="C187" s="50">
        <f>VLOOKUP($A187,'Data shares'!$C:$FM,110)</f>
        <v>32.49</v>
      </c>
      <c r="D187" s="50">
        <f>VLOOKUP($A187,'Data shares'!$C:$FM,114)</f>
        <v>34.35</v>
      </c>
      <c r="E187" s="50">
        <f>VLOOKUP($A187,'Data shares'!$C:$FM,106)</f>
        <v>39.26</v>
      </c>
      <c r="F187" s="50">
        <f>VLOOKUP($A187,'Data shares'!$C:$FM,108)</f>
        <v>-6.14</v>
      </c>
      <c r="G187" s="50">
        <f t="shared" si="5"/>
        <v>0.84360672440142637</v>
      </c>
    </row>
    <row r="188" spans="1:7" x14ac:dyDescent="0.25">
      <c r="A188" s="49" t="str">
        <f>'Data shares'!C183</f>
        <v>SONACOMS</v>
      </c>
      <c r="B188" s="50">
        <f>VLOOKUP($A188,'Data shares'!$C:$FM,102)</f>
        <v>28.74</v>
      </c>
      <c r="C188" s="50">
        <f>VLOOKUP($A188,'Data shares'!$C:$FM,110)</f>
        <v>28.78</v>
      </c>
      <c r="D188" s="50">
        <f>VLOOKUP($A188,'Data shares'!$C:$FM,114)</f>
        <v>28.6</v>
      </c>
      <c r="E188" s="50">
        <f>VLOOKUP($A188,'Data shares'!$C:$FM,106)</f>
        <v>38.270000000000003</v>
      </c>
      <c r="F188" s="50">
        <f>VLOOKUP($A188,'Data shares'!$C:$FM,108)</f>
        <v>-9.5299999999999994</v>
      </c>
      <c r="G188" s="50">
        <f t="shared" si="5"/>
        <v>0.7509798798014109</v>
      </c>
    </row>
    <row r="189" spans="1:7" x14ac:dyDescent="0.25">
      <c r="A189" s="49" t="str">
        <f>'Data shares'!C215</f>
        <v>ZYDUSLIFE</v>
      </c>
      <c r="B189" s="50">
        <f>VLOOKUP($A189,'Data shares'!$C:$FM,102)</f>
        <v>17.64</v>
      </c>
      <c r="C189" s="50">
        <f>VLOOKUP($A189,'Data shares'!$C:$FM,110)</f>
        <v>17.39</v>
      </c>
      <c r="D189" s="50">
        <f>VLOOKUP($A189,'Data shares'!$C:$FM,114)</f>
        <v>18.079999999999998</v>
      </c>
      <c r="E189" s="50">
        <f>VLOOKUP($A189,'Data shares'!$C:$FM,106)</f>
        <v>27.53</v>
      </c>
      <c r="F189" s="50">
        <f>VLOOKUP($A189,'Data shares'!$C:$FM,108)</f>
        <v>-9.89</v>
      </c>
      <c r="G189" s="50">
        <f t="shared" si="5"/>
        <v>0.64075553941155106</v>
      </c>
    </row>
    <row r="190" spans="1:7" x14ac:dyDescent="0.25">
      <c r="A190" s="49"/>
      <c r="B190" s="50"/>
      <c r="C190" s="50"/>
      <c r="D190" s="50"/>
      <c r="E190" s="50"/>
      <c r="F190" s="50"/>
      <c r="G190" s="50"/>
    </row>
    <row r="191" spans="1:7" x14ac:dyDescent="0.25">
      <c r="A191" s="49"/>
      <c r="B191" s="50"/>
      <c r="C191" s="50"/>
      <c r="D191" s="50"/>
      <c r="E191" s="50"/>
      <c r="F191" s="50"/>
      <c r="G191" s="50"/>
    </row>
    <row r="192" spans="1:7" x14ac:dyDescent="0.25">
      <c r="A192" s="49"/>
      <c r="B192" s="50"/>
      <c r="C192" s="50"/>
      <c r="D192" s="50"/>
      <c r="E192" s="50"/>
      <c r="F192" s="50"/>
      <c r="G192" s="50"/>
    </row>
    <row r="193" spans="1:7" x14ac:dyDescent="0.25">
      <c r="A193" s="49"/>
      <c r="B193" s="50"/>
      <c r="C193" s="50"/>
      <c r="D193" s="50"/>
      <c r="E193" s="50"/>
      <c r="F193" s="50"/>
      <c r="G193" s="50"/>
    </row>
    <row r="194" spans="1:7" x14ac:dyDescent="0.25">
      <c r="A194" s="49"/>
      <c r="B194" s="50"/>
      <c r="C194" s="50"/>
      <c r="D194" s="50"/>
      <c r="E194" s="50"/>
      <c r="F194" s="50"/>
      <c r="G194" s="50"/>
    </row>
    <row r="195" spans="1:7" x14ac:dyDescent="0.25">
      <c r="A195" s="49"/>
      <c r="B195" s="50"/>
      <c r="C195" s="50"/>
      <c r="D195" s="50"/>
      <c r="E195" s="50"/>
      <c r="F195" s="50"/>
      <c r="G195" s="50"/>
    </row>
    <row r="196" spans="1:7" x14ac:dyDescent="0.25">
      <c r="A196" s="49"/>
      <c r="B196" s="50"/>
      <c r="C196" s="50"/>
      <c r="D196" s="50"/>
      <c r="E196" s="50"/>
      <c r="F196" s="50"/>
      <c r="G196" s="50"/>
    </row>
    <row r="197" spans="1:7" x14ac:dyDescent="0.25">
      <c r="A197" s="49"/>
      <c r="B197" s="50"/>
      <c r="C197" s="50"/>
      <c r="D197" s="50"/>
      <c r="E197" s="50"/>
      <c r="F197" s="50"/>
      <c r="G197" s="50"/>
    </row>
    <row r="198" spans="1:7" x14ac:dyDescent="0.25">
      <c r="A198" s="49"/>
      <c r="B198" s="50"/>
      <c r="C198" s="50"/>
      <c r="D198" s="50"/>
      <c r="E198" s="50"/>
      <c r="F198" s="50"/>
      <c r="G198" s="50"/>
    </row>
    <row r="199" spans="1:7" x14ac:dyDescent="0.25">
      <c r="A199" s="49"/>
      <c r="B199" s="50"/>
      <c r="C199" s="50"/>
      <c r="D199" s="50"/>
      <c r="E199" s="50"/>
      <c r="F199" s="50"/>
      <c r="G199" s="50"/>
    </row>
    <row r="200" spans="1:7" x14ac:dyDescent="0.25">
      <c r="A200" s="49"/>
      <c r="B200" s="50"/>
      <c r="C200" s="50"/>
      <c r="D200" s="50"/>
      <c r="E200" s="50"/>
      <c r="F200" s="50"/>
      <c r="G200" s="50"/>
    </row>
    <row r="201" spans="1:7" x14ac:dyDescent="0.25">
      <c r="A201" s="49"/>
      <c r="B201" s="50"/>
      <c r="C201" s="50"/>
      <c r="D201" s="50"/>
      <c r="E201" s="50"/>
      <c r="F201" s="50"/>
      <c r="G201" s="50"/>
    </row>
    <row r="202" spans="1:7" x14ac:dyDescent="0.25">
      <c r="A202" s="49"/>
      <c r="B202" s="50"/>
      <c r="C202" s="50"/>
      <c r="D202" s="50"/>
      <c r="E202" s="50"/>
      <c r="F202" s="50"/>
      <c r="G202" s="50"/>
    </row>
    <row r="203" spans="1:7" x14ac:dyDescent="0.25">
      <c r="A203" s="49"/>
      <c r="B203" s="50"/>
      <c r="C203" s="50"/>
      <c r="D203" s="50"/>
      <c r="E203" s="50"/>
      <c r="F203" s="50"/>
      <c r="G203" s="50"/>
    </row>
    <row r="204" spans="1:7" x14ac:dyDescent="0.25">
      <c r="A204" s="49"/>
      <c r="B204" s="50"/>
      <c r="C204" s="50"/>
      <c r="D204" s="50"/>
      <c r="E204" s="50"/>
      <c r="F204" s="50"/>
      <c r="G204" s="50"/>
    </row>
    <row r="205" spans="1:7" x14ac:dyDescent="0.25">
      <c r="A205" s="49"/>
      <c r="B205" s="50"/>
      <c r="C205" s="50"/>
      <c r="D205" s="50"/>
      <c r="E205" s="50"/>
      <c r="F205" s="50"/>
      <c r="G205" s="50"/>
    </row>
    <row r="206" spans="1:7" x14ac:dyDescent="0.25">
      <c r="A206" s="49"/>
      <c r="B206" s="50"/>
      <c r="C206" s="50"/>
      <c r="D206" s="50"/>
      <c r="E206" s="50"/>
      <c r="F206" s="50"/>
      <c r="G206" s="50"/>
    </row>
    <row r="207" spans="1:7" x14ac:dyDescent="0.25">
      <c r="A207" s="49"/>
      <c r="B207" s="50"/>
      <c r="C207" s="50"/>
      <c r="D207" s="50"/>
      <c r="E207" s="50"/>
      <c r="F207" s="50"/>
      <c r="G207" s="50"/>
    </row>
    <row r="208" spans="1:7" x14ac:dyDescent="0.25">
      <c r="A208" s="49"/>
      <c r="B208" s="50"/>
      <c r="C208" s="50"/>
      <c r="D208" s="50"/>
      <c r="E208" s="50"/>
      <c r="F208" s="50"/>
      <c r="G208"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5" activePane="bottomLeft" state="frozen"/>
      <selection pane="bottomLeft" activeCell="M14" sqref="M14"/>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8" t="s">
        <v>416</v>
      </c>
      <c r="B3" s="319"/>
      <c r="C3" s="319"/>
      <c r="D3" s="319"/>
      <c r="E3" s="319"/>
      <c r="F3" s="319"/>
    </row>
    <row r="4" spans="1:6" s="107" customFormat="1" ht="16.5" customHeight="1" x14ac:dyDescent="0.25">
      <c r="A4" s="174" t="s">
        <v>366</v>
      </c>
      <c r="B4" s="76" t="s">
        <v>417</v>
      </c>
      <c r="C4" s="76" t="s">
        <v>412</v>
      </c>
      <c r="D4" s="162" t="s">
        <v>418</v>
      </c>
      <c r="E4" s="162" t="s">
        <v>419</v>
      </c>
      <c r="F4" s="162" t="s">
        <v>419</v>
      </c>
    </row>
    <row r="5" spans="1:6" x14ac:dyDescent="0.25">
      <c r="A5" s="99" t="s">
        <v>682</v>
      </c>
      <c r="B5" s="49">
        <v>36943219</v>
      </c>
      <c r="C5" s="49">
        <v>2905000</v>
      </c>
      <c r="D5" s="49">
        <v>2028407.1033399999</v>
      </c>
      <c r="E5" s="50">
        <f>VLOOKUP($A5,'Data shares'!$C:$FA,154)*100</f>
        <v>7.9200000000000008</v>
      </c>
      <c r="F5" s="173">
        <f>C5/B5</f>
        <v>7.8634187237446737E-2</v>
      </c>
    </row>
    <row r="6" spans="1:6" x14ac:dyDescent="0.25">
      <c r="A6" s="99" t="s">
        <v>553</v>
      </c>
      <c r="B6" s="49">
        <v>7946564</v>
      </c>
      <c r="C6" s="49">
        <v>3031500</v>
      </c>
      <c r="D6" s="49">
        <v>2113111.6787162502</v>
      </c>
      <c r="E6" s="50">
        <f>VLOOKUP($A6,'Data shares'!$C:$FA,154)*100</f>
        <v>38.49</v>
      </c>
      <c r="F6" s="173">
        <f>C6/B6</f>
        <v>0.38148563328754415</v>
      </c>
    </row>
    <row r="7" spans="1:6" x14ac:dyDescent="0.25">
      <c r="A7" s="99" t="s">
        <v>544</v>
      </c>
      <c r="B7" s="49">
        <v>122657000</v>
      </c>
      <c r="C7" s="49">
        <v>105669700</v>
      </c>
      <c r="D7" s="49">
        <v>78848494.566878006</v>
      </c>
      <c r="E7" s="50">
        <f>VLOOKUP($A7,'Data shares'!$C:$FA,154)*100</f>
        <v>87.01</v>
      </c>
      <c r="F7" s="173">
        <f>C7/B7</f>
        <v>0.86150566213098312</v>
      </c>
    </row>
    <row r="8" spans="1:6" x14ac:dyDescent="0.25">
      <c r="A8" s="99" t="s">
        <v>579</v>
      </c>
      <c r="B8" s="49">
        <v>43791427</v>
      </c>
      <c r="C8" s="49">
        <v>21976650</v>
      </c>
      <c r="D8" s="49">
        <v>16506702.0932895</v>
      </c>
      <c r="E8" s="50">
        <f>VLOOKUP($A8,'Data shares'!$C:$FA,154)*100</f>
        <v>50.870000000000005</v>
      </c>
      <c r="F8" s="173">
        <f>C8/B8</f>
        <v>0.50184822705138155</v>
      </c>
    </row>
    <row r="9" spans="1:6" x14ac:dyDescent="0.25">
      <c r="A9" s="99" t="s">
        <v>159</v>
      </c>
      <c r="B9" s="49">
        <v>49117354</v>
      </c>
      <c r="C9" s="49">
        <v>31954926</v>
      </c>
      <c r="D9" s="49">
        <v>18815172.478197601</v>
      </c>
      <c r="E9" s="50">
        <f>VLOOKUP($A9,'Data shares'!$C:$FA,154)*100</f>
        <v>67.300000000000011</v>
      </c>
      <c r="F9" s="173">
        <f>C9/B9</f>
        <v>0.65058321341984338</v>
      </c>
    </row>
    <row r="10" spans="1:6" x14ac:dyDescent="0.25">
      <c r="A10" s="99" t="s">
        <v>606</v>
      </c>
      <c r="B10" s="49">
        <v>92816927</v>
      </c>
      <c r="C10" s="49">
        <v>34019400</v>
      </c>
      <c r="D10" s="49">
        <v>21169989.519264001</v>
      </c>
      <c r="E10" s="50">
        <f>VLOOKUP($A10,'Data shares'!$C:$FA,154)*100</f>
        <v>37.090000000000003</v>
      </c>
      <c r="F10" s="173">
        <f>C10/B10</f>
        <v>0.36652150744012457</v>
      </c>
    </row>
    <row r="11" spans="1:6" x14ac:dyDescent="0.25">
      <c r="A11" s="99" t="s">
        <v>160</v>
      </c>
      <c r="B11" s="49">
        <v>84394936</v>
      </c>
      <c r="C11" s="49">
        <v>33706475</v>
      </c>
      <c r="D11" s="49">
        <v>24024396.458387502</v>
      </c>
      <c r="E11" s="50">
        <f>VLOOKUP($A11,'Data shares'!$C:$FA,154)*100</f>
        <v>40.44</v>
      </c>
      <c r="F11" s="173">
        <f>C11/B11</f>
        <v>0.39938978092240035</v>
      </c>
    </row>
    <row r="12" spans="1:6" x14ac:dyDescent="0.25">
      <c r="A12" s="99" t="s">
        <v>497</v>
      </c>
      <c r="B12" s="49">
        <v>7334235</v>
      </c>
      <c r="C12" s="49">
        <v>1699750</v>
      </c>
      <c r="D12" s="49">
        <v>1485874.18033625</v>
      </c>
      <c r="E12" s="50">
        <f>VLOOKUP($A12,'Data shares'!$C:$FA,154)*100</f>
        <v>23.22</v>
      </c>
      <c r="F12" s="173">
        <f>C12/B12</f>
        <v>0.23175559550518901</v>
      </c>
    </row>
    <row r="13" spans="1:6" x14ac:dyDescent="0.25">
      <c r="A13" s="99" t="s">
        <v>681</v>
      </c>
      <c r="B13" s="49">
        <v>3257355</v>
      </c>
      <c r="C13" s="49">
        <v>1450300</v>
      </c>
      <c r="D13" s="49">
        <v>824997.50621499994</v>
      </c>
      <c r="E13" s="50">
        <f>VLOOKUP($A13,'Data shares'!$C:$FA,154)*100</f>
        <v>46.37</v>
      </c>
      <c r="F13" s="173">
        <f>C13/B13</f>
        <v>0.44523854477022001</v>
      </c>
    </row>
    <row r="14" spans="1:6" x14ac:dyDescent="0.25">
      <c r="A14" s="99" t="s">
        <v>164</v>
      </c>
      <c r="B14" s="49">
        <v>79841849</v>
      </c>
      <c r="C14" s="49">
        <v>70488600</v>
      </c>
      <c r="D14" s="49">
        <v>47811097.913901001</v>
      </c>
      <c r="E14" s="50">
        <f>VLOOKUP($A14,'Data shares'!$C:$FA,154)*100</f>
        <v>89.490000000000009</v>
      </c>
      <c r="F14" s="173">
        <f>C14/B14</f>
        <v>0.8828528006659766</v>
      </c>
    </row>
    <row r="15" spans="1:6" x14ac:dyDescent="0.25">
      <c r="A15" s="99" t="s">
        <v>609</v>
      </c>
      <c r="B15" s="49">
        <v>9673308</v>
      </c>
      <c r="C15" s="49">
        <v>7223750</v>
      </c>
      <c r="D15" s="49">
        <v>3412971.6039800001</v>
      </c>
      <c r="E15" s="50">
        <f>VLOOKUP($A15,'Data shares'!$C:$FA,154)*100</f>
        <v>76.77000000000001</v>
      </c>
      <c r="F15" s="173">
        <f>C15/B15</f>
        <v>0.74677142503888017</v>
      </c>
    </row>
    <row r="16" spans="1:6" x14ac:dyDescent="0.25">
      <c r="A16" s="99" t="s">
        <v>598</v>
      </c>
      <c r="B16" s="49">
        <v>23068453</v>
      </c>
      <c r="C16" s="49">
        <v>11486300</v>
      </c>
      <c r="D16" s="49">
        <v>9175136.1956204996</v>
      </c>
      <c r="E16" s="50">
        <f>VLOOKUP($A16,'Data shares'!$C:$FA,154)*100</f>
        <v>50.080000000000005</v>
      </c>
      <c r="F16" s="173">
        <f>C16/B16</f>
        <v>0.49792242245286233</v>
      </c>
    </row>
    <row r="17" spans="1:6" x14ac:dyDescent="0.25">
      <c r="A17" s="99" t="s">
        <v>165</v>
      </c>
      <c r="B17" s="49">
        <v>15524629</v>
      </c>
      <c r="C17" s="49">
        <v>4532000</v>
      </c>
      <c r="D17" s="49">
        <v>2950900.6266737501</v>
      </c>
      <c r="E17" s="50">
        <f>VLOOKUP($A17,'Data shares'!$C:$FA,154)*100</f>
        <v>29.79</v>
      </c>
      <c r="F17" s="173">
        <f>C17/B17</f>
        <v>0.29192324016245413</v>
      </c>
    </row>
    <row r="18" spans="1:6" x14ac:dyDescent="0.25">
      <c r="A18" s="99" t="s">
        <v>167</v>
      </c>
      <c r="B18" s="49">
        <v>423719104</v>
      </c>
      <c r="C18" s="49">
        <v>261515000</v>
      </c>
      <c r="D18" s="49">
        <v>174411808.5273</v>
      </c>
      <c r="E18" s="50">
        <f>VLOOKUP($A18,'Data shares'!$C:$FA,154)*100</f>
        <v>63.570000000000007</v>
      </c>
      <c r="F18" s="173">
        <f>C18/B18</f>
        <v>0.61718954262680592</v>
      </c>
    </row>
    <row r="19" spans="1:6" x14ac:dyDescent="0.25">
      <c r="A19" s="99" t="s">
        <v>169</v>
      </c>
      <c r="B19" s="49">
        <v>49389162</v>
      </c>
      <c r="C19" s="49">
        <v>18666750</v>
      </c>
      <c r="D19" s="49">
        <v>12558495.816372501</v>
      </c>
      <c r="E19" s="50">
        <f>VLOOKUP($A19,'Data shares'!$C:$FA,154)*100</f>
        <v>38.42</v>
      </c>
      <c r="F19" s="173">
        <f>C19/B19</f>
        <v>0.37795235319036191</v>
      </c>
    </row>
    <row r="20" spans="1:6" x14ac:dyDescent="0.25">
      <c r="A20" s="99" t="s">
        <v>503</v>
      </c>
      <c r="B20" s="49">
        <v>18450534</v>
      </c>
      <c r="C20" s="49">
        <v>11104825</v>
      </c>
      <c r="D20" s="49">
        <v>6484355.0981737496</v>
      </c>
      <c r="E20" s="50">
        <f>VLOOKUP($A20,'Data shares'!$C:$FA,154)*100</f>
        <v>61.12</v>
      </c>
      <c r="F20" s="173">
        <f>C20/B20</f>
        <v>0.60187011389480649</v>
      </c>
    </row>
    <row r="21" spans="1:6" x14ac:dyDescent="0.25">
      <c r="A21" s="99" t="s">
        <v>495</v>
      </c>
      <c r="B21" s="49">
        <v>86371921</v>
      </c>
      <c r="C21" s="49">
        <v>27188000</v>
      </c>
      <c r="D21" s="49">
        <v>20815809.489859998</v>
      </c>
      <c r="E21" s="50">
        <f>VLOOKUP($A21,'Data shares'!$C:$FA,154)*100</f>
        <v>31.96</v>
      </c>
      <c r="F21" s="173">
        <f>C21/B21</f>
        <v>0.31477822520585136</v>
      </c>
    </row>
    <row r="22" spans="1:6" x14ac:dyDescent="0.25">
      <c r="A22" s="99" t="s">
        <v>171</v>
      </c>
      <c r="B22" s="49">
        <v>41977935</v>
      </c>
      <c r="C22" s="49">
        <v>26515500</v>
      </c>
      <c r="D22" s="49">
        <v>20248856.025062501</v>
      </c>
      <c r="E22" s="50">
        <f>VLOOKUP($A22,'Data shares'!$C:$FA,154)*100</f>
        <v>63.54</v>
      </c>
      <c r="F22" s="173">
        <f>C22/B22</f>
        <v>0.63165327212975098</v>
      </c>
    </row>
    <row r="23" spans="1:6" x14ac:dyDescent="0.25">
      <c r="A23" s="99" t="s">
        <v>173</v>
      </c>
      <c r="B23" s="49">
        <v>296371456</v>
      </c>
      <c r="C23" s="49">
        <v>96859375</v>
      </c>
      <c r="D23" s="49">
        <v>76973503.657062501</v>
      </c>
      <c r="E23" s="50">
        <f>VLOOKUP($A23,'Data shares'!$C:$FA,154)*100</f>
        <v>33.08</v>
      </c>
      <c r="F23" s="173">
        <f>C23/B23</f>
        <v>0.32681748879352268</v>
      </c>
    </row>
    <row r="24" spans="1:6" x14ac:dyDescent="0.25">
      <c r="A24" s="99" t="s">
        <v>174</v>
      </c>
      <c r="B24" s="49">
        <v>15906526</v>
      </c>
      <c r="C24" s="49">
        <v>5003250</v>
      </c>
      <c r="D24" s="49">
        <v>3203506.7487457502</v>
      </c>
      <c r="E24" s="50">
        <f>VLOOKUP($A24,'Data shares'!$C:$FA,154)*100</f>
        <v>32.08</v>
      </c>
      <c r="F24" s="173">
        <f>C24/B24</f>
        <v>0.31454071115213972</v>
      </c>
    </row>
    <row r="25" spans="1:6" x14ac:dyDescent="0.25">
      <c r="A25" s="99" t="s">
        <v>176</v>
      </c>
      <c r="B25" s="49">
        <v>65701623</v>
      </c>
      <c r="C25" s="49">
        <v>23236000</v>
      </c>
      <c r="D25" s="49">
        <v>17588175.127522498</v>
      </c>
      <c r="E25" s="50">
        <f>VLOOKUP($A25,'Data shares'!$C:$FA,154)*100</f>
        <v>35.56</v>
      </c>
      <c r="F25" s="173">
        <f>C25/B25</f>
        <v>0.35365945221779377</v>
      </c>
    </row>
    <row r="26" spans="1:6" x14ac:dyDescent="0.25">
      <c r="A26" s="99" t="s">
        <v>691</v>
      </c>
      <c r="B26" s="49">
        <v>5401993</v>
      </c>
      <c r="C26" s="49">
        <v>106450</v>
      </c>
      <c r="D26" s="49">
        <v>61899.088780500002</v>
      </c>
      <c r="E26" s="50">
        <f>VLOOKUP($A26,'Data shares'!$C:$FA,154)*100</f>
        <v>2.0500000000000003</v>
      </c>
      <c r="F26" s="173">
        <f>C26/B26</f>
        <v>1.9705690103633974E-2</v>
      </c>
    </row>
    <row r="27" spans="1:6" x14ac:dyDescent="0.25">
      <c r="A27" s="99" t="s">
        <v>177</v>
      </c>
      <c r="B27" s="49">
        <v>317526833</v>
      </c>
      <c r="C27" s="49">
        <v>131037750</v>
      </c>
      <c r="D27" s="49">
        <v>92603639.535255</v>
      </c>
      <c r="E27" s="50">
        <f>VLOOKUP($A27,'Data shares'!$C:$FA,154)*100</f>
        <v>42.1</v>
      </c>
      <c r="F27" s="173">
        <f>C27/B27</f>
        <v>0.41268244564389306</v>
      </c>
    </row>
    <row r="28" spans="1:6" x14ac:dyDescent="0.25">
      <c r="A28" s="99" t="s">
        <v>179</v>
      </c>
      <c r="B28" s="49">
        <v>144289555</v>
      </c>
      <c r="C28" s="49">
        <v>165960000</v>
      </c>
      <c r="D28" s="49">
        <v>110150830.75554</v>
      </c>
      <c r="E28" s="50">
        <f>VLOOKUP($A28,'Data shares'!$C:$FA,154)*100</f>
        <v>116.24000000000001</v>
      </c>
      <c r="F28" s="173">
        <f>C28/B28</f>
        <v>1.1501872051653357</v>
      </c>
    </row>
    <row r="29" spans="1:6" x14ac:dyDescent="0.25">
      <c r="A29" s="99" t="s">
        <v>180</v>
      </c>
      <c r="B29" s="49">
        <v>279476623</v>
      </c>
      <c r="C29" s="49">
        <v>132745275</v>
      </c>
      <c r="D29" s="49">
        <v>83184860.876393199</v>
      </c>
      <c r="E29" s="50">
        <f>VLOOKUP($A29,'Data shares'!$C:$FA,154)*100</f>
        <v>48.209999999999994</v>
      </c>
      <c r="F29" s="173">
        <f>C29/B29</f>
        <v>0.47497809861542517</v>
      </c>
    </row>
    <row r="30" spans="1:6" x14ac:dyDescent="0.25">
      <c r="A30" s="99" t="s">
        <v>602</v>
      </c>
      <c r="B30" s="49">
        <v>181770921</v>
      </c>
      <c r="C30" s="49">
        <v>71276400</v>
      </c>
      <c r="D30" s="49">
        <v>50225321.478019997</v>
      </c>
      <c r="E30" s="50"/>
      <c r="F30" s="173">
        <f>C30/B30</f>
        <v>0.39212212606877861</v>
      </c>
    </row>
    <row r="31" spans="1:6" x14ac:dyDescent="0.25">
      <c r="A31" s="99" t="s">
        <v>671</v>
      </c>
      <c r="B31" s="49">
        <v>13786716</v>
      </c>
      <c r="C31" s="49">
        <v>10172400</v>
      </c>
      <c r="D31" s="49">
        <v>4331824.1194059998</v>
      </c>
      <c r="E31" s="50">
        <f>VLOOKUP($A31,'Data shares'!$C:$FA,154)*100</f>
        <v>75.13</v>
      </c>
      <c r="F31" s="173">
        <f>C31/B31</f>
        <v>0.73784068664357783</v>
      </c>
    </row>
    <row r="32" spans="1:6" x14ac:dyDescent="0.25">
      <c r="A32" s="99" t="s">
        <v>185</v>
      </c>
      <c r="B32" s="49">
        <v>535778534</v>
      </c>
      <c r="C32" s="49">
        <v>190625100</v>
      </c>
      <c r="D32" s="49">
        <v>117467818.765256</v>
      </c>
      <c r="E32" s="50">
        <f>VLOOKUP($A32,'Data shares'!$C:$FA,154)*100</f>
        <v>36.22</v>
      </c>
      <c r="F32" s="173">
        <f>C32/B32</f>
        <v>0.35579084995592603</v>
      </c>
    </row>
    <row r="33" spans="1:6" x14ac:dyDescent="0.25">
      <c r="A33" s="99" t="s">
        <v>187</v>
      </c>
      <c r="B33" s="49">
        <v>40107751</v>
      </c>
      <c r="C33" s="49">
        <v>12472000</v>
      </c>
      <c r="D33" s="49">
        <v>8047749.7235949999</v>
      </c>
      <c r="E33" s="50">
        <f>VLOOKUP($A33,'Data shares'!$C:$FA,154)*100</f>
        <v>31.619999999999997</v>
      </c>
      <c r="F33" s="173">
        <f>C33/B33</f>
        <v>0.31096233742949086</v>
      </c>
    </row>
    <row r="34" spans="1:6" x14ac:dyDescent="0.25">
      <c r="A34" s="99" t="s">
        <v>189</v>
      </c>
      <c r="B34" s="49">
        <v>367085962</v>
      </c>
      <c r="C34" s="49">
        <v>58514300</v>
      </c>
      <c r="D34" s="49">
        <v>48006594.713848703</v>
      </c>
      <c r="E34" s="50">
        <f>VLOOKUP($A34,'Data shares'!$C:$FA,154)*100</f>
        <v>16.14</v>
      </c>
      <c r="F34" s="173">
        <f>C34/B34</f>
        <v>0.1594021729438948</v>
      </c>
    </row>
    <row r="35" spans="1:6" x14ac:dyDescent="0.25">
      <c r="A35" s="99" t="s">
        <v>190</v>
      </c>
      <c r="B35" s="49">
        <v>192361942</v>
      </c>
      <c r="C35" s="49">
        <v>112452375</v>
      </c>
      <c r="D35" s="49">
        <v>63210448.343332499</v>
      </c>
      <c r="E35" s="50">
        <f>VLOOKUP($A35,'Data shares'!$C:$FA,154)*100</f>
        <v>60.140000000000008</v>
      </c>
      <c r="F35" s="173">
        <f>C35/B35</f>
        <v>0.58458743881884911</v>
      </c>
    </row>
    <row r="36" spans="1:6" x14ac:dyDescent="0.25">
      <c r="A36" s="99" t="s">
        <v>191</v>
      </c>
      <c r="B36" s="49">
        <v>91057772</v>
      </c>
      <c r="C36" s="49">
        <v>64422500</v>
      </c>
      <c r="D36" s="49">
        <v>39501508.861824997</v>
      </c>
      <c r="E36" s="50">
        <f>VLOOKUP($A36,'Data shares'!$C:$FA,154)*100</f>
        <v>71.709999999999994</v>
      </c>
      <c r="F36" s="173">
        <f>C36/B36</f>
        <v>0.70749040510237826</v>
      </c>
    </row>
    <row r="37" spans="1:6" x14ac:dyDescent="0.25">
      <c r="A37" s="99" t="s">
        <v>679</v>
      </c>
      <c r="B37" s="49">
        <v>17213286</v>
      </c>
      <c r="C37" s="49">
        <v>2812875</v>
      </c>
      <c r="D37" s="49">
        <v>2002476.37684575</v>
      </c>
      <c r="E37" s="50">
        <f>VLOOKUP($A37,'Data shares'!$C:$FA,154)*100</f>
        <v>16.420000000000002</v>
      </c>
      <c r="F37" s="173">
        <f>C37/B37</f>
        <v>0.16341301713106957</v>
      </c>
    </row>
    <row r="38" spans="1:6" x14ac:dyDescent="0.25">
      <c r="A38" s="99" t="s">
        <v>192</v>
      </c>
      <c r="B38" s="49">
        <v>882048</v>
      </c>
      <c r="C38" s="49">
        <v>255525</v>
      </c>
      <c r="D38" s="49">
        <v>187281.99202325</v>
      </c>
      <c r="E38" s="50">
        <f>VLOOKUP($A38,'Data shares'!$C:$FA,154)*100</f>
        <v>29.23</v>
      </c>
      <c r="F38" s="173">
        <f>C38/B38</f>
        <v>0.28969511863299957</v>
      </c>
    </row>
    <row r="39" spans="1:6" x14ac:dyDescent="0.25">
      <c r="A39" s="99" t="s">
        <v>194</v>
      </c>
      <c r="B39" s="49">
        <v>306020745</v>
      </c>
      <c r="C39" s="49">
        <v>44421700</v>
      </c>
      <c r="D39" s="49">
        <v>28458614.449378502</v>
      </c>
      <c r="E39" s="50">
        <f>VLOOKUP($A39,'Data shares'!$C:$FA,154)*100</f>
        <v>14.74</v>
      </c>
      <c r="F39" s="173">
        <f>C39/B39</f>
        <v>0.14515911331436043</v>
      </c>
    </row>
    <row r="40" spans="1:6" x14ac:dyDescent="0.25">
      <c r="A40" s="99" t="s">
        <v>195</v>
      </c>
      <c r="B40" s="49">
        <v>16370935</v>
      </c>
      <c r="C40" s="49">
        <v>3464750</v>
      </c>
      <c r="D40" s="49">
        <v>2834614.396435</v>
      </c>
      <c r="E40" s="50">
        <f>VLOOKUP($A40,'Data shares'!$C:$FA,154)*100</f>
        <v>21.4</v>
      </c>
      <c r="F40" s="173">
        <f>C40/B40</f>
        <v>0.21164032475848202</v>
      </c>
    </row>
    <row r="41" spans="1:6" x14ac:dyDescent="0.25">
      <c r="A41" s="99" t="s">
        <v>584</v>
      </c>
      <c r="B41" s="49">
        <v>61094861</v>
      </c>
      <c r="C41" s="49">
        <v>22291875</v>
      </c>
      <c r="D41" s="49">
        <v>11339559.510442499</v>
      </c>
      <c r="E41" s="50"/>
      <c r="F41" s="173">
        <f>C41/B41</f>
        <v>0.36487316011734605</v>
      </c>
    </row>
    <row r="42" spans="1:6" x14ac:dyDescent="0.25">
      <c r="A42" s="99" t="s">
        <v>611</v>
      </c>
      <c r="B42" s="49">
        <v>37122288</v>
      </c>
      <c r="C42" s="49">
        <v>11922750</v>
      </c>
      <c r="D42" s="49">
        <v>7166409.0416775001</v>
      </c>
      <c r="E42" s="50">
        <f>VLOOKUP($A42,'Data shares'!$C:$FA,154)*100</f>
        <v>32.47</v>
      </c>
      <c r="F42" s="173">
        <f>C42/B42</f>
        <v>0.32117497714580523</v>
      </c>
    </row>
    <row r="43" spans="1:6" x14ac:dyDescent="0.25">
      <c r="A43" s="99" t="s">
        <v>196</v>
      </c>
      <c r="B43" s="49">
        <v>504315430</v>
      </c>
      <c r="C43" s="49">
        <v>267637500</v>
      </c>
      <c r="D43" s="49">
        <v>143060595.53417999</v>
      </c>
      <c r="E43" s="50">
        <f>VLOOKUP($A43,'Data shares'!$C:$FA,154)*100</f>
        <v>54.230000000000004</v>
      </c>
      <c r="F43" s="173">
        <f>C43/B43</f>
        <v>0.53069464878359962</v>
      </c>
    </row>
    <row r="44" spans="1:6" x14ac:dyDescent="0.25">
      <c r="A44" s="99" t="s">
        <v>597</v>
      </c>
      <c r="B44" s="49">
        <v>26647500</v>
      </c>
      <c r="C44" s="49">
        <v>19279300</v>
      </c>
      <c r="D44" s="49">
        <v>9178934.7403030004</v>
      </c>
      <c r="E44" s="50">
        <f>VLOOKUP($A44,'Data shares'!$C:$FA,154)*100</f>
        <v>73.429999999999993</v>
      </c>
      <c r="F44" s="173">
        <f>C44/B44</f>
        <v>0.72349376114081998</v>
      </c>
    </row>
    <row r="45" spans="1:6" x14ac:dyDescent="0.25">
      <c r="A45" s="99" t="s">
        <v>612</v>
      </c>
      <c r="B45" s="49">
        <v>103060454</v>
      </c>
      <c r="C45" s="49">
        <v>20586150</v>
      </c>
      <c r="D45" s="49">
        <v>13633918.091339501</v>
      </c>
      <c r="E45" s="50">
        <f>VLOOKUP($A45,'Data shares'!$C:$FA,154)*100</f>
        <v>20.13</v>
      </c>
      <c r="F45" s="173">
        <f>C45/B45</f>
        <v>0.19974829530636456</v>
      </c>
    </row>
    <row r="46" spans="1:6" x14ac:dyDescent="0.25">
      <c r="A46" s="99" t="s">
        <v>198</v>
      </c>
      <c r="B46" s="49">
        <v>63257923</v>
      </c>
      <c r="C46" s="49">
        <v>18099375</v>
      </c>
      <c r="D46" s="49">
        <v>11616248.497256201</v>
      </c>
      <c r="E46" s="50">
        <f>VLOOKUP($A46,'Data shares'!$C:$FA,154)*100</f>
        <v>30.020000000000003</v>
      </c>
      <c r="F46" s="173">
        <f>C46/B46</f>
        <v>0.28612028567551928</v>
      </c>
    </row>
    <row r="47" spans="1:6" x14ac:dyDescent="0.25">
      <c r="A47" s="99" t="s">
        <v>199</v>
      </c>
      <c r="B47" s="49">
        <v>59297360</v>
      </c>
      <c r="C47" s="49">
        <v>17179125</v>
      </c>
      <c r="D47" s="49">
        <v>12321294.9120412</v>
      </c>
      <c r="E47" s="50">
        <f>VLOOKUP($A47,'Data shares'!$C:$FA,154)*100</f>
        <v>29.26</v>
      </c>
      <c r="F47" s="173">
        <f>C47/B47</f>
        <v>0.28971146438897111</v>
      </c>
    </row>
    <row r="48" spans="1:6" x14ac:dyDescent="0.25">
      <c r="A48" s="99" t="s">
        <v>200</v>
      </c>
      <c r="B48" s="49">
        <v>278206904</v>
      </c>
      <c r="C48" s="49">
        <v>105884550</v>
      </c>
      <c r="D48" s="49">
        <v>59076049.887913503</v>
      </c>
      <c r="E48" s="50">
        <f>VLOOKUP($A48,'Data shares'!$C:$FA,154)*100</f>
        <v>39.06</v>
      </c>
      <c r="F48" s="173">
        <f>C48/B48</f>
        <v>0.38059641395527699</v>
      </c>
    </row>
    <row r="49" spans="1:6" x14ac:dyDescent="0.25">
      <c r="A49" s="99" t="s">
        <v>470</v>
      </c>
      <c r="B49" s="49">
        <v>50189409</v>
      </c>
      <c r="C49" s="49">
        <v>30477000</v>
      </c>
      <c r="D49" s="49">
        <v>17172924.720401201</v>
      </c>
      <c r="E49" s="50">
        <f>VLOOKUP($A49,'Data shares'!$C:$FA,154)*100</f>
        <v>63.980000000000004</v>
      </c>
      <c r="F49" s="173">
        <f>C49/B49</f>
        <v>0.60723966683887431</v>
      </c>
    </row>
    <row r="50" spans="1:6" x14ac:dyDescent="0.25">
      <c r="A50" s="99" t="s">
        <v>201</v>
      </c>
      <c r="B50" s="49">
        <v>19546143</v>
      </c>
      <c r="C50" s="49">
        <v>9103950</v>
      </c>
      <c r="D50" s="49">
        <v>5772996.1269899998</v>
      </c>
      <c r="E50" s="50">
        <f>VLOOKUP($A50,'Data shares'!$C:$FA,154)*100</f>
        <v>47.07</v>
      </c>
      <c r="F50" s="173">
        <f>C50/B50</f>
        <v>0.46576708253899501</v>
      </c>
    </row>
    <row r="51" spans="1:6" x14ac:dyDescent="0.25">
      <c r="A51" s="99" t="s">
        <v>202</v>
      </c>
      <c r="B51" s="49">
        <v>51639257</v>
      </c>
      <c r="C51" s="49">
        <v>54616250</v>
      </c>
      <c r="D51" s="49">
        <v>31556228.3266875</v>
      </c>
      <c r="E51" s="50">
        <f>VLOOKUP($A51,'Data shares'!$C:$FA,154)*100</f>
        <v>107.86</v>
      </c>
      <c r="F51" s="173">
        <f>C51/B51</f>
        <v>1.0576498031333021</v>
      </c>
    </row>
    <row r="52" spans="1:6" x14ac:dyDescent="0.25">
      <c r="A52" s="99" t="s">
        <v>523</v>
      </c>
      <c r="B52" s="49">
        <v>96587231</v>
      </c>
      <c r="C52" s="49">
        <v>76411800</v>
      </c>
      <c r="D52" s="49">
        <v>50016212.552772</v>
      </c>
      <c r="E52" s="50">
        <f>VLOOKUP($A52,'Data shares'!$C:$FA,154)*100</f>
        <v>79.759999999999991</v>
      </c>
      <c r="F52" s="173">
        <f>C52/B52</f>
        <v>0.79111699557884618</v>
      </c>
    </row>
    <row r="53" spans="1:6" x14ac:dyDescent="0.25">
      <c r="A53" s="99" t="s">
        <v>203</v>
      </c>
      <c r="B53" s="49">
        <v>19131188</v>
      </c>
      <c r="C53" s="49">
        <v>4234000</v>
      </c>
      <c r="D53" s="49">
        <v>3197201.6271540001</v>
      </c>
      <c r="E53" s="50"/>
      <c r="F53" s="173">
        <f>C53/B53</f>
        <v>0.22131401353643068</v>
      </c>
    </row>
    <row r="54" spans="1:6" x14ac:dyDescent="0.25">
      <c r="A54" s="99" t="s">
        <v>204</v>
      </c>
      <c r="B54" s="49">
        <v>89873278</v>
      </c>
      <c r="C54" s="49">
        <v>35953750</v>
      </c>
      <c r="D54" s="49">
        <v>19752397.608424999</v>
      </c>
      <c r="E54" s="50">
        <f>VLOOKUP($A54,'Data shares'!$C:$FA,154)*100</f>
        <v>40.97</v>
      </c>
      <c r="F54" s="173">
        <f>C54/B54</f>
        <v>0.4000493895415721</v>
      </c>
    </row>
    <row r="55" spans="1:6" x14ac:dyDescent="0.25">
      <c r="A55" s="99" t="s">
        <v>524</v>
      </c>
      <c r="B55" s="49">
        <v>12425041</v>
      </c>
      <c r="C55" s="49">
        <v>3819075</v>
      </c>
      <c r="D55" s="49">
        <v>2643549.70619675</v>
      </c>
      <c r="E55" s="50">
        <f>VLOOKUP($A55,'Data shares'!$C:$FA,154)*100</f>
        <v>30.9</v>
      </c>
      <c r="F55" s="173">
        <f>C55/B55</f>
        <v>0.3073692070714294</v>
      </c>
    </row>
    <row r="56" spans="1:6" x14ac:dyDescent="0.25">
      <c r="A56" s="99" t="s">
        <v>600</v>
      </c>
      <c r="B56" s="49">
        <v>112112283</v>
      </c>
      <c r="C56" s="49">
        <v>22737850</v>
      </c>
      <c r="D56" s="49">
        <v>16129481.6293025</v>
      </c>
      <c r="E56" s="50">
        <f>VLOOKUP($A56,'Data shares'!$C:$FA,154)*100</f>
        <v>20.59</v>
      </c>
      <c r="F56" s="173">
        <f>C56/B56</f>
        <v>0.20281319219946667</v>
      </c>
    </row>
    <row r="57" spans="1:6" x14ac:dyDescent="0.25">
      <c r="A57" s="99" t="s">
        <v>205</v>
      </c>
      <c r="B57" s="49">
        <v>14898112</v>
      </c>
      <c r="C57" s="49">
        <v>4180300</v>
      </c>
      <c r="D57" s="49">
        <v>3258597.315864</v>
      </c>
      <c r="E57" s="50">
        <f>VLOOKUP($A57,'Data shares'!$C:$FA,154)*100</f>
        <v>28.349999999999998</v>
      </c>
      <c r="F57" s="173">
        <f>C57/B57</f>
        <v>0.280592601263838</v>
      </c>
    </row>
    <row r="58" spans="1:6" x14ac:dyDescent="0.25">
      <c r="A58" s="99" t="s">
        <v>512</v>
      </c>
      <c r="B58" s="49">
        <v>6452220</v>
      </c>
      <c r="C58" s="49">
        <v>6392550</v>
      </c>
      <c r="D58" s="49">
        <v>2725491.778926</v>
      </c>
      <c r="E58" s="50">
        <f>VLOOKUP($A58,'Data shares'!$C:$FA,154)*100</f>
        <v>101.73</v>
      </c>
      <c r="F58" s="173">
        <f>C58/B58</f>
        <v>0.99075202023489595</v>
      </c>
    </row>
    <row r="59" spans="1:6" x14ac:dyDescent="0.25">
      <c r="A59" s="99" t="s">
        <v>207</v>
      </c>
      <c r="B59" s="49">
        <v>96058266</v>
      </c>
      <c r="C59" s="49">
        <v>65686500</v>
      </c>
      <c r="D59" s="49">
        <v>46222603.662312001</v>
      </c>
      <c r="E59" s="50">
        <f>VLOOKUP($A59,'Data shares'!$C:$FA,154)*100</f>
        <v>69.040000000000006</v>
      </c>
      <c r="F59" s="173">
        <f>C59/B59</f>
        <v>0.68381933939969308</v>
      </c>
    </row>
    <row r="60" spans="1:6" x14ac:dyDescent="0.25">
      <c r="A60" s="99" t="s">
        <v>583</v>
      </c>
      <c r="B60" s="49">
        <v>18750186</v>
      </c>
      <c r="C60" s="49">
        <v>7428000</v>
      </c>
      <c r="D60" s="49">
        <v>4669975.757313</v>
      </c>
      <c r="E60" s="50">
        <f>VLOOKUP($A60,'Data shares'!$C:$FA,154)*100</f>
        <v>40.150000000000006</v>
      </c>
      <c r="F60" s="173">
        <f>C60/B60</f>
        <v>0.39615607013178428</v>
      </c>
    </row>
    <row r="61" spans="1:6" x14ac:dyDescent="0.25">
      <c r="A61" s="99" t="s">
        <v>208</v>
      </c>
      <c r="B61" s="49">
        <v>91531454</v>
      </c>
      <c r="C61" s="49">
        <v>17868125</v>
      </c>
      <c r="D61" s="49">
        <v>12058878.585868699</v>
      </c>
      <c r="E61" s="50">
        <f>VLOOKUP($A61,'Data shares'!$C:$FA,154)*100</f>
        <v>19.759999999999998</v>
      </c>
      <c r="F61" s="173">
        <f>C61/B61</f>
        <v>0.19521294832703084</v>
      </c>
    </row>
    <row r="62" spans="1:6" x14ac:dyDescent="0.25">
      <c r="A62" s="99" t="s">
        <v>209</v>
      </c>
      <c r="B62" s="49">
        <v>19199175</v>
      </c>
      <c r="C62" s="49">
        <v>4743600</v>
      </c>
      <c r="D62" s="49">
        <v>3093103.8463849998</v>
      </c>
      <c r="E62" s="50"/>
      <c r="F62" s="173">
        <f>C62/B62</f>
        <v>0.24707311642297131</v>
      </c>
    </row>
    <row r="63" spans="1:6" x14ac:dyDescent="0.25">
      <c r="A63" s="99" t="s">
        <v>667</v>
      </c>
      <c r="B63" s="49">
        <v>1251309857</v>
      </c>
      <c r="C63" s="49">
        <v>346527650</v>
      </c>
      <c r="D63" s="49">
        <v>278273052.213355</v>
      </c>
      <c r="E63" s="50">
        <f>VLOOKUP($A63,'Data shares'!$C:$FA,154)*100</f>
        <v>27.96</v>
      </c>
      <c r="F63" s="173">
        <f>C63/B63</f>
        <v>0.27693192702149394</v>
      </c>
    </row>
    <row r="64" spans="1:6" x14ac:dyDescent="0.25">
      <c r="A64" s="99" t="s">
        <v>211</v>
      </c>
      <c r="B64" s="49">
        <v>68856800</v>
      </c>
      <c r="C64" s="49">
        <v>46692000</v>
      </c>
      <c r="D64" s="49">
        <v>22956000.646338001</v>
      </c>
      <c r="E64" s="50">
        <f>VLOOKUP($A64,'Data shares'!$C:$FA,154)*100</f>
        <v>68.569999999999993</v>
      </c>
      <c r="F64" s="173">
        <f>C64/B64</f>
        <v>0.67810296150852201</v>
      </c>
    </row>
    <row r="65" spans="1:6" x14ac:dyDescent="0.25">
      <c r="A65" s="99" t="s">
        <v>212</v>
      </c>
      <c r="B65" s="49">
        <v>320636733</v>
      </c>
      <c r="C65" s="49">
        <v>89585000</v>
      </c>
      <c r="D65" s="49">
        <v>53872545.708400004</v>
      </c>
      <c r="E65" s="50">
        <f>VLOOKUP($A65,'Data shares'!$C:$FA,154)*100</f>
        <v>28.59</v>
      </c>
      <c r="F65" s="173">
        <f>C65/B65</f>
        <v>0.27939718310440742</v>
      </c>
    </row>
    <row r="66" spans="1:6" x14ac:dyDescent="0.25">
      <c r="A66" s="99" t="s">
        <v>677</v>
      </c>
      <c r="B66" s="49">
        <v>77949604</v>
      </c>
      <c r="C66" s="49">
        <v>14656800</v>
      </c>
      <c r="D66" s="49">
        <v>11326212.278260499</v>
      </c>
      <c r="E66" s="50">
        <f>VLOOKUP($A66,'Data shares'!$C:$FA,154)*100</f>
        <v>18.96</v>
      </c>
      <c r="F66" s="173">
        <f>C66/B66</f>
        <v>0.18802917844200978</v>
      </c>
    </row>
    <row r="67" spans="1:6" x14ac:dyDescent="0.25">
      <c r="A67" s="99" t="s">
        <v>213</v>
      </c>
      <c r="B67" s="49">
        <v>435694919</v>
      </c>
      <c r="C67" s="49">
        <v>133437150</v>
      </c>
      <c r="D67" s="49">
        <v>82027057.866327003</v>
      </c>
      <c r="E67" s="50">
        <f>VLOOKUP($A67,'Data shares'!$C:$FA,154)*100</f>
        <v>31.009999999999998</v>
      </c>
      <c r="F67" s="173">
        <f>C67/B67</f>
        <v>0.30626280955091884</v>
      </c>
    </row>
    <row r="68" spans="1:6" x14ac:dyDescent="0.25">
      <c r="A68" s="99" t="s">
        <v>214</v>
      </c>
      <c r="B68" s="49">
        <v>22585180</v>
      </c>
      <c r="C68" s="49">
        <v>15487875</v>
      </c>
      <c r="D68" s="49">
        <v>10964883.984735001</v>
      </c>
      <c r="E68" s="50">
        <f>VLOOKUP($A68,'Data shares'!$C:$FA,154)*100</f>
        <v>69.210000000000008</v>
      </c>
      <c r="F68" s="173">
        <f>C68/B68</f>
        <v>0.68575388816914451</v>
      </c>
    </row>
    <row r="69" spans="1:6" x14ac:dyDescent="0.25">
      <c r="A69" s="99" t="s">
        <v>631</v>
      </c>
      <c r="B69" s="49">
        <v>534704421</v>
      </c>
      <c r="C69" s="49">
        <v>287202600</v>
      </c>
      <c r="D69" s="49">
        <v>155239702.14690399</v>
      </c>
      <c r="E69" s="50">
        <f>VLOOKUP($A69,'Data shares'!$C:$FA,154)*100</f>
        <v>54.42</v>
      </c>
      <c r="F69" s="173">
        <f>C69/B69</f>
        <v>0.53712404221920584</v>
      </c>
    </row>
    <row r="70" spans="1:6" x14ac:dyDescent="0.25">
      <c r="A70" s="99" t="s">
        <v>217</v>
      </c>
      <c r="B70" s="49">
        <v>72031016</v>
      </c>
      <c r="C70" s="49">
        <v>10821500</v>
      </c>
      <c r="D70" s="49">
        <v>9322528.80064</v>
      </c>
      <c r="E70" s="50">
        <f>VLOOKUP($A70,'Data shares'!$C:$FA,154)*100</f>
        <v>15.35</v>
      </c>
      <c r="F70" s="173">
        <f>C70/B70</f>
        <v>0.15023389368824119</v>
      </c>
    </row>
    <row r="71" spans="1:6" x14ac:dyDescent="0.25">
      <c r="A71" s="99" t="s">
        <v>218</v>
      </c>
      <c r="B71" s="49">
        <v>17263909</v>
      </c>
      <c r="C71" s="49">
        <v>11970750</v>
      </c>
      <c r="D71" s="49">
        <v>8808553.2631634995</v>
      </c>
      <c r="E71" s="50">
        <f>VLOOKUP($A71,'Data shares'!$C:$FA,154)*100</f>
        <v>69.89</v>
      </c>
      <c r="F71" s="173">
        <f>C71/B71</f>
        <v>0.69339742233349355</v>
      </c>
    </row>
    <row r="72" spans="1:6" x14ac:dyDescent="0.25">
      <c r="A72" s="99" t="s">
        <v>219</v>
      </c>
      <c r="B72" s="49">
        <v>38505832</v>
      </c>
      <c r="C72" s="49">
        <v>17699000</v>
      </c>
      <c r="D72" s="49">
        <v>13431799.017732499</v>
      </c>
      <c r="E72" s="50">
        <f>VLOOKUP($A72,'Data shares'!$C:$FA,154)*100</f>
        <v>46.129999999999995</v>
      </c>
      <c r="F72" s="173">
        <f>C72/B72</f>
        <v>0.4596446585026393</v>
      </c>
    </row>
    <row r="73" spans="1:6" x14ac:dyDescent="0.25">
      <c r="A73" s="99" t="s">
        <v>513</v>
      </c>
      <c r="B73" s="49">
        <v>28450886</v>
      </c>
      <c r="C73" s="49">
        <v>15570600</v>
      </c>
      <c r="D73" s="49">
        <v>8480761.3328610007</v>
      </c>
      <c r="E73" s="50">
        <f>VLOOKUP($A73,'Data shares'!$C:$FA,154)*100</f>
        <v>55.379999999999995</v>
      </c>
      <c r="F73" s="173">
        <f>C73/B73</f>
        <v>0.54727996871520979</v>
      </c>
    </row>
    <row r="74" spans="1:6" x14ac:dyDescent="0.25">
      <c r="A74" s="99" t="s">
        <v>220</v>
      </c>
      <c r="B74" s="49">
        <v>35667502</v>
      </c>
      <c r="C74" s="49">
        <v>10549500</v>
      </c>
      <c r="D74" s="49">
        <v>7571308.6903299997</v>
      </c>
      <c r="E74" s="50">
        <f>VLOOKUP($A74,'Data shares'!$C:$FA,154)*100</f>
        <v>29.84</v>
      </c>
      <c r="F74" s="173">
        <f>C74/B74</f>
        <v>0.29577344665180083</v>
      </c>
    </row>
    <row r="75" spans="1:6" x14ac:dyDescent="0.25">
      <c r="A75" s="99" t="s">
        <v>222</v>
      </c>
      <c r="B75" s="49">
        <v>106857976</v>
      </c>
      <c r="C75" s="49">
        <v>21642600</v>
      </c>
      <c r="D75" s="49">
        <v>15702824.94781</v>
      </c>
      <c r="E75" s="50">
        <f>VLOOKUP($A75,'Data shares'!$C:$FA,154)*100</f>
        <v>20.440000000000001</v>
      </c>
      <c r="F75" s="173">
        <f>C75/B75</f>
        <v>0.20253612140286092</v>
      </c>
    </row>
    <row r="76" spans="1:6" x14ac:dyDescent="0.25">
      <c r="A76" s="99" t="s">
        <v>475</v>
      </c>
      <c r="B76" s="49">
        <v>30592324</v>
      </c>
      <c r="C76" s="49">
        <v>7767300</v>
      </c>
      <c r="D76" s="49">
        <v>5915264.0259959996</v>
      </c>
      <c r="E76" s="50">
        <f>VLOOKUP($A76,'Data shares'!$C:$FA,154)*100</f>
        <v>25.729999999999997</v>
      </c>
      <c r="F76" s="173">
        <f>C76/B76</f>
        <v>0.25389702331865993</v>
      </c>
    </row>
    <row r="77" spans="1:6" x14ac:dyDescent="0.25">
      <c r="A77" s="99" t="s">
        <v>224</v>
      </c>
      <c r="B77" s="49">
        <v>1330694977</v>
      </c>
      <c r="C77" s="49">
        <v>256142700</v>
      </c>
      <c r="D77" s="49">
        <v>218720068.90305501</v>
      </c>
      <c r="E77" s="50">
        <f>VLOOKUP($A77,'Data shares'!$C:$FA,154)*100</f>
        <v>19.470000000000002</v>
      </c>
      <c r="F77" s="173">
        <f>C77/B77</f>
        <v>0.19248791377980831</v>
      </c>
    </row>
    <row r="78" spans="1:6" x14ac:dyDescent="0.25">
      <c r="A78" s="99" t="s">
        <v>225</v>
      </c>
      <c r="B78" s="49">
        <v>128849634</v>
      </c>
      <c r="C78" s="49">
        <v>45523500</v>
      </c>
      <c r="D78" s="49">
        <v>34654219.683335997</v>
      </c>
      <c r="E78" s="50">
        <f>VLOOKUP($A78,'Data shares'!$C:$FA,154)*100</f>
        <v>35.78</v>
      </c>
      <c r="F78" s="173">
        <f>C78/B78</f>
        <v>0.35330717353842078</v>
      </c>
    </row>
    <row r="79" spans="1:6" x14ac:dyDescent="0.25">
      <c r="A79" s="99" t="s">
        <v>226</v>
      </c>
      <c r="B79" s="49">
        <v>19586951</v>
      </c>
      <c r="C79" s="49">
        <v>8065200</v>
      </c>
      <c r="D79" s="49">
        <v>5737772.8900889996</v>
      </c>
      <c r="E79" s="50">
        <f>VLOOKUP($A79,'Data shares'!$C:$FA,154)*100</f>
        <v>42.4</v>
      </c>
      <c r="F79" s="173">
        <f>C79/B79</f>
        <v>0.41176393405997697</v>
      </c>
    </row>
    <row r="80" spans="1:6" x14ac:dyDescent="0.25">
      <c r="A80" s="99" t="s">
        <v>228</v>
      </c>
      <c r="B80" s="49">
        <v>212176873</v>
      </c>
      <c r="C80" s="49">
        <v>83243300</v>
      </c>
      <c r="D80" s="49">
        <v>65750148.052245997</v>
      </c>
      <c r="E80" s="50">
        <f>VLOOKUP($A80,'Data shares'!$C:$FA,154)*100</f>
        <v>39.879999999999995</v>
      </c>
      <c r="F80" s="173">
        <f>C80/B80</f>
        <v>0.39232975216860699</v>
      </c>
    </row>
    <row r="81" spans="1:6" x14ac:dyDescent="0.25">
      <c r="A81" s="99" t="s">
        <v>229</v>
      </c>
      <c r="B81" s="49">
        <v>143933168</v>
      </c>
      <c r="C81" s="49">
        <v>54357075</v>
      </c>
      <c r="D81" s="49">
        <v>36198512.808538496</v>
      </c>
      <c r="E81" s="50">
        <f>VLOOKUP($A81,'Data shares'!$C:$FA,154)*100</f>
        <v>38.369999999999997</v>
      </c>
      <c r="F81" s="173">
        <f>C81/B81</f>
        <v>0.37765496136373516</v>
      </c>
    </row>
    <row r="82" spans="1:6" x14ac:dyDescent="0.25">
      <c r="A82" s="99" t="s">
        <v>230</v>
      </c>
      <c r="B82" s="49">
        <v>91001773</v>
      </c>
      <c r="C82" s="49">
        <v>19191000</v>
      </c>
      <c r="D82" s="49">
        <v>11884161.406008</v>
      </c>
      <c r="E82" s="50">
        <f>VLOOKUP($A82,'Data shares'!$C:$FA,154)*100</f>
        <v>21.4</v>
      </c>
      <c r="F82" s="173">
        <f>C82/B82</f>
        <v>0.21088600108923153</v>
      </c>
    </row>
    <row r="83" spans="1:6" x14ac:dyDescent="0.25">
      <c r="A83" s="99" t="s">
        <v>668</v>
      </c>
      <c r="B83" s="49">
        <v>161247058</v>
      </c>
      <c r="C83" s="49">
        <v>89752075</v>
      </c>
      <c r="D83" s="49">
        <v>36674099.146277197</v>
      </c>
      <c r="E83" s="50">
        <f>VLOOKUP($A83,'Data shares'!$C:$FA,154)*100</f>
        <v>57.14</v>
      </c>
      <c r="F83" s="173">
        <f>C83/B83</f>
        <v>0.55661217087135939</v>
      </c>
    </row>
    <row r="84" spans="1:6" x14ac:dyDescent="0.25">
      <c r="A84" s="99" t="s">
        <v>608</v>
      </c>
      <c r="B84" s="49">
        <v>75071250</v>
      </c>
      <c r="C84" s="49">
        <v>62465250</v>
      </c>
      <c r="D84" s="49">
        <v>36744430.044050202</v>
      </c>
      <c r="E84" s="50"/>
      <c r="F84" s="173">
        <f>C84/B84</f>
        <v>0.8320795244517708</v>
      </c>
    </row>
    <row r="85" spans="1:6" x14ac:dyDescent="0.25">
      <c r="A85" s="99" t="s">
        <v>232</v>
      </c>
      <c r="B85" s="49">
        <v>580601807</v>
      </c>
      <c r="C85" s="49">
        <v>163840600</v>
      </c>
      <c r="D85" s="49">
        <v>120888068.745325</v>
      </c>
      <c r="E85" s="50">
        <f>VLOOKUP($A85,'Data shares'!$C:$FA,154)*100</f>
        <v>28.689999999999998</v>
      </c>
      <c r="F85" s="173">
        <f>C85/B85</f>
        <v>0.28219099221646066</v>
      </c>
    </row>
    <row r="86" spans="1:6" x14ac:dyDescent="0.25">
      <c r="A86" s="99" t="s">
        <v>472</v>
      </c>
      <c r="B86" s="49">
        <v>28747897</v>
      </c>
      <c r="C86" s="49">
        <v>6156475</v>
      </c>
      <c r="D86" s="49">
        <v>5207725.0351750003</v>
      </c>
      <c r="E86" s="50">
        <f>VLOOKUP($A86,'Data shares'!$C:$FA,154)*100</f>
        <v>21.48</v>
      </c>
      <c r="F86" s="173">
        <f>C86/B86</f>
        <v>0.21415392576368281</v>
      </c>
    </row>
    <row r="87" spans="1:6" x14ac:dyDescent="0.25">
      <c r="A87" s="99" t="s">
        <v>233</v>
      </c>
      <c r="B87" s="49">
        <v>58746582</v>
      </c>
      <c r="C87" s="49">
        <v>20511875</v>
      </c>
      <c r="D87" s="49">
        <v>16860054.388883501</v>
      </c>
      <c r="E87" s="50">
        <f>VLOOKUP($A87,'Data shares'!$C:$FA,154)*100</f>
        <v>35.099999999999994</v>
      </c>
      <c r="F87" s="173">
        <f>C87/B87</f>
        <v>0.34915861147462163</v>
      </c>
    </row>
    <row r="88" spans="1:6" x14ac:dyDescent="0.25">
      <c r="A88" s="99" t="s">
        <v>234</v>
      </c>
      <c r="B88" s="49">
        <v>12037179660</v>
      </c>
      <c r="C88" s="49">
        <v>10813309800</v>
      </c>
      <c r="D88" s="49">
        <v>6332554987.8369799</v>
      </c>
      <c r="E88" s="50">
        <f>VLOOKUP($A88,'Data shares'!$C:$FA,154)*100</f>
        <v>91.53</v>
      </c>
      <c r="F88" s="173">
        <f>C88/B88</f>
        <v>0.89832586248862223</v>
      </c>
    </row>
    <row r="89" spans="1:6" x14ac:dyDescent="0.25">
      <c r="A89" s="99" t="s">
        <v>235</v>
      </c>
      <c r="B89" s="49">
        <v>936861183</v>
      </c>
      <c r="C89" s="49">
        <v>439913250</v>
      </c>
      <c r="D89" s="49">
        <v>304303031.316369</v>
      </c>
      <c r="E89" s="50">
        <f>VLOOKUP($A89,'Data shares'!$C:$FA,154)*100</f>
        <v>47.78</v>
      </c>
      <c r="F89" s="173">
        <f>C89/B89</f>
        <v>0.46956076095640736</v>
      </c>
    </row>
    <row r="90" spans="1:6" x14ac:dyDescent="0.25">
      <c r="A90" s="99" t="s">
        <v>514</v>
      </c>
      <c r="B90" s="49">
        <v>133395043</v>
      </c>
      <c r="C90" s="49">
        <v>115593750</v>
      </c>
      <c r="D90" s="49">
        <v>57041924.463524997</v>
      </c>
      <c r="E90" s="50">
        <f>VLOOKUP($A90,'Data shares'!$C:$FA,154)*100</f>
        <v>88.660000000000011</v>
      </c>
      <c r="F90" s="173">
        <f>C90/B90</f>
        <v>0.86655206520680084</v>
      </c>
    </row>
    <row r="91" spans="1:6" x14ac:dyDescent="0.25">
      <c r="A91" s="99" t="s">
        <v>666</v>
      </c>
      <c r="B91" s="49">
        <v>35669230</v>
      </c>
      <c r="C91" s="49">
        <v>19229100</v>
      </c>
      <c r="D91" s="49">
        <v>12044461.932442499</v>
      </c>
      <c r="E91" s="50">
        <f>VLOOKUP($A91,'Data shares'!$C:$FA,154)*100</f>
        <v>54.98</v>
      </c>
      <c r="F91" s="173">
        <f>C91/B91</f>
        <v>0.539094900562754</v>
      </c>
    </row>
    <row r="92" spans="1:6" x14ac:dyDescent="0.25">
      <c r="A92" s="99" t="s">
        <v>501</v>
      </c>
      <c r="B92" s="49">
        <v>132129624</v>
      </c>
      <c r="C92" s="49">
        <v>34548000</v>
      </c>
      <c r="D92" s="49">
        <v>25269988.583579998</v>
      </c>
      <c r="E92" s="50">
        <f>VLOOKUP($A92,'Data shares'!$C:$FA,154)*100</f>
        <v>26.47</v>
      </c>
      <c r="F92" s="173">
        <f>C92/B92</f>
        <v>0.26147050868774135</v>
      </c>
    </row>
    <row r="93" spans="1:6" x14ac:dyDescent="0.25">
      <c r="A93" s="99" t="s">
        <v>578</v>
      </c>
      <c r="B93" s="49">
        <v>52862157</v>
      </c>
      <c r="C93" s="49">
        <v>15490000</v>
      </c>
      <c r="D93" s="49">
        <v>9603581.1991000008</v>
      </c>
      <c r="E93" s="50">
        <f>VLOOKUP($A93,'Data shares'!$C:$FA,154)*100</f>
        <v>29.709999999999997</v>
      </c>
      <c r="F93" s="173">
        <f>C93/B93</f>
        <v>0.29302625694974954</v>
      </c>
    </row>
    <row r="94" spans="1:6" x14ac:dyDescent="0.25">
      <c r="A94" s="99" t="s">
        <v>238</v>
      </c>
      <c r="B94" s="49">
        <v>33874835</v>
      </c>
      <c r="C94" s="49">
        <v>15164700</v>
      </c>
      <c r="D94" s="49">
        <v>8791200.1669740006</v>
      </c>
      <c r="E94" s="50">
        <f>VLOOKUP($A94,'Data shares'!$C:$FA,154)*100</f>
        <v>45.64</v>
      </c>
      <c r="F94" s="173">
        <f>C94/B94</f>
        <v>0.44766860119023461</v>
      </c>
    </row>
    <row r="95" spans="1:6" x14ac:dyDescent="0.25">
      <c r="A95" s="99" t="s">
        <v>239</v>
      </c>
      <c r="B95" s="49">
        <v>93808799</v>
      </c>
      <c r="C95" s="49">
        <v>63473900</v>
      </c>
      <c r="D95" s="49">
        <v>41285452.246899001</v>
      </c>
      <c r="E95" s="50">
        <f>VLOOKUP($A95,'Data shares'!$C:$FA,154)*100</f>
        <v>68.52000000000001</v>
      </c>
      <c r="F95" s="173">
        <f>C95/B95</f>
        <v>0.67663055786483317</v>
      </c>
    </row>
    <row r="96" spans="1:6" x14ac:dyDescent="0.25">
      <c r="A96" s="99" t="s">
        <v>473</v>
      </c>
      <c r="B96" s="49">
        <v>193623116</v>
      </c>
      <c r="C96" s="49">
        <v>124904100</v>
      </c>
      <c r="D96" s="49">
        <v>83664893.890245005</v>
      </c>
      <c r="E96" s="50">
        <f>VLOOKUP($A96,'Data shares'!$C:$FA,154)*100</f>
        <v>65.36999999999999</v>
      </c>
      <c r="F96" s="173">
        <f>C96/B96</f>
        <v>0.64508878165146355</v>
      </c>
    </row>
    <row r="97" spans="1:6" x14ac:dyDescent="0.25">
      <c r="A97" s="99" t="s">
        <v>240</v>
      </c>
      <c r="B97" s="49">
        <v>368703409</v>
      </c>
      <c r="C97" s="49">
        <v>90384400</v>
      </c>
      <c r="D97" s="49">
        <v>68885213.442944005</v>
      </c>
      <c r="E97" s="50">
        <f>VLOOKUP($A97,'Data shares'!$C:$FA,154)*100</f>
        <v>24.87</v>
      </c>
      <c r="F97" s="173">
        <f>C97/B97</f>
        <v>0.24514121050613882</v>
      </c>
    </row>
    <row r="98" spans="1:6" x14ac:dyDescent="0.25">
      <c r="A98" s="99" t="s">
        <v>669</v>
      </c>
      <c r="B98" s="49">
        <v>144708707</v>
      </c>
      <c r="C98" s="49">
        <v>120999450</v>
      </c>
      <c r="D98" s="49">
        <v>73662866.037224695</v>
      </c>
      <c r="E98" s="50">
        <f>VLOOKUP($A98,'Data shares'!$C:$FA,154)*100</f>
        <v>85.08</v>
      </c>
      <c r="F98" s="173">
        <f>C98/B98</f>
        <v>0.8361587392250005</v>
      </c>
    </row>
    <row r="99" spans="1:6" x14ac:dyDescent="0.25">
      <c r="A99" s="99" t="s">
        <v>241</v>
      </c>
      <c r="B99" s="49">
        <v>684903861</v>
      </c>
      <c r="C99" s="49">
        <v>161596500</v>
      </c>
      <c r="D99" s="49">
        <v>104549633.86686</v>
      </c>
      <c r="E99" s="50">
        <f>VLOOKUP($A99,'Data shares'!$C:$FA,154)*100</f>
        <v>23.86</v>
      </c>
      <c r="F99" s="173">
        <f>C99/B99</f>
        <v>0.23594041324874354</v>
      </c>
    </row>
    <row r="100" spans="1:6" x14ac:dyDescent="0.25">
      <c r="A100" s="99" t="s">
        <v>490</v>
      </c>
      <c r="B100" s="49">
        <v>32504261</v>
      </c>
      <c r="C100" s="49">
        <v>43656375</v>
      </c>
      <c r="D100" s="49">
        <v>18175912.9647987</v>
      </c>
      <c r="E100" s="50">
        <f>VLOOKUP($A100,'Data shares'!$C:$FA,154)*100</f>
        <v>137.12</v>
      </c>
      <c r="F100" s="173">
        <f>C100/B100</f>
        <v>1.3430969865766214</v>
      </c>
    </row>
    <row r="101" spans="1:6" x14ac:dyDescent="0.25">
      <c r="A101" s="99" t="s">
        <v>664</v>
      </c>
      <c r="B101" s="49">
        <v>119011160</v>
      </c>
      <c r="C101" s="49">
        <v>89227350</v>
      </c>
      <c r="D101" s="49">
        <v>43039640.1672405</v>
      </c>
      <c r="E101" s="50">
        <f>VLOOKUP($A101,'Data shares'!$C:$FA,154)*100</f>
        <v>76.03</v>
      </c>
      <c r="F101" s="173">
        <f>C101/B101</f>
        <v>0.74973935217503973</v>
      </c>
    </row>
    <row r="102" spans="1:6" x14ac:dyDescent="0.25">
      <c r="A102" s="99" t="s">
        <v>592</v>
      </c>
      <c r="B102" s="49">
        <v>200960551</v>
      </c>
      <c r="C102" s="49">
        <v>162702750</v>
      </c>
      <c r="D102" s="49">
        <v>58238268.388097502</v>
      </c>
      <c r="E102" s="50">
        <f>VLOOKUP($A102,'Data shares'!$C:$FA,154)*100</f>
        <v>82.44</v>
      </c>
      <c r="F102" s="173">
        <f>C102/B102</f>
        <v>0.80962531795605996</v>
      </c>
    </row>
    <row r="103" spans="1:6" x14ac:dyDescent="0.25">
      <c r="A103" s="99" t="s">
        <v>242</v>
      </c>
      <c r="B103" s="49">
        <v>1252401670</v>
      </c>
      <c r="C103" s="49">
        <v>470904000</v>
      </c>
      <c r="D103" s="49">
        <v>211535764.00043201</v>
      </c>
      <c r="E103" s="50">
        <f>VLOOKUP($A103,'Data shares'!$C:$FA,154)*100</f>
        <v>39.44</v>
      </c>
      <c r="F103" s="173">
        <f>C103/B103</f>
        <v>0.37600077617271144</v>
      </c>
    </row>
    <row r="104" spans="1:6" x14ac:dyDescent="0.25">
      <c r="A104" s="99" t="s">
        <v>243</v>
      </c>
      <c r="B104" s="49">
        <v>48257090</v>
      </c>
      <c r="C104" s="49">
        <v>20018125</v>
      </c>
      <c r="D104" s="49">
        <v>12997502.311787499</v>
      </c>
      <c r="E104" s="50"/>
      <c r="F104" s="173">
        <f>C104/B104</f>
        <v>0.41482246442957915</v>
      </c>
    </row>
    <row r="105" spans="1:6" x14ac:dyDescent="0.25">
      <c r="A105" s="99" t="s">
        <v>570</v>
      </c>
      <c r="B105" s="49">
        <v>355358091</v>
      </c>
      <c r="C105" s="49">
        <v>228469350</v>
      </c>
      <c r="D105" s="49">
        <v>149378563.976996</v>
      </c>
      <c r="E105" s="50">
        <f>VLOOKUP($A105,'Data shares'!$C:$FA,154)*100</f>
        <v>64.86</v>
      </c>
      <c r="F105" s="173">
        <f>C105/B105</f>
        <v>0.64292710870061487</v>
      </c>
    </row>
    <row r="106" spans="1:6" x14ac:dyDescent="0.25">
      <c r="A106" s="99" t="s">
        <v>580</v>
      </c>
      <c r="B106" s="49">
        <v>80385888</v>
      </c>
      <c r="C106" s="49">
        <v>54942000</v>
      </c>
      <c r="D106" s="49">
        <v>40661633.408150002</v>
      </c>
      <c r="E106" s="50">
        <f>VLOOKUP($A106,'Data shares'!$C:$FA,154)*100</f>
        <v>68.710000000000008</v>
      </c>
      <c r="F106" s="173">
        <f>C106/B106</f>
        <v>0.68347817467662986</v>
      </c>
    </row>
    <row r="107" spans="1:6" x14ac:dyDescent="0.25">
      <c r="A107" s="99" t="s">
        <v>244</v>
      </c>
      <c r="B107" s="49">
        <v>133434355</v>
      </c>
      <c r="C107" s="49">
        <v>65954250</v>
      </c>
      <c r="D107" s="49">
        <v>48978805.109037697</v>
      </c>
      <c r="E107" s="50">
        <f>VLOOKUP($A107,'Data shares'!$C:$FA,154)*100</f>
        <v>49.68</v>
      </c>
      <c r="F107" s="173">
        <f>C107/B107</f>
        <v>0.49428237577946099</v>
      </c>
    </row>
    <row r="108" spans="1:6" x14ac:dyDescent="0.25">
      <c r="A108" s="99" t="s">
        <v>245</v>
      </c>
      <c r="B108" s="49">
        <v>58761693</v>
      </c>
      <c r="C108" s="49">
        <v>37168750</v>
      </c>
      <c r="D108" s="49">
        <v>22354632.4827375</v>
      </c>
      <c r="E108" s="50">
        <f>VLOOKUP($A108,'Data shares'!$C:$FA,154)*100</f>
        <v>65.39</v>
      </c>
      <c r="F108" s="173">
        <f>C108/B108</f>
        <v>0.63253368142405286</v>
      </c>
    </row>
    <row r="109" spans="1:6" x14ac:dyDescent="0.25">
      <c r="A109" s="99" t="s">
        <v>582</v>
      </c>
      <c r="B109" s="49">
        <v>57654984</v>
      </c>
      <c r="C109" s="49">
        <v>41244850</v>
      </c>
      <c r="D109" s="49">
        <v>30738884.801731199</v>
      </c>
      <c r="E109" s="50">
        <f>VLOOKUP($A109,'Data shares'!$C:$FA,154)*100</f>
        <v>71.92</v>
      </c>
      <c r="F109" s="173">
        <f>C109/B109</f>
        <v>0.71537353995276454</v>
      </c>
    </row>
    <row r="110" spans="1:6" x14ac:dyDescent="0.25">
      <c r="A110" s="99" t="s">
        <v>676</v>
      </c>
      <c r="B110" s="49">
        <v>4679418</v>
      </c>
      <c r="C110" s="49">
        <v>5852200</v>
      </c>
      <c r="D110" s="49">
        <v>2698350.1085899998</v>
      </c>
      <c r="E110" s="50">
        <f>VLOOKUP($A110,'Data shares'!$C:$FA,154)*100</f>
        <v>128.99</v>
      </c>
      <c r="F110" s="173">
        <f>C110/B110</f>
        <v>1.2506256119884995</v>
      </c>
    </row>
    <row r="111" spans="1:6" x14ac:dyDescent="0.25">
      <c r="A111" s="99" t="s">
        <v>610</v>
      </c>
      <c r="B111" s="49">
        <v>8553821</v>
      </c>
      <c r="C111" s="49">
        <v>1414175</v>
      </c>
      <c r="D111" s="49">
        <v>965657.74899999995</v>
      </c>
      <c r="E111" s="50">
        <f>VLOOKUP($A111,'Data shares'!$C:$FA,154)*100</f>
        <v>16.84</v>
      </c>
      <c r="F111" s="173">
        <f>C111/B111</f>
        <v>0.16532670019632162</v>
      </c>
    </row>
    <row r="112" spans="1:6" x14ac:dyDescent="0.25">
      <c r="A112" s="99" t="s">
        <v>683</v>
      </c>
      <c r="B112" s="49">
        <v>19924232</v>
      </c>
      <c r="C112" s="49">
        <v>4481500</v>
      </c>
      <c r="D112" s="49">
        <v>2484284.10458</v>
      </c>
      <c r="E112" s="50">
        <f>VLOOKUP($A112,'Data shares'!$C:$FA,154)*100</f>
        <v>22.73</v>
      </c>
      <c r="F112" s="173">
        <f>C112/B112</f>
        <v>0.22492711387821623</v>
      </c>
    </row>
    <row r="113" spans="1:6" x14ac:dyDescent="0.25">
      <c r="A113" s="99" t="s">
        <v>246</v>
      </c>
      <c r="B113" s="49">
        <v>156205070</v>
      </c>
      <c r="C113" s="49">
        <v>46205200</v>
      </c>
      <c r="D113" s="49">
        <v>37129598.083439998</v>
      </c>
      <c r="E113" s="50">
        <f>VLOOKUP($A113,'Data shares'!$C:$FA,154)*100</f>
        <v>30.03</v>
      </c>
      <c r="F113" s="173">
        <f>C113/B113</f>
        <v>0.29579833740351708</v>
      </c>
    </row>
    <row r="114" spans="1:6" x14ac:dyDescent="0.25">
      <c r="A114" s="99" t="s">
        <v>577</v>
      </c>
      <c r="B114" s="49">
        <v>24589408</v>
      </c>
      <c r="C114" s="49">
        <v>5283175</v>
      </c>
      <c r="D114" s="49">
        <v>3196853.8233382502</v>
      </c>
      <c r="E114" s="50">
        <f>VLOOKUP($A114,'Data shares'!$C:$FA,154)*100</f>
        <v>21.61</v>
      </c>
      <c r="F114" s="173">
        <f>C114/B114</f>
        <v>0.21485572161802349</v>
      </c>
    </row>
    <row r="115" spans="1:6" x14ac:dyDescent="0.25">
      <c r="A115" s="99" t="s">
        <v>535</v>
      </c>
      <c r="B115" s="49">
        <v>58629477</v>
      </c>
      <c r="C115" s="49">
        <v>23658050</v>
      </c>
      <c r="D115" s="49">
        <v>13322431.528279999</v>
      </c>
      <c r="E115" s="50">
        <f>VLOOKUP($A115,'Data shares'!$C:$FA,154)*100</f>
        <v>41.410000000000004</v>
      </c>
      <c r="F115" s="173">
        <f>C115/B115</f>
        <v>0.40351801193791992</v>
      </c>
    </row>
    <row r="116" spans="1:6" x14ac:dyDescent="0.25">
      <c r="A116" s="99" t="s">
        <v>248</v>
      </c>
      <c r="B116" s="49">
        <v>45183075</v>
      </c>
      <c r="C116" s="49">
        <v>45868000</v>
      </c>
      <c r="D116" s="49">
        <v>30659731.680849999</v>
      </c>
      <c r="E116" s="50">
        <f>VLOOKUP($A116,'Data shares'!$C:$FA,154)*100</f>
        <v>102.91</v>
      </c>
      <c r="F116" s="173">
        <f>C116/B116</f>
        <v>1.0151588841618238</v>
      </c>
    </row>
    <row r="117" spans="1:6" x14ac:dyDescent="0.25">
      <c r="A117" s="99" t="s">
        <v>607</v>
      </c>
      <c r="B117" s="49">
        <v>33206238</v>
      </c>
      <c r="C117" s="49">
        <v>16689400</v>
      </c>
      <c r="D117" s="49">
        <v>9061410.8191599995</v>
      </c>
      <c r="E117" s="50">
        <f>VLOOKUP($A117,'Data shares'!$C:$FA,154)*100</f>
        <v>50.960000000000008</v>
      </c>
      <c r="F117" s="173">
        <f>C117/B117</f>
        <v>0.50259833709557822</v>
      </c>
    </row>
    <row r="118" spans="1:6" x14ac:dyDescent="0.25">
      <c r="A118" s="99" t="s">
        <v>588</v>
      </c>
      <c r="B118" s="49">
        <v>42126960</v>
      </c>
      <c r="C118" s="49">
        <v>15001200</v>
      </c>
      <c r="D118" s="49">
        <v>11898030.4438545</v>
      </c>
      <c r="E118" s="50">
        <f>VLOOKUP($A118,'Data shares'!$C:$FA,154)*100</f>
        <v>35.96</v>
      </c>
      <c r="F118" s="173">
        <f>C118/B118</f>
        <v>0.3560950042443129</v>
      </c>
    </row>
    <row r="119" spans="1:6" x14ac:dyDescent="0.25">
      <c r="A119" s="99" t="s">
        <v>249</v>
      </c>
      <c r="B119" s="49">
        <v>136109374</v>
      </c>
      <c r="C119" s="49">
        <v>18002075</v>
      </c>
      <c r="D119" s="49">
        <v>14156140.025487199</v>
      </c>
      <c r="E119" s="50">
        <f>VLOOKUP($A119,'Data shares'!$C:$FA,154)*100</f>
        <v>13.5</v>
      </c>
      <c r="F119" s="173">
        <f>C119/B119</f>
        <v>0.13226183084201093</v>
      </c>
    </row>
    <row r="120" spans="1:6" x14ac:dyDescent="0.25">
      <c r="A120" s="99" t="s">
        <v>565</v>
      </c>
      <c r="B120" s="49">
        <v>127100972</v>
      </c>
      <c r="C120" s="49">
        <v>70715250</v>
      </c>
      <c r="D120" s="49">
        <v>40575554.559675001</v>
      </c>
      <c r="E120" s="50">
        <f>VLOOKUP($A120,'Data shares'!$C:$FA,154)*100</f>
        <v>58.03</v>
      </c>
      <c r="F120" s="173">
        <f>C120/B120</f>
        <v>0.55637064679568304</v>
      </c>
    </row>
    <row r="121" spans="1:6" x14ac:dyDescent="0.25">
      <c r="A121" s="99" t="s">
        <v>561</v>
      </c>
      <c r="B121" s="49">
        <v>9672091</v>
      </c>
      <c r="C121" s="49">
        <v>2912100</v>
      </c>
      <c r="D121" s="49">
        <v>1924752.091665</v>
      </c>
      <c r="E121" s="50">
        <f>VLOOKUP($A121,'Data shares'!$C:$FA,154)*100</f>
        <v>30.680000000000003</v>
      </c>
      <c r="F121" s="173">
        <f>C121/B121</f>
        <v>0.30108277517240067</v>
      </c>
    </row>
    <row r="122" spans="1:6" x14ac:dyDescent="0.25">
      <c r="A122" s="99" t="s">
        <v>250</v>
      </c>
      <c r="B122" s="49">
        <v>36381777</v>
      </c>
      <c r="C122" s="49">
        <v>8867625</v>
      </c>
      <c r="D122" s="49">
        <v>6667786.8314682497</v>
      </c>
      <c r="E122" s="50">
        <f>VLOOKUP($A122,'Data shares'!$C:$FA,154)*100</f>
        <v>24.8</v>
      </c>
      <c r="F122" s="173">
        <f>C122/B122</f>
        <v>0.24373809448614894</v>
      </c>
    </row>
    <row r="123" spans="1:6" x14ac:dyDescent="0.25">
      <c r="A123" s="99" t="s">
        <v>251</v>
      </c>
      <c r="B123" s="49">
        <v>95452027</v>
      </c>
      <c r="C123" s="49">
        <v>22247000</v>
      </c>
      <c r="D123" s="49">
        <v>18362668.651659999</v>
      </c>
      <c r="E123" s="50">
        <f>VLOOKUP($A123,'Data shares'!$C:$FA,154)*100</f>
        <v>23.630000000000003</v>
      </c>
      <c r="F123" s="173">
        <f>C123/B123</f>
        <v>0.23306995879720815</v>
      </c>
    </row>
    <row r="124" spans="1:6" x14ac:dyDescent="0.25">
      <c r="A124" s="99" t="s">
        <v>253</v>
      </c>
      <c r="B124" s="49">
        <v>82205057</v>
      </c>
      <c r="C124" s="49">
        <v>56712000</v>
      </c>
      <c r="D124" s="49">
        <v>35609751.825180002</v>
      </c>
      <c r="E124" s="50"/>
      <c r="F124" s="173">
        <f>C124/B124</f>
        <v>0.68988456513082885</v>
      </c>
    </row>
    <row r="125" spans="1:6" x14ac:dyDescent="0.25">
      <c r="A125" s="99" t="s">
        <v>672</v>
      </c>
      <c r="B125" s="49">
        <v>16919681</v>
      </c>
      <c r="C125" s="49">
        <v>2735325</v>
      </c>
      <c r="D125" s="49">
        <v>2176753.5056250002</v>
      </c>
      <c r="E125" s="50">
        <f>VLOOKUP($A125,'Data shares'!$C:$FA,154)*100</f>
        <v>16.439999999999998</v>
      </c>
      <c r="F125" s="173">
        <f>C125/B125</f>
        <v>0.16166528198729041</v>
      </c>
    </row>
    <row r="126" spans="1:6" x14ac:dyDescent="0.25">
      <c r="A126" s="99" t="s">
        <v>254</v>
      </c>
      <c r="B126" s="49">
        <v>79442217</v>
      </c>
      <c r="C126" s="49">
        <v>38008800</v>
      </c>
      <c r="D126" s="49">
        <v>33201996.532524001</v>
      </c>
      <c r="E126" s="50">
        <f>VLOOKUP($A126,'Data shares'!$C:$FA,154)*100</f>
        <v>48.32</v>
      </c>
      <c r="F126" s="173">
        <f>C126/B126</f>
        <v>0.47844586210377288</v>
      </c>
    </row>
    <row r="127" spans="1:6" x14ac:dyDescent="0.25">
      <c r="A127" s="99" t="s">
        <v>255</v>
      </c>
      <c r="B127" s="49">
        <v>17687048</v>
      </c>
      <c r="C127" s="49">
        <v>4338050</v>
      </c>
      <c r="D127" s="49">
        <v>3016903.7526670001</v>
      </c>
      <c r="E127" s="50">
        <f>VLOOKUP($A127,'Data shares'!$C:$FA,154)*100</f>
        <v>25.009999999999998</v>
      </c>
      <c r="F127" s="173">
        <f>C127/B127</f>
        <v>0.24526704512816383</v>
      </c>
    </row>
    <row r="128" spans="1:6" x14ac:dyDescent="0.25">
      <c r="A128" s="99" t="s">
        <v>603</v>
      </c>
      <c r="B128" s="49">
        <v>111218809</v>
      </c>
      <c r="C128" s="49">
        <v>25725525</v>
      </c>
      <c r="D128" s="49">
        <v>21783099.3369832</v>
      </c>
      <c r="E128" s="50">
        <f>VLOOKUP($A128,'Data shares'!$C:$FA,154)*100</f>
        <v>23.400000000000002</v>
      </c>
      <c r="F128" s="173">
        <f>C128/B128</f>
        <v>0.23130552494947146</v>
      </c>
    </row>
    <row r="129" spans="1:6" x14ac:dyDescent="0.25">
      <c r="A129" s="99" t="s">
        <v>673</v>
      </c>
      <c r="B129" s="49">
        <v>11364224</v>
      </c>
      <c r="C129" s="49">
        <v>10604400</v>
      </c>
      <c r="D129" s="49">
        <v>4909176.2626940003</v>
      </c>
      <c r="E129" s="50">
        <f>VLOOKUP($A129,'Data shares'!$C:$FA,154)*100</f>
        <v>94.59</v>
      </c>
      <c r="F129" s="173">
        <f>C129/B129</f>
        <v>0.93313894551884935</v>
      </c>
    </row>
    <row r="130" spans="1:6" x14ac:dyDescent="0.25">
      <c r="A130" s="99" t="s">
        <v>517</v>
      </c>
      <c r="B130" s="49">
        <v>7635422</v>
      </c>
      <c r="C130" s="49">
        <v>5743500</v>
      </c>
      <c r="D130" s="49">
        <v>2944829.546995</v>
      </c>
      <c r="E130" s="50">
        <f>VLOOKUP($A130,'Data shares'!$C:$FA,154)*100</f>
        <v>15.75</v>
      </c>
      <c r="F130" s="173">
        <f>C130/B130</f>
        <v>0.75221775561324578</v>
      </c>
    </row>
    <row r="131" spans="1:6" x14ac:dyDescent="0.25">
      <c r="A131" s="99" t="s">
        <v>257</v>
      </c>
      <c r="B131" s="49">
        <v>33919851</v>
      </c>
      <c r="C131" s="49">
        <v>9287600</v>
      </c>
      <c r="D131" s="49">
        <v>8317670.7310720002</v>
      </c>
      <c r="E131" s="50">
        <f>VLOOKUP($A131,'Data shares'!$C:$FA,154)*100</f>
        <v>27.46</v>
      </c>
      <c r="F131" s="173">
        <f>C131/B131</f>
        <v>0.27381016502696309</v>
      </c>
    </row>
    <row r="132" spans="1:6" x14ac:dyDescent="0.25">
      <c r="A132" s="99" t="s">
        <v>559</v>
      </c>
      <c r="B132" s="49">
        <v>606151620</v>
      </c>
      <c r="C132" s="49">
        <v>212740800</v>
      </c>
      <c r="D132" s="49">
        <v>147371822.21427301</v>
      </c>
      <c r="E132" s="50">
        <f>VLOOKUP($A132,'Data shares'!$C:$FA,154)*100</f>
        <v>35.31</v>
      </c>
      <c r="F132" s="173">
        <f>C132/B132</f>
        <v>0.35096961384018077</v>
      </c>
    </row>
    <row r="133" spans="1:6" x14ac:dyDescent="0.25">
      <c r="A133" s="99" t="s">
        <v>487</v>
      </c>
      <c r="B133" s="49">
        <v>17093933</v>
      </c>
      <c r="C133" s="49">
        <v>6519700</v>
      </c>
      <c r="D133" s="49">
        <v>5258137.8832317498</v>
      </c>
      <c r="E133" s="50">
        <f>VLOOKUP($A133,'Data shares'!$C:$FA,154)*100</f>
        <v>38.409999999999997</v>
      </c>
      <c r="F133" s="173">
        <f>C133/B133</f>
        <v>0.38140432631858334</v>
      </c>
    </row>
    <row r="134" spans="1:6" x14ac:dyDescent="0.25">
      <c r="A134" s="99" t="s">
        <v>262</v>
      </c>
      <c r="B134" s="49">
        <v>14790848</v>
      </c>
      <c r="C134" s="49">
        <v>6203725</v>
      </c>
      <c r="D134" s="49">
        <v>3635292.773794</v>
      </c>
      <c r="E134" s="50">
        <f>VLOOKUP($A134,'Data shares'!$C:$FA,154)*100</f>
        <v>42.9</v>
      </c>
      <c r="F134" s="173">
        <f>C134/B134</f>
        <v>0.41942997453560471</v>
      </c>
    </row>
    <row r="135" spans="1:6" x14ac:dyDescent="0.25">
      <c r="A135" s="99" t="s">
        <v>263</v>
      </c>
      <c r="B135" s="49">
        <v>134225816</v>
      </c>
      <c r="C135" s="49">
        <v>104786250</v>
      </c>
      <c r="D135" s="49">
        <v>51680543.585287496</v>
      </c>
      <c r="E135" s="50">
        <f>VLOOKUP($A135,'Data shares'!$C:$FA,154)*100</f>
        <v>80.179999999999993</v>
      </c>
      <c r="F135" s="173">
        <f>C135/B135</f>
        <v>0.78067135758742567</v>
      </c>
    </row>
    <row r="136" spans="1:6" x14ac:dyDescent="0.25">
      <c r="A136" s="99" t="s">
        <v>264</v>
      </c>
      <c r="B136" s="49">
        <v>45110207</v>
      </c>
      <c r="C136" s="49">
        <v>10546500</v>
      </c>
      <c r="D136" s="49">
        <v>8035218.27070875</v>
      </c>
      <c r="E136" s="50">
        <f>VLOOKUP($A136,'Data shares'!$C:$FA,154)*100</f>
        <v>23.47</v>
      </c>
      <c r="F136" s="173">
        <f>C136/B136</f>
        <v>0.23379409453829375</v>
      </c>
    </row>
    <row r="137" spans="1:6" x14ac:dyDescent="0.25">
      <c r="A137" s="99" t="s">
        <v>550</v>
      </c>
      <c r="B137" s="49">
        <v>154894704</v>
      </c>
      <c r="C137" s="49">
        <v>154531000</v>
      </c>
      <c r="D137" s="49">
        <v>91767898.363114998</v>
      </c>
      <c r="E137" s="50">
        <f>VLOOKUP($A137,'Data shares'!$C:$FA,154)*100</f>
        <v>100.94000000000001</v>
      </c>
      <c r="F137" s="173">
        <f>C137/B137</f>
        <v>0.99765192746680353</v>
      </c>
    </row>
    <row r="138" spans="1:6" x14ac:dyDescent="0.25">
      <c r="A138" s="99" t="s">
        <v>265</v>
      </c>
      <c r="B138" s="49">
        <v>71801274</v>
      </c>
      <c r="C138" s="49">
        <v>19186000</v>
      </c>
      <c r="D138" s="49">
        <v>16363465.239115</v>
      </c>
      <c r="E138" s="50">
        <f>VLOOKUP($A138,'Data shares'!$C:$FA,154)*100</f>
        <v>26.83</v>
      </c>
      <c r="F138" s="173">
        <f>C138/B138</f>
        <v>0.26720974338143361</v>
      </c>
    </row>
    <row r="139" spans="1:6" x14ac:dyDescent="0.25">
      <c r="A139" s="99" t="s">
        <v>585</v>
      </c>
      <c r="B139" s="49">
        <v>491233252</v>
      </c>
      <c r="C139" s="49">
        <v>108102400</v>
      </c>
      <c r="D139" s="49">
        <v>66225942.149375997</v>
      </c>
      <c r="E139" s="50">
        <f>VLOOKUP($A139,'Data shares'!$C:$FA,154)*100</f>
        <v>22.37</v>
      </c>
      <c r="F139" s="173">
        <f>C139/B139</f>
        <v>0.22006327861534911</v>
      </c>
    </row>
    <row r="140" spans="1:6" x14ac:dyDescent="0.25">
      <c r="A140" s="99" t="s">
        <v>267</v>
      </c>
      <c r="B140" s="49">
        <v>517037525</v>
      </c>
      <c r="C140" s="49">
        <v>506877750</v>
      </c>
      <c r="D140" s="49">
        <v>296561513.66694701</v>
      </c>
      <c r="E140" s="50">
        <f>VLOOKUP($A140,'Data shares'!$C:$FA,154)*100</f>
        <v>99.22999999999999</v>
      </c>
      <c r="F140" s="173">
        <f>C140/B140</f>
        <v>0.98035002391750969</v>
      </c>
    </row>
    <row r="141" spans="1:6" x14ac:dyDescent="0.25">
      <c r="A141" s="99" t="s">
        <v>268</v>
      </c>
      <c r="B141" s="49">
        <v>474131988</v>
      </c>
      <c r="C141" s="49">
        <v>127191000</v>
      </c>
      <c r="D141" s="49">
        <v>88670407.943489999</v>
      </c>
      <c r="E141" s="50">
        <f>VLOOKUP($A141,'Data shares'!$C:$FA,154)*100</f>
        <v>27.200000000000003</v>
      </c>
      <c r="F141" s="173">
        <f>C141/B141</f>
        <v>0.26826074430565522</v>
      </c>
    </row>
    <row r="142" spans="1:6" x14ac:dyDescent="0.25">
      <c r="A142" s="99" t="s">
        <v>685</v>
      </c>
      <c r="B142" s="49">
        <v>12267678</v>
      </c>
      <c r="C142" s="49">
        <v>4093000</v>
      </c>
      <c r="D142" s="49">
        <v>2330172.6654449999</v>
      </c>
      <c r="E142" s="50">
        <f>VLOOKUP($A142,'Data shares'!$C:$FA,154)*100</f>
        <v>34</v>
      </c>
      <c r="F142" s="173">
        <f>C142/B142</f>
        <v>0.33364097101342244</v>
      </c>
    </row>
    <row r="143" spans="1:6" x14ac:dyDescent="0.25">
      <c r="A143" s="99" t="s">
        <v>613</v>
      </c>
      <c r="B143" s="49">
        <v>205483040</v>
      </c>
      <c r="C143" s="49">
        <v>59350000</v>
      </c>
      <c r="D143" s="49">
        <v>42008748.124499999</v>
      </c>
      <c r="E143" s="50">
        <f>VLOOKUP($A143,'Data shares'!$C:$FA,154)*100</f>
        <v>29.45</v>
      </c>
      <c r="F143" s="173">
        <f>C143/B143</f>
        <v>0.28883162328141532</v>
      </c>
    </row>
    <row r="144" spans="1:6" x14ac:dyDescent="0.25">
      <c r="A144" s="99" t="s">
        <v>528</v>
      </c>
      <c r="B144" s="49">
        <v>17614093</v>
      </c>
      <c r="C144" s="49">
        <v>5180000</v>
      </c>
      <c r="D144" s="49">
        <v>3773277.5373264998</v>
      </c>
      <c r="E144" s="50">
        <f>VLOOKUP($A144,'Data shares'!$C:$FA,154)*100</f>
        <v>29.759999999999998</v>
      </c>
      <c r="F144" s="173">
        <f>C144/B144</f>
        <v>0.29408269843925544</v>
      </c>
    </row>
    <row r="145" spans="1:6" x14ac:dyDescent="0.25">
      <c r="A145" s="99" t="s">
        <v>518</v>
      </c>
      <c r="B145" s="49">
        <v>3582756</v>
      </c>
      <c r="C145" s="49">
        <v>1914375</v>
      </c>
      <c r="D145" s="49">
        <v>1246781.0274375</v>
      </c>
      <c r="E145" s="50">
        <f>VLOOKUP($A145,'Data shares'!$C:$FA,154)*100</f>
        <v>53.81</v>
      </c>
      <c r="F145" s="173">
        <f>C145/B145</f>
        <v>0.53433027535227073</v>
      </c>
    </row>
    <row r="146" spans="1:6" x14ac:dyDescent="0.25">
      <c r="A146" s="99" t="s">
        <v>587</v>
      </c>
      <c r="B146" s="49">
        <v>102006452</v>
      </c>
      <c r="C146" s="49">
        <v>17802400</v>
      </c>
      <c r="D146" s="49">
        <v>11600257.001731999</v>
      </c>
      <c r="E146" s="50">
        <f>VLOOKUP($A146,'Data shares'!$C:$FA,154)*100</f>
        <v>17.690000000000001</v>
      </c>
      <c r="F146" s="173">
        <f>C146/B146</f>
        <v>0.17452229394274002</v>
      </c>
    </row>
    <row r="147" spans="1:6" x14ac:dyDescent="0.25">
      <c r="A147" s="99" t="s">
        <v>269</v>
      </c>
      <c r="B147" s="49">
        <v>517141211</v>
      </c>
      <c r="C147" s="49">
        <v>167555250</v>
      </c>
      <c r="D147" s="49">
        <v>110139267.942517</v>
      </c>
      <c r="E147" s="50">
        <f>VLOOKUP($A147,'Data shares'!$C:$FA,154)*100</f>
        <v>32.71</v>
      </c>
      <c r="F147" s="173">
        <f>C147/B147</f>
        <v>0.32400289599043386</v>
      </c>
    </row>
    <row r="148" spans="1:6" x14ac:dyDescent="0.25">
      <c r="A148" s="99" t="s">
        <v>270</v>
      </c>
      <c r="B148" s="49">
        <v>955549</v>
      </c>
      <c r="C148" s="49">
        <v>309210</v>
      </c>
      <c r="D148" s="49">
        <v>230135.07834315</v>
      </c>
      <c r="E148" s="50">
        <f>VLOOKUP($A148,'Data shares'!$C:$FA,154)*100</f>
        <v>32.5</v>
      </c>
      <c r="F148" s="173">
        <f>C148/B148</f>
        <v>0.32359408047101718</v>
      </c>
    </row>
    <row r="149" spans="1:6" x14ac:dyDescent="0.25">
      <c r="A149" s="99" t="s">
        <v>665</v>
      </c>
      <c r="B149" s="49">
        <v>50886533</v>
      </c>
      <c r="C149" s="49">
        <v>42728400</v>
      </c>
      <c r="D149" s="49">
        <v>21904877.834649</v>
      </c>
      <c r="E149" s="50">
        <f>VLOOKUP($A149,'Data shares'!$C:$FA,154)*100</f>
        <v>84.17</v>
      </c>
      <c r="F149" s="173">
        <f>C149/B149</f>
        <v>0.83967992081519882</v>
      </c>
    </row>
    <row r="150" spans="1:6" x14ac:dyDescent="0.25">
      <c r="A150" s="99" t="s">
        <v>575</v>
      </c>
      <c r="B150" s="49">
        <v>95799519</v>
      </c>
      <c r="C150" s="49">
        <v>22625800</v>
      </c>
      <c r="D150" s="49">
        <v>16468742.3428695</v>
      </c>
      <c r="E150" s="50">
        <f>VLOOKUP($A150,'Data shares'!$C:$FA,154)*100</f>
        <v>23.990000000000002</v>
      </c>
      <c r="F150" s="173">
        <f>C150/B150</f>
        <v>0.23617863885099466</v>
      </c>
    </row>
    <row r="151" spans="1:6" x14ac:dyDescent="0.25">
      <c r="A151" s="99" t="s">
        <v>529</v>
      </c>
      <c r="B151" s="49">
        <v>15732422</v>
      </c>
      <c r="C151" s="49">
        <v>3022800</v>
      </c>
      <c r="D151" s="49">
        <v>2244265.8644670001</v>
      </c>
      <c r="E151" s="50">
        <f>VLOOKUP($A151,'Data shares'!$C:$FA,154)*100</f>
        <v>19.57</v>
      </c>
      <c r="F151" s="173">
        <f>C151/B151</f>
        <v>0.19213824800784013</v>
      </c>
    </row>
    <row r="152" spans="1:6" x14ac:dyDescent="0.25">
      <c r="A152" s="99" t="s">
        <v>272</v>
      </c>
      <c r="B152" s="49">
        <v>108255733</v>
      </c>
      <c r="C152" s="49">
        <v>72481200</v>
      </c>
      <c r="D152" s="49">
        <v>39250631.184214003</v>
      </c>
      <c r="E152" s="50">
        <f>VLOOKUP($A152,'Data shares'!$C:$FA,154)*100</f>
        <v>68.86</v>
      </c>
      <c r="F152" s="173">
        <f>C152/B152</f>
        <v>0.66953682720895713</v>
      </c>
    </row>
    <row r="153" spans="1:6" x14ac:dyDescent="0.25">
      <c r="A153" s="99" t="s">
        <v>273</v>
      </c>
      <c r="B153" s="49">
        <v>217835555</v>
      </c>
      <c r="C153" s="49">
        <v>128273600</v>
      </c>
      <c r="D153" s="49">
        <v>73902262.056103006</v>
      </c>
      <c r="E153" s="50">
        <f>VLOOKUP($A153,'Data shares'!$C:$FA,154)*100</f>
        <v>59.660000000000004</v>
      </c>
      <c r="F153" s="173">
        <f>C153/B153</f>
        <v>0.5888552031829698</v>
      </c>
    </row>
    <row r="154" spans="1:6" x14ac:dyDescent="0.25">
      <c r="A154" s="99" t="s">
        <v>680</v>
      </c>
      <c r="B154" s="49">
        <v>24030912</v>
      </c>
      <c r="C154" s="49">
        <v>15514450</v>
      </c>
      <c r="D154" s="49">
        <v>7337857.9080955004</v>
      </c>
      <c r="E154" s="50"/>
      <c r="F154" s="173">
        <f>C154/B154</f>
        <v>0.64560387887068127</v>
      </c>
    </row>
    <row r="155" spans="1:6" x14ac:dyDescent="0.25">
      <c r="A155" s="99" t="s">
        <v>645</v>
      </c>
      <c r="B155" s="49">
        <v>19533471</v>
      </c>
      <c r="C155" s="49">
        <v>3644550</v>
      </c>
      <c r="D155" s="49">
        <v>2837952.0176034998</v>
      </c>
      <c r="E155" s="50">
        <f>VLOOKUP($A155,'Data shares'!$C:$FA,154)*100</f>
        <v>18.790000000000003</v>
      </c>
      <c r="F155" s="173">
        <f>C155/B155</f>
        <v>0.18657974304720343</v>
      </c>
    </row>
    <row r="156" spans="1:6" x14ac:dyDescent="0.25">
      <c r="A156" s="99" t="s">
        <v>274</v>
      </c>
      <c r="B156" s="49">
        <v>31214205</v>
      </c>
      <c r="C156" s="49">
        <v>9005000</v>
      </c>
      <c r="D156" s="49">
        <v>7468733.3782900004</v>
      </c>
      <c r="E156" s="50">
        <f>VLOOKUP($A156,'Data shares'!$C:$FA,154)*100</f>
        <v>28.970000000000002</v>
      </c>
      <c r="F156" s="173">
        <f>C156/B156</f>
        <v>0.28849044849932909</v>
      </c>
    </row>
    <row r="157" spans="1:6" x14ac:dyDescent="0.25">
      <c r="A157" s="99" t="s">
        <v>483</v>
      </c>
      <c r="B157" s="49">
        <v>10712372</v>
      </c>
      <c r="C157" s="49">
        <v>2842700</v>
      </c>
      <c r="D157" s="49">
        <v>2085290.7386727501</v>
      </c>
      <c r="E157" s="50">
        <f>VLOOKUP($A157,'Data shares'!$C:$FA,154)*100</f>
        <v>26.63</v>
      </c>
      <c r="F157" s="173">
        <f>C157/B157</f>
        <v>0.26536606458401557</v>
      </c>
    </row>
    <row r="158" spans="1:6" x14ac:dyDescent="0.25">
      <c r="A158" s="99" t="s">
        <v>275</v>
      </c>
      <c r="B158" s="49">
        <v>515822637</v>
      </c>
      <c r="C158" s="49">
        <v>346360000</v>
      </c>
      <c r="D158" s="49">
        <v>231936463.4224</v>
      </c>
      <c r="E158" s="50">
        <f>VLOOKUP($A158,'Data shares'!$C:$FA,154)*100</f>
        <v>68.679999999999993</v>
      </c>
      <c r="F158" s="173">
        <f>C158/B158</f>
        <v>0.67147111265688786</v>
      </c>
    </row>
    <row r="159" spans="1:6" x14ac:dyDescent="0.25">
      <c r="A159" s="99" t="s">
        <v>670</v>
      </c>
      <c r="B159" s="49">
        <v>28118603</v>
      </c>
      <c r="C159" s="49">
        <v>20087600</v>
      </c>
      <c r="D159" s="49">
        <v>14809267.2633295</v>
      </c>
      <c r="E159" s="50">
        <f>VLOOKUP($A159,'Data shares'!$C:$FA,154)*100</f>
        <v>71.95</v>
      </c>
      <c r="F159" s="173">
        <f>C159/B159</f>
        <v>0.7143882645947951</v>
      </c>
    </row>
    <row r="160" spans="1:6" x14ac:dyDescent="0.25">
      <c r="A160" s="99" t="s">
        <v>573</v>
      </c>
      <c r="B160" s="49">
        <v>60642005</v>
      </c>
      <c r="C160" s="49">
        <v>7786100</v>
      </c>
      <c r="D160" s="49">
        <v>5795072.5568645</v>
      </c>
      <c r="E160" s="50">
        <f>VLOOKUP($A160,'Data shares'!$C:$FA,154)*100</f>
        <v>13.170000000000002</v>
      </c>
      <c r="F160" s="173">
        <f>C160/B160</f>
        <v>0.12839450146808307</v>
      </c>
    </row>
    <row r="161" spans="1:6" x14ac:dyDescent="0.25">
      <c r="A161" s="99" t="s">
        <v>519</v>
      </c>
      <c r="B161" s="49">
        <v>8688405</v>
      </c>
      <c r="C161" s="49">
        <v>3184000</v>
      </c>
      <c r="D161" s="49">
        <v>2659347.6927087498</v>
      </c>
      <c r="E161" s="50">
        <f>VLOOKUP($A161,'Data shares'!$C:$FA,154)*100</f>
        <v>37.340000000000003</v>
      </c>
      <c r="F161" s="173">
        <f>C161/B161</f>
        <v>0.36646542144386685</v>
      </c>
    </row>
    <row r="162" spans="1:6" x14ac:dyDescent="0.25">
      <c r="A162" s="99" t="s">
        <v>276</v>
      </c>
      <c r="B162" s="49">
        <v>678857930</v>
      </c>
      <c r="C162" s="49">
        <v>127144200</v>
      </c>
      <c r="D162" s="49">
        <v>87740255.972253993</v>
      </c>
      <c r="E162" s="50">
        <f>VLOOKUP($A162,'Data shares'!$C:$FA,154)*100</f>
        <v>18.96</v>
      </c>
      <c r="F162" s="173">
        <f>C162/B162</f>
        <v>0.18729132323754397</v>
      </c>
    </row>
    <row r="163" spans="1:6" x14ac:dyDescent="0.25">
      <c r="A163" s="99" t="s">
        <v>687</v>
      </c>
      <c r="B163" s="49">
        <v>1917916</v>
      </c>
      <c r="C163" s="49">
        <v>340050</v>
      </c>
      <c r="D163" s="49">
        <v>231375.602625</v>
      </c>
      <c r="E163" s="50">
        <f>VLOOKUP($A163,'Data shares'!$C:$FA,154)*100</f>
        <v>17.849999999999998</v>
      </c>
      <c r="F163" s="173">
        <f>C163/B163</f>
        <v>0.17730182135192574</v>
      </c>
    </row>
    <row r="164" spans="1:6" x14ac:dyDescent="0.25">
      <c r="A164" s="99" t="s">
        <v>678</v>
      </c>
      <c r="B164" s="49">
        <v>107697729</v>
      </c>
      <c r="C164" s="49">
        <v>33938625</v>
      </c>
      <c r="D164" s="49">
        <v>20758119.437081199</v>
      </c>
      <c r="E164" s="50">
        <f>VLOOKUP($A164,'Data shares'!$C:$FA,154)*100</f>
        <v>31.91</v>
      </c>
      <c r="F164" s="173">
        <f>C164/B164</f>
        <v>0.3151285112056541</v>
      </c>
    </row>
    <row r="165" spans="1:6" x14ac:dyDescent="0.25">
      <c r="A165" s="99" t="s">
        <v>690</v>
      </c>
      <c r="B165" s="49">
        <v>23923093</v>
      </c>
      <c r="C165" s="49">
        <v>1509375</v>
      </c>
      <c r="D165" s="49">
        <v>595124.07243874995</v>
      </c>
      <c r="E165" s="50">
        <f>VLOOKUP($A165,'Data shares'!$C:$FA,154)*100</f>
        <v>6.43</v>
      </c>
      <c r="F165" s="173">
        <f>C165/B165</f>
        <v>6.3092803259177224E-2</v>
      </c>
    </row>
    <row r="166" spans="1:6" x14ac:dyDescent="0.25">
      <c r="A166" s="99" t="s">
        <v>605</v>
      </c>
      <c r="B166" s="49">
        <v>22697169</v>
      </c>
      <c r="C166" s="49">
        <v>4963050</v>
      </c>
      <c r="D166" s="49">
        <v>3684041.7539670002</v>
      </c>
      <c r="E166" s="50">
        <f>VLOOKUP($A166,'Data shares'!$C:$FA,154)*100</f>
        <v>22.37</v>
      </c>
      <c r="F166" s="173">
        <f>C166/B166</f>
        <v>0.21866383424294017</v>
      </c>
    </row>
    <row r="167" spans="1:6" x14ac:dyDescent="0.25">
      <c r="A167" s="99" t="s">
        <v>279</v>
      </c>
      <c r="B167" s="49">
        <v>91953095</v>
      </c>
      <c r="C167" s="49">
        <v>95697675</v>
      </c>
      <c r="D167" s="49">
        <v>61173612.417580001</v>
      </c>
      <c r="E167" s="50"/>
      <c r="F167" s="173">
        <f>C167/B167</f>
        <v>1.0407227184685846</v>
      </c>
    </row>
    <row r="168" spans="1:6" x14ac:dyDescent="0.25">
      <c r="A168" s="99" t="s">
        <v>280</v>
      </c>
      <c r="B168" s="49">
        <v>187084550</v>
      </c>
      <c r="C168" s="49">
        <v>141290800</v>
      </c>
      <c r="D168" s="49">
        <v>80156189.316504002</v>
      </c>
      <c r="E168" s="50">
        <f>VLOOKUP($A168,'Data shares'!$C:$FA,154)*100</f>
        <v>76.88000000000001</v>
      </c>
      <c r="F168" s="173">
        <f>C168/B168</f>
        <v>0.7552243090089481</v>
      </c>
    </row>
    <row r="169" spans="1:6" x14ac:dyDescent="0.25">
      <c r="A169" s="99" t="s">
        <v>281</v>
      </c>
      <c r="B169" s="49">
        <v>664266681</v>
      </c>
      <c r="C169" s="49">
        <v>142674000</v>
      </c>
      <c r="D169" s="49">
        <v>101505667.28194501</v>
      </c>
      <c r="E169" s="50">
        <f>VLOOKUP($A169,'Data shares'!$C:$FA,154)*100</f>
        <v>21.85</v>
      </c>
      <c r="F169" s="173">
        <f>C169/B169</f>
        <v>0.21478421856898766</v>
      </c>
    </row>
    <row r="170" spans="1:6" x14ac:dyDescent="0.25">
      <c r="A170" s="99" t="s">
        <v>675</v>
      </c>
      <c r="B170" s="49">
        <v>84941460</v>
      </c>
      <c r="C170" s="49">
        <v>95850825</v>
      </c>
      <c r="D170" s="49">
        <v>37004065.784051701</v>
      </c>
      <c r="E170" s="50">
        <f>VLOOKUP($A170,'Data shares'!$C:$FA,154)*100</f>
        <v>115.77</v>
      </c>
      <c r="F170" s="173">
        <f>C170/B170</f>
        <v>1.1284339237870411</v>
      </c>
    </row>
    <row r="171" spans="1:6" x14ac:dyDescent="0.25">
      <c r="A171" s="99" t="s">
        <v>282</v>
      </c>
      <c r="B171" s="49">
        <v>216861410</v>
      </c>
      <c r="C171" s="49">
        <v>295066000</v>
      </c>
      <c r="D171" s="49">
        <v>183425052.70382199</v>
      </c>
      <c r="E171" s="50">
        <f>VLOOKUP($A171,'Data shares'!$C:$FA,154)*100</f>
        <v>138.98999999999998</v>
      </c>
      <c r="F171" s="173">
        <f>C171/B171</f>
        <v>1.3606201306170609</v>
      </c>
    </row>
    <row r="172" spans="1:6" x14ac:dyDescent="0.25">
      <c r="A172" s="99" t="s">
        <v>686</v>
      </c>
      <c r="B172" s="49">
        <v>122326971</v>
      </c>
      <c r="C172" s="49">
        <v>143396400</v>
      </c>
      <c r="D172" s="49">
        <v>80005436.959685996</v>
      </c>
      <c r="E172" s="50">
        <f>VLOOKUP($A172,'Data shares'!$C:$FA,154)*100</f>
        <v>118.69000000000001</v>
      </c>
      <c r="F172" s="173">
        <f>C172/B172</f>
        <v>1.1722386226664601</v>
      </c>
    </row>
    <row r="173" spans="1:6" x14ac:dyDescent="0.25">
      <c r="A173" s="99" t="s">
        <v>536</v>
      </c>
      <c r="B173" s="49">
        <v>44836888</v>
      </c>
      <c r="C173" s="49">
        <v>22520800</v>
      </c>
      <c r="D173" s="49">
        <v>15270088.777720001</v>
      </c>
      <c r="E173" s="50">
        <f>VLOOKUP($A173,'Data shares'!$C:$FA,154)*100</f>
        <v>51.05</v>
      </c>
      <c r="F173" s="173">
        <f>C173/B173</f>
        <v>0.50228285245844895</v>
      </c>
    </row>
    <row r="174" spans="1:6" x14ac:dyDescent="0.25">
      <c r="A174" s="99" t="s">
        <v>462</v>
      </c>
      <c r="B174" s="49">
        <v>44756800</v>
      </c>
      <c r="C174" s="49">
        <v>10745250</v>
      </c>
      <c r="D174" s="49">
        <v>8256303.5541225001</v>
      </c>
      <c r="E174" s="50">
        <f>VLOOKUP($A174,'Data shares'!$C:$FA,154)*100</f>
        <v>24.39</v>
      </c>
      <c r="F174" s="173">
        <f>C174/B174</f>
        <v>0.24008083687841847</v>
      </c>
    </row>
    <row r="175" spans="1:6" x14ac:dyDescent="0.25">
      <c r="A175" s="99" t="s">
        <v>283</v>
      </c>
      <c r="B175" s="49">
        <v>436949195</v>
      </c>
      <c r="C175" s="49">
        <v>107903250</v>
      </c>
      <c r="D175" s="49">
        <v>73729782.116092503</v>
      </c>
      <c r="E175" s="50">
        <f>VLOOKUP($A175,'Data shares'!$C:$FA,154)*100</f>
        <v>25.240000000000002</v>
      </c>
      <c r="F175" s="173">
        <f>C175/B175</f>
        <v>0.24694690191613697</v>
      </c>
    </row>
    <row r="176" spans="1:6" x14ac:dyDescent="0.25">
      <c r="A176" s="99" t="s">
        <v>284</v>
      </c>
      <c r="B176" s="49">
        <v>1568093</v>
      </c>
      <c r="C176" s="49">
        <v>323625</v>
      </c>
      <c r="D176" s="49">
        <v>255844.57940749999</v>
      </c>
      <c r="E176" s="50">
        <f>VLOOKUP($A176,'Data shares'!$C:$FA,154)*100</f>
        <v>20.7</v>
      </c>
      <c r="F176" s="173">
        <f>C176/B176</f>
        <v>0.20638125417306244</v>
      </c>
    </row>
    <row r="177" spans="1:6" x14ac:dyDescent="0.25">
      <c r="A177" s="99" t="s">
        <v>562</v>
      </c>
      <c r="B177" s="49">
        <v>210513975</v>
      </c>
      <c r="C177" s="49">
        <v>73394475</v>
      </c>
      <c r="D177" s="49">
        <v>49576757.353727996</v>
      </c>
      <c r="E177" s="50">
        <f>VLOOKUP($A177,'Data shares'!$C:$FA,154)*100</f>
        <v>35.630000000000003</v>
      </c>
      <c r="F177" s="173">
        <f>C177/B177</f>
        <v>0.34864419333680818</v>
      </c>
    </row>
    <row r="178" spans="1:6" x14ac:dyDescent="0.25">
      <c r="A178" s="99" t="s">
        <v>285</v>
      </c>
      <c r="B178" s="49">
        <v>13354588</v>
      </c>
      <c r="C178" s="49">
        <v>3645250</v>
      </c>
      <c r="D178" s="49">
        <v>2443138.8191822502</v>
      </c>
      <c r="E178" s="50">
        <f>VLOOKUP($A178,'Data shares'!$C:$FA,154)*100</f>
        <v>27.62</v>
      </c>
      <c r="F178" s="173">
        <f>C178/B178</f>
        <v>0.27295862665325205</v>
      </c>
    </row>
    <row r="179" spans="1:6" x14ac:dyDescent="0.25">
      <c r="A179" s="99" t="s">
        <v>646</v>
      </c>
      <c r="B179" s="49">
        <v>3644817</v>
      </c>
      <c r="C179" s="49">
        <v>1768550</v>
      </c>
      <c r="D179" s="49">
        <v>1144145.8827555</v>
      </c>
      <c r="E179" s="50">
        <f>VLOOKUP($A179,'Data shares'!$C:$FA,154)*100</f>
        <v>50.029999999999994</v>
      </c>
      <c r="F179" s="173">
        <f>C179/B179</f>
        <v>0.48522326360966822</v>
      </c>
    </row>
    <row r="180" spans="1:6" x14ac:dyDescent="0.25">
      <c r="A180" s="99" t="s">
        <v>614</v>
      </c>
      <c r="B180" s="49">
        <v>67126548</v>
      </c>
      <c r="C180" s="49">
        <v>17475850</v>
      </c>
      <c r="D180" s="49">
        <v>14239197.315848701</v>
      </c>
      <c r="E180" s="50">
        <f>VLOOKUP($A180,'Data shares'!$C:$FA,154)*100</f>
        <v>26.090000000000003</v>
      </c>
      <c r="F180" s="173">
        <f>C180/B180</f>
        <v>0.26034185461168063</v>
      </c>
    </row>
    <row r="181" spans="1:6" x14ac:dyDescent="0.25">
      <c r="A181" s="99" t="s">
        <v>286</v>
      </c>
      <c r="B181" s="49">
        <v>18529108</v>
      </c>
      <c r="C181" s="49">
        <v>4924200</v>
      </c>
      <c r="D181" s="49">
        <v>3509467.9257880002</v>
      </c>
      <c r="E181" s="50">
        <f>VLOOKUP($A181,'Data shares'!$C:$FA,154)*100</f>
        <v>27.12</v>
      </c>
      <c r="F181" s="173">
        <f>C181/B181</f>
        <v>0.2657548328824032</v>
      </c>
    </row>
    <row r="182" spans="1:6" x14ac:dyDescent="0.25">
      <c r="A182" s="99" t="s">
        <v>288</v>
      </c>
      <c r="B182" s="49">
        <v>109220043</v>
      </c>
      <c r="C182" s="49">
        <v>23712150</v>
      </c>
      <c r="D182" s="49">
        <v>17309856.911235001</v>
      </c>
      <c r="E182" s="50">
        <f>VLOOKUP($A182,'Data shares'!$C:$FA,154)*100</f>
        <v>21.95</v>
      </c>
      <c r="F182" s="173">
        <f>C182/B182</f>
        <v>0.21710438257197903</v>
      </c>
    </row>
    <row r="183" spans="1:6" x14ac:dyDescent="0.25">
      <c r="A183" s="99" t="s">
        <v>574</v>
      </c>
      <c r="B183" s="49">
        <v>9736357</v>
      </c>
      <c r="C183" s="49">
        <v>2725800</v>
      </c>
      <c r="D183" s="49">
        <v>1550970.1618530001</v>
      </c>
      <c r="E183" s="50">
        <f>VLOOKUP($A183,'Data shares'!$C:$FA,154)*100</f>
        <v>28.299999999999997</v>
      </c>
      <c r="F183" s="173">
        <f>C183/B183</f>
        <v>0.27996097513679913</v>
      </c>
    </row>
    <row r="184" spans="1:6" x14ac:dyDescent="0.25">
      <c r="A184" s="99" t="s">
        <v>684</v>
      </c>
      <c r="B184" s="49">
        <v>1814982173</v>
      </c>
      <c r="C184" s="49">
        <v>459760575</v>
      </c>
      <c r="D184" s="49">
        <v>249198901.24215999</v>
      </c>
      <c r="E184" s="50"/>
      <c r="F184" s="173">
        <f>C184/B184</f>
        <v>0.25331409963110418</v>
      </c>
    </row>
    <row r="185" spans="1:6" x14ac:dyDescent="0.25">
      <c r="A185" s="99" t="s">
        <v>693</v>
      </c>
      <c r="B185" s="49">
        <v>375529891</v>
      </c>
      <c r="C185" s="49">
        <v>7996300</v>
      </c>
      <c r="D185" s="49">
        <v>5201923.7387650004</v>
      </c>
      <c r="E185" s="50">
        <f>VLOOKUP($A185,'Data shares'!$C:$FA,154)*100</f>
        <v>2.1399999999999997</v>
      </c>
      <c r="F185" s="173">
        <f>C185/B185</f>
        <v>2.1293378214731779E-2</v>
      </c>
    </row>
    <row r="186" spans="1:6" x14ac:dyDescent="0.25">
      <c r="A186" s="99" t="s">
        <v>520</v>
      </c>
      <c r="B186" s="49">
        <v>24733183</v>
      </c>
      <c r="C186" s="49">
        <v>10433000</v>
      </c>
      <c r="D186" s="49">
        <v>7564017.6174600003</v>
      </c>
      <c r="E186" s="50">
        <f>VLOOKUP($A186,'Data shares'!$C:$FA,154)*100</f>
        <v>42.44</v>
      </c>
      <c r="F186" s="173">
        <f>C186/B186</f>
        <v>0.42182197091251861</v>
      </c>
    </row>
    <row r="187" spans="1:6" x14ac:dyDescent="0.25">
      <c r="A187" s="99" t="s">
        <v>291</v>
      </c>
      <c r="B187" s="49">
        <v>65472326</v>
      </c>
      <c r="C187" s="49">
        <v>15521000</v>
      </c>
      <c r="D187" s="49">
        <v>11515854.0074325</v>
      </c>
      <c r="E187" s="50">
        <f>VLOOKUP($A187,'Data shares'!$C:$FA,154)*100</f>
        <v>24.03</v>
      </c>
      <c r="F187" s="173">
        <f>C187/B187</f>
        <v>0.23706199165736069</v>
      </c>
    </row>
    <row r="188" spans="1:6" x14ac:dyDescent="0.25">
      <c r="A188" s="99" t="s">
        <v>604</v>
      </c>
      <c r="B188" s="49">
        <v>5241546</v>
      </c>
      <c r="C188" s="49">
        <v>2306700</v>
      </c>
      <c r="D188" s="49">
        <v>1370870.9203270001</v>
      </c>
      <c r="E188" s="50">
        <f>VLOOKUP($A188,'Data shares'!$C:$FA,154)*100</f>
        <v>45.03</v>
      </c>
      <c r="F188" s="173">
        <f>C188/B188</f>
        <v>0.44008008324261583</v>
      </c>
    </row>
    <row r="189" spans="1:6" x14ac:dyDescent="0.25">
      <c r="A189" s="99" t="s">
        <v>293</v>
      </c>
      <c r="B189" s="49">
        <v>202215001</v>
      </c>
      <c r="C189" s="49">
        <v>95280950</v>
      </c>
      <c r="D189" s="49">
        <v>50480435.444601499</v>
      </c>
      <c r="E189" s="50">
        <f>VLOOKUP($A189,'Data shares'!$C:$FA,154)*100</f>
        <v>48.61</v>
      </c>
      <c r="F189" s="173">
        <f>C189/B189</f>
        <v>0.4711863587212306</v>
      </c>
    </row>
    <row r="190" spans="1:6" x14ac:dyDescent="0.25">
      <c r="A190" s="99" t="s">
        <v>294</v>
      </c>
      <c r="B190" s="49">
        <v>872935214</v>
      </c>
      <c r="C190" s="49">
        <v>431574000</v>
      </c>
      <c r="D190" s="49">
        <v>259082160.371925</v>
      </c>
      <c r="E190" s="50">
        <f>VLOOKUP($A190,'Data shares'!$C:$FA,154)*100</f>
        <v>50.4</v>
      </c>
      <c r="F190" s="173">
        <f>C190/B190</f>
        <v>0.4943940776800877</v>
      </c>
    </row>
    <row r="191" spans="1:6" x14ac:dyDescent="0.25">
      <c r="A191" s="99" t="s">
        <v>663</v>
      </c>
      <c r="B191" s="49">
        <v>25116370</v>
      </c>
      <c r="C191" s="49">
        <v>18136800</v>
      </c>
      <c r="D191" s="49">
        <v>10092682.459535999</v>
      </c>
      <c r="E191" s="50">
        <f>VLOOKUP($A191,'Data shares'!$C:$FA,154)*100</f>
        <v>73.509999999999991</v>
      </c>
      <c r="F191" s="173">
        <f>C191/B191</f>
        <v>0.72211071902508206</v>
      </c>
    </row>
    <row r="192" spans="1:6" x14ac:dyDescent="0.25">
      <c r="A192" s="99" t="s">
        <v>295</v>
      </c>
      <c r="B192" s="49">
        <v>126444612</v>
      </c>
      <c r="C192" s="49">
        <v>33654775</v>
      </c>
      <c r="D192" s="49">
        <v>20102167.696366001</v>
      </c>
      <c r="E192" s="50">
        <f>VLOOKUP($A192,'Data shares'!$C:$FA,154)*100</f>
        <v>27.22</v>
      </c>
      <c r="F192" s="173">
        <f>C192/B192</f>
        <v>0.26616219123674484</v>
      </c>
    </row>
    <row r="193" spans="1:6" x14ac:dyDescent="0.25">
      <c r="A193" s="99" t="s">
        <v>296</v>
      </c>
      <c r="B193" s="49">
        <v>80031540</v>
      </c>
      <c r="C193" s="49">
        <v>24486600</v>
      </c>
      <c r="D193" s="49">
        <v>19102517.473698001</v>
      </c>
      <c r="E193" s="50">
        <f>VLOOKUP($A193,'Data shares'!$C:$FA,154)*100</f>
        <v>30.919999999999998</v>
      </c>
      <c r="F193" s="173">
        <f>C193/B193</f>
        <v>0.30596187453096618</v>
      </c>
    </row>
    <row r="194" spans="1:6" x14ac:dyDescent="0.25">
      <c r="A194" s="99" t="s">
        <v>595</v>
      </c>
      <c r="B194" s="49">
        <v>15879795</v>
      </c>
      <c r="C194" s="49">
        <v>4374000</v>
      </c>
      <c r="D194" s="49">
        <v>3410308.1814819998</v>
      </c>
      <c r="E194" s="50">
        <f>VLOOKUP($A194,'Data shares'!$C:$FA,154)*100</f>
        <v>27.71</v>
      </c>
      <c r="F194" s="173">
        <f>C194/B194</f>
        <v>0.27544436184472154</v>
      </c>
    </row>
    <row r="195" spans="1:6" x14ac:dyDescent="0.25">
      <c r="A195" s="99" t="s">
        <v>297</v>
      </c>
      <c r="B195" s="49">
        <v>45680146</v>
      </c>
      <c r="C195" s="49">
        <v>14830550</v>
      </c>
      <c r="D195" s="49">
        <v>9687715.6863497496</v>
      </c>
      <c r="E195" s="50">
        <f>VLOOKUP($A195,'Data shares'!$C:$FA,154)*100</f>
        <v>33.300000000000004</v>
      </c>
      <c r="F195" s="173">
        <f>C195/B195</f>
        <v>0.32466073991970168</v>
      </c>
    </row>
    <row r="196" spans="1:6" x14ac:dyDescent="0.25">
      <c r="A196" s="99" t="s">
        <v>689</v>
      </c>
      <c r="B196" s="49">
        <v>317235726</v>
      </c>
      <c r="C196" s="49">
        <v>146488000</v>
      </c>
      <c r="D196" s="49">
        <v>88599217.796112001</v>
      </c>
      <c r="E196" s="50">
        <f>VLOOKUP($A196,'Data shares'!$C:$FA,154)*100</f>
        <v>46.910000000000004</v>
      </c>
      <c r="F196" s="173">
        <f>C196/B196</f>
        <v>0.46176388090665427</v>
      </c>
    </row>
    <row r="197" spans="1:6" x14ac:dyDescent="0.25">
      <c r="A197" s="99" t="s">
        <v>298</v>
      </c>
      <c r="B197" s="49">
        <v>10726004</v>
      </c>
      <c r="C197" s="49">
        <v>2395000</v>
      </c>
      <c r="D197" s="49">
        <v>2117664.9785075001</v>
      </c>
      <c r="E197" s="50">
        <f>VLOOKUP($A197,'Data shares'!$C:$FA,154)*100</f>
        <v>22.720000000000002</v>
      </c>
      <c r="F197" s="173">
        <f>C197/B197</f>
        <v>0.22328912053361158</v>
      </c>
    </row>
    <row r="198" spans="1:6" x14ac:dyDescent="0.25">
      <c r="A198" s="99" t="s">
        <v>299</v>
      </c>
      <c r="B198" s="49">
        <v>24646022</v>
      </c>
      <c r="C198" s="49">
        <v>3658400</v>
      </c>
      <c r="D198" s="49">
        <v>2751020.4400772499</v>
      </c>
      <c r="E198" s="50">
        <f>VLOOKUP($A198,'Data shares'!$C:$FA,154)*100</f>
        <v>14.879999999999999</v>
      </c>
      <c r="F198" s="173">
        <f>C198/B198</f>
        <v>0.14843774788483108</v>
      </c>
    </row>
    <row r="199" spans="1:6" x14ac:dyDescent="0.25">
      <c r="A199" s="99" t="s">
        <v>482</v>
      </c>
      <c r="B199" s="49">
        <v>33590487</v>
      </c>
      <c r="C199" s="49">
        <v>12276600</v>
      </c>
      <c r="D199" s="49">
        <v>8105799.6382569997</v>
      </c>
      <c r="E199" s="50">
        <f>VLOOKUP($A199,'Data shares'!$C:$FA,154)*100</f>
        <v>37.049999999999997</v>
      </c>
      <c r="F199" s="173">
        <f>C199/B199</f>
        <v>0.365478476093544</v>
      </c>
    </row>
    <row r="200" spans="1:6" x14ac:dyDescent="0.25">
      <c r="A200" s="99" t="s">
        <v>300</v>
      </c>
      <c r="B200" s="49">
        <v>31634588</v>
      </c>
      <c r="C200" s="49">
        <v>10034675</v>
      </c>
      <c r="D200" s="49">
        <v>7906711.3619165001</v>
      </c>
      <c r="E200" s="50">
        <f>VLOOKUP($A200,'Data shares'!$C:$FA,154)*100</f>
        <v>32.119999999999997</v>
      </c>
      <c r="F200" s="173">
        <f>C200/B200</f>
        <v>0.3172058065052088</v>
      </c>
    </row>
    <row r="201" spans="1:6" x14ac:dyDescent="0.25">
      <c r="A201" s="99" t="s">
        <v>302</v>
      </c>
      <c r="B201" s="49">
        <v>11955674</v>
      </c>
      <c r="C201" s="49">
        <v>3621100</v>
      </c>
      <c r="D201" s="49">
        <v>3014057.8567605</v>
      </c>
      <c r="E201" s="50">
        <f>VLOOKUP($A201,'Data shares'!$C:$FA,154)*100</f>
        <v>30.53</v>
      </c>
      <c r="F201" s="173">
        <f>C201/B201</f>
        <v>0.30287711090148495</v>
      </c>
    </row>
    <row r="202" spans="1:6" x14ac:dyDescent="0.25">
      <c r="A202" s="99" t="s">
        <v>593</v>
      </c>
      <c r="B202" s="49">
        <v>289041713</v>
      </c>
      <c r="C202" s="49">
        <v>113151675</v>
      </c>
      <c r="D202" s="49">
        <v>74230129.807694197</v>
      </c>
      <c r="E202" s="50">
        <f>VLOOKUP($A202,'Data shares'!$C:$FA,154)*100</f>
        <v>39.800000000000004</v>
      </c>
      <c r="F202" s="173">
        <f>C202/B202</f>
        <v>0.39147178386671133</v>
      </c>
    </row>
    <row r="203" spans="1:6" x14ac:dyDescent="0.25">
      <c r="A203" s="99" t="s">
        <v>569</v>
      </c>
      <c r="B203" s="49">
        <v>37091426</v>
      </c>
      <c r="C203" s="49">
        <v>17758800</v>
      </c>
      <c r="D203" s="49">
        <v>11693075.986536</v>
      </c>
      <c r="E203" s="50">
        <f>VLOOKUP($A203,'Data shares'!$C:$FA,154)*100</f>
        <v>48.47</v>
      </c>
      <c r="F203" s="173">
        <f>C203/B203</f>
        <v>0.47878450399830946</v>
      </c>
    </row>
    <row r="204" spans="1:6" x14ac:dyDescent="0.25">
      <c r="A204" s="99" t="s">
        <v>674</v>
      </c>
      <c r="B204" s="49">
        <v>27292222</v>
      </c>
      <c r="C204" s="49">
        <v>4933500</v>
      </c>
      <c r="D204" s="49">
        <v>4204736.4590990003</v>
      </c>
      <c r="E204" s="50">
        <f>VLOOKUP($A204,'Data shares'!$C:$FA,154)*100</f>
        <v>18.240000000000002</v>
      </c>
      <c r="F204" s="173">
        <f>C204/B204</f>
        <v>0.18076578741005406</v>
      </c>
    </row>
    <row r="205" spans="1:6" x14ac:dyDescent="0.25">
      <c r="A205" s="99" t="s">
        <v>303</v>
      </c>
      <c r="B205" s="49">
        <v>84228583</v>
      </c>
      <c r="C205" s="49">
        <v>55550935</v>
      </c>
      <c r="D205" s="49">
        <v>33702250.584489703</v>
      </c>
      <c r="E205" s="50">
        <f>VLOOKUP($A205,'Data shares'!$C:$FA,154)*100</f>
        <v>67.66</v>
      </c>
      <c r="F205" s="173">
        <f>C205/B205</f>
        <v>0.65952593551288874</v>
      </c>
    </row>
    <row r="206" spans="1:6" x14ac:dyDescent="0.25">
      <c r="A206" s="99" t="s">
        <v>586</v>
      </c>
      <c r="B206" s="49">
        <v>205761118</v>
      </c>
      <c r="C206" s="49">
        <v>64388250</v>
      </c>
      <c r="D206" s="49">
        <v>47568615.758752503</v>
      </c>
      <c r="E206" s="50">
        <f>VLOOKUP($A206,'Data shares'!$C:$FA,154)*100</f>
        <v>31.53</v>
      </c>
      <c r="F206" s="173">
        <f>C206/B206</f>
        <v>0.31292719745039488</v>
      </c>
    </row>
    <row r="207" spans="1:6" x14ac:dyDescent="0.25">
      <c r="A207" s="99" t="s">
        <v>304</v>
      </c>
      <c r="B207" s="49">
        <v>255091106</v>
      </c>
      <c r="C207" s="49">
        <v>148650150</v>
      </c>
      <c r="D207" s="49">
        <v>89272014.412781507</v>
      </c>
      <c r="E207" s="50">
        <f>VLOOKUP($A207,'Data shares'!$C:$FA,154)*100</f>
        <v>59.61</v>
      </c>
      <c r="F207" s="173">
        <f>C207/B207</f>
        <v>0.58273356657130959</v>
      </c>
    </row>
    <row r="208" spans="1:6" x14ac:dyDescent="0.25">
      <c r="A208" s="99" t="s">
        <v>305</v>
      </c>
      <c r="B208" s="49">
        <v>34594689</v>
      </c>
      <c r="C208" s="49">
        <v>13507500</v>
      </c>
      <c r="D208" s="49">
        <v>8819962.4040150009</v>
      </c>
      <c r="E208" s="50">
        <f>VLOOKUP($A208,'Data shares'!$C:$FA,154)*100</f>
        <v>39.61</v>
      </c>
      <c r="F208" s="173">
        <f>C208/B208</f>
        <v>0.39045010637326438</v>
      </c>
    </row>
    <row r="209" spans="1:6" x14ac:dyDescent="0.25">
      <c r="A209" s="99" t="s">
        <v>692</v>
      </c>
      <c r="B209" s="49">
        <v>15436318</v>
      </c>
      <c r="C209" s="49">
        <v>659400</v>
      </c>
      <c r="D209" s="49">
        <v>282345.73365424998</v>
      </c>
      <c r="E209" s="50">
        <f>VLOOKUP($A209,'Data shares'!$C:$FA,154)*100</f>
        <v>4.5900000000000007</v>
      </c>
      <c r="F209" s="173">
        <f>C209/B209</f>
        <v>4.2717440778299594E-2</v>
      </c>
    </row>
    <row r="210" spans="1:6" x14ac:dyDescent="0.25">
      <c r="A210" s="99" t="s">
        <v>306</v>
      </c>
      <c r="B210" s="49">
        <v>358423198</v>
      </c>
      <c r="C210" s="49">
        <v>148467000</v>
      </c>
      <c r="D210" s="49">
        <v>93732902.597880006</v>
      </c>
      <c r="E210" s="50">
        <f>VLOOKUP($A210,'Data shares'!$C:$FA,154)*100</f>
        <v>41.89</v>
      </c>
      <c r="F210" s="173">
        <f>C210/B210</f>
        <v>0.4142226307572871</v>
      </c>
    </row>
    <row r="211" spans="1:6" x14ac:dyDescent="0.25">
      <c r="A211" s="99" t="s">
        <v>590</v>
      </c>
      <c r="B211" s="49">
        <v>3547322779</v>
      </c>
      <c r="C211" s="49">
        <v>1515845100</v>
      </c>
      <c r="D211" s="49">
        <v>1024747307.99599</v>
      </c>
      <c r="E211" s="50">
        <f>VLOOKUP($A211,'Data shares'!$C:$FA,154)*100</f>
        <v>43.51</v>
      </c>
      <c r="F211" s="173">
        <f>C211/B211</f>
        <v>0.4273208823774759</v>
      </c>
    </row>
    <row r="212" spans="1:6" x14ac:dyDescent="0.25">
      <c r="A212" s="99" t="s">
        <v>557</v>
      </c>
      <c r="B212" s="49">
        <v>37741451</v>
      </c>
      <c r="C212" s="49">
        <v>15013800</v>
      </c>
      <c r="D212" s="49">
        <v>9608078.5002629999</v>
      </c>
      <c r="E212" s="50">
        <f>VLOOKUP($A212,'Data shares'!$C:$FA,154)*100</f>
        <v>40.410000000000004</v>
      </c>
      <c r="F212" s="173">
        <f>C212/B212</f>
        <v>0.39780664500683877</v>
      </c>
    </row>
    <row r="213" spans="1:6" x14ac:dyDescent="0.25">
      <c r="A213" s="99"/>
      <c r="B213" s="49"/>
      <c r="C213" s="49"/>
      <c r="D213" s="49"/>
      <c r="E213" s="50"/>
      <c r="F213" s="173"/>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2">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I9" sqref="I9"/>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0" t="s">
        <v>420</v>
      </c>
      <c r="B4" s="321"/>
      <c r="C4" s="321"/>
      <c r="D4" s="321"/>
      <c r="E4" s="321"/>
      <c r="F4" s="321"/>
      <c r="G4" s="321"/>
      <c r="H4" s="321"/>
      <c r="I4" s="321"/>
      <c r="J4" s="321"/>
      <c r="K4" s="321"/>
      <c r="L4" s="321"/>
      <c r="M4" s="321"/>
      <c r="N4" s="322"/>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3" t="s">
        <v>380</v>
      </c>
      <c r="B3" s="324"/>
      <c r="C3" s="324"/>
      <c r="D3" s="324"/>
      <c r="E3" s="324"/>
      <c r="F3" s="324"/>
      <c r="G3" s="325"/>
    </row>
    <row r="4" spans="1:7" s="72" customFormat="1" x14ac:dyDescent="0.25">
      <c r="A4" s="108" t="s">
        <v>330</v>
      </c>
      <c r="B4" s="326" t="s">
        <v>380</v>
      </c>
      <c r="C4" s="326"/>
      <c r="D4" s="326"/>
      <c r="E4" s="326"/>
      <c r="F4" s="326"/>
      <c r="G4" s="326"/>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1.96</v>
      </c>
      <c r="F6" s="49">
        <f>VLOOKUP($A6,'Data shares'!$C:$FA,129)</f>
        <v>249500</v>
      </c>
      <c r="G6" s="17"/>
    </row>
    <row r="7" spans="1:7" x14ac:dyDescent="0.25">
      <c r="A7" s="101" t="s">
        <v>228</v>
      </c>
      <c r="B7" s="17">
        <v>292206563</v>
      </c>
      <c r="C7" s="17">
        <v>71903525</v>
      </c>
      <c r="D7" s="17">
        <f t="shared" ref="D7:D70" si="0">C7</f>
        <v>71903525</v>
      </c>
      <c r="E7" s="49">
        <f>VLOOKUP($A7,'Data shares'!$C:$FA,128)*100</f>
        <v>0.82000000000000006</v>
      </c>
      <c r="F7" s="49">
        <f>VLOOKUP($A7,'Data shares'!$C:$FA,129)</f>
        <v>484400</v>
      </c>
      <c r="G7" s="17"/>
    </row>
    <row r="8" spans="1:7" x14ac:dyDescent="0.25">
      <c r="A8" s="101" t="s">
        <v>200</v>
      </c>
      <c r="B8" s="17">
        <v>417418754</v>
      </c>
      <c r="C8" s="17">
        <v>109662000</v>
      </c>
      <c r="D8" s="17">
        <f t="shared" si="0"/>
        <v>109662000</v>
      </c>
      <c r="E8" s="49">
        <f>VLOOKUP($A8,'Data shares'!$C:$FA,128)*100</f>
        <v>4.6899999999999995</v>
      </c>
      <c r="F8" s="49">
        <f>VLOOKUP($A8,'Data shares'!$C:$FA,129)</f>
        <v>2408400</v>
      </c>
      <c r="G8" s="17"/>
    </row>
    <row r="9" spans="1:7" x14ac:dyDescent="0.25">
      <c r="A9" s="101" t="s">
        <v>214</v>
      </c>
      <c r="B9" s="17">
        <v>30110093</v>
      </c>
      <c r="C9" s="17">
        <v>10703050</v>
      </c>
      <c r="D9" s="17">
        <f t="shared" si="0"/>
        <v>10703050</v>
      </c>
      <c r="E9" s="49">
        <f>VLOOKUP($A9,'Data shares'!$C:$FA,128)*100</f>
        <v>0.33</v>
      </c>
      <c r="F9" s="49">
        <f>VLOOKUP($A9,'Data shares'!$C:$FA,129)</f>
        <v>39750</v>
      </c>
      <c r="G9" s="17"/>
    </row>
    <row r="10" spans="1:7" x14ac:dyDescent="0.25">
      <c r="A10" s="101" t="s">
        <v>243</v>
      </c>
      <c r="B10" s="17">
        <v>80699820</v>
      </c>
      <c r="C10" s="17">
        <v>65367500</v>
      </c>
      <c r="D10" s="17">
        <f t="shared" si="0"/>
        <v>65367500</v>
      </c>
      <c r="E10" s="49">
        <f>VLOOKUP($A10,'Data shares'!$C:$FA,128)*100</f>
        <v>1.08</v>
      </c>
      <c r="F10" s="49">
        <f>VLOOKUP($A10,'Data shares'!$C:$FA,129)</f>
        <v>130000</v>
      </c>
      <c r="G10" s="17"/>
    </row>
    <row r="11" spans="1:7" x14ac:dyDescent="0.25">
      <c r="A11" s="101" t="s">
        <v>231</v>
      </c>
      <c r="B11" s="17">
        <v>80556813</v>
      </c>
      <c r="C11" s="17">
        <v>62967200</v>
      </c>
      <c r="D11" s="17">
        <f t="shared" si="0"/>
        <v>62967200</v>
      </c>
      <c r="E11" s="49">
        <f>VLOOKUP($A11,'Data shares'!$C:$FA,128)*100</f>
        <v>2.4500000000000002</v>
      </c>
      <c r="F11" s="49">
        <f>VLOOKUP($A11,'Data shares'!$C:$FA,129)</f>
        <v>999000</v>
      </c>
      <c r="G11" s="17"/>
    </row>
    <row r="12" spans="1:7" x14ac:dyDescent="0.25">
      <c r="A12" s="101" t="s">
        <v>195</v>
      </c>
      <c r="B12" s="17">
        <v>23823080</v>
      </c>
      <c r="C12" s="17">
        <v>2862400</v>
      </c>
      <c r="D12" s="17">
        <f t="shared" si="0"/>
        <v>2862400</v>
      </c>
      <c r="E12" s="49">
        <f>VLOOKUP($A12,'Data shares'!$C:$FA,128)*100</f>
        <v>0.36</v>
      </c>
      <c r="F12" s="49">
        <f>VLOOKUP($A12,'Data shares'!$C:$FA,129)</f>
        <v>10250</v>
      </c>
      <c r="G12" s="17"/>
    </row>
    <row r="13" spans="1:7" x14ac:dyDescent="0.25">
      <c r="A13" s="101" t="s">
        <v>304</v>
      </c>
      <c r="B13" s="17">
        <v>223492679</v>
      </c>
      <c r="C13" s="17">
        <v>98465300</v>
      </c>
      <c r="D13" s="17">
        <f t="shared" si="0"/>
        <v>98465300</v>
      </c>
      <c r="E13" s="49">
        <f>VLOOKUP($A13,'Data shares'!$C:$FA,128)*100</f>
        <v>2.2999999999999998</v>
      </c>
      <c r="F13" s="49">
        <f>VLOOKUP($A13,'Data shares'!$C:$FA,129)</f>
        <v>1966500</v>
      </c>
      <c r="G13" s="17"/>
    </row>
    <row r="14" spans="1:7" x14ac:dyDescent="0.25">
      <c r="A14" s="101" t="s">
        <v>167</v>
      </c>
      <c r="B14" s="17">
        <v>282181803</v>
      </c>
      <c r="C14" s="17">
        <v>95526000</v>
      </c>
      <c r="D14" s="17">
        <f t="shared" si="0"/>
        <v>95526000</v>
      </c>
      <c r="E14" s="49">
        <f>VLOOKUP($A14,'Data shares'!$C:$FA,128)*100</f>
        <v>1.77</v>
      </c>
      <c r="F14" s="49">
        <f>VLOOKUP($A14,'Data shares'!$C:$FA,129)</f>
        <v>2455000</v>
      </c>
      <c r="G14" s="17"/>
    </row>
    <row r="15" spans="1:7" x14ac:dyDescent="0.25">
      <c r="A15" s="101" t="s">
        <v>222</v>
      </c>
      <c r="B15" s="17">
        <v>214194964</v>
      </c>
      <c r="C15" s="17">
        <v>37437400</v>
      </c>
      <c r="D15" s="17">
        <f t="shared" si="0"/>
        <v>37437400</v>
      </c>
      <c r="E15" s="49">
        <f>VLOOKUP($A15,'Data shares'!$C:$FA,128)*100</f>
        <v>1.34</v>
      </c>
      <c r="F15" s="49">
        <f>VLOOKUP($A15,'Data shares'!$C:$FA,129)</f>
        <v>193200</v>
      </c>
      <c r="G15" s="17"/>
    </row>
    <row r="16" spans="1:7" x14ac:dyDescent="0.25">
      <c r="A16" s="101" t="s">
        <v>290</v>
      </c>
      <c r="B16" s="17">
        <v>31601465</v>
      </c>
      <c r="C16" s="17">
        <v>13192000</v>
      </c>
      <c r="D16" s="17">
        <f t="shared" si="0"/>
        <v>13192000</v>
      </c>
      <c r="E16" s="49">
        <f>VLOOKUP($A16,'Data shares'!$C:$FA,128)*100</f>
        <v>1.1100000000000001</v>
      </c>
      <c r="F16" s="49">
        <f>VLOOKUP($A16,'Data shares'!$C:$FA,129)</f>
        <v>84000</v>
      </c>
      <c r="G16" s="17"/>
    </row>
    <row r="17" spans="1:7" x14ac:dyDescent="0.25">
      <c r="A17" s="101" t="s">
        <v>500</v>
      </c>
      <c r="B17" s="17">
        <v>24930381</v>
      </c>
      <c r="C17" s="17">
        <v>1925625</v>
      </c>
      <c r="D17" s="17">
        <f t="shared" si="0"/>
        <v>1925625</v>
      </c>
      <c r="E17" s="49">
        <f>VLOOKUP($A17,'Data shares'!$C:$FA,128)*100</f>
        <v>6.1400000000000006</v>
      </c>
      <c r="F17" s="49">
        <f>VLOOKUP($A17,'Data shares'!$C:$FA,129)</f>
        <v>2180000</v>
      </c>
      <c r="G17" s="17"/>
    </row>
    <row r="18" spans="1:7" x14ac:dyDescent="0.25">
      <c r="A18" s="101" t="s">
        <v>491</v>
      </c>
      <c r="B18" s="17">
        <v>53841317</v>
      </c>
      <c r="C18" s="17">
        <v>9268750</v>
      </c>
      <c r="D18" s="17">
        <f t="shared" si="0"/>
        <v>9268750</v>
      </c>
      <c r="E18" s="49">
        <f>VLOOKUP($A18,'Data shares'!$C:$FA,128)*100</f>
        <v>0.3</v>
      </c>
      <c r="F18" s="49">
        <f>VLOOKUP($A18,'Data shares'!$C:$FA,129)</f>
        <v>36500</v>
      </c>
      <c r="G18" s="17"/>
    </row>
    <row r="19" spans="1:7" x14ac:dyDescent="0.25">
      <c r="A19" s="101" t="s">
        <v>257</v>
      </c>
      <c r="B19" s="17">
        <v>43771086</v>
      </c>
      <c r="C19" s="17">
        <v>2865850</v>
      </c>
      <c r="D19" s="17">
        <f t="shared" si="0"/>
        <v>2865850</v>
      </c>
      <c r="E19" s="49">
        <f>VLOOKUP($A19,'Data shares'!$C:$FA,128)*100</f>
        <v>0.19</v>
      </c>
      <c r="F19" s="49">
        <f>VLOOKUP($A19,'Data shares'!$C:$FA,129)</f>
        <v>16800</v>
      </c>
      <c r="G19" s="17"/>
    </row>
    <row r="20" spans="1:7" x14ac:dyDescent="0.25">
      <c r="A20" s="101" t="s">
        <v>259</v>
      </c>
      <c r="B20" s="17">
        <v>12838406</v>
      </c>
      <c r="C20" s="17">
        <v>3561800</v>
      </c>
      <c r="D20" s="17">
        <f t="shared" si="0"/>
        <v>3561800</v>
      </c>
      <c r="E20" s="49">
        <f>VLOOKUP($A20,'Data shares'!$C:$FA,128)*100</f>
        <v>2.93</v>
      </c>
      <c r="F20" s="49">
        <f>VLOOKUP($A20,'Data shares'!$C:$FA,129)</f>
        <v>56640</v>
      </c>
      <c r="G20" s="17"/>
    </row>
    <row r="21" spans="1:7" x14ac:dyDescent="0.25">
      <c r="A21" s="101" t="s">
        <v>212</v>
      </c>
      <c r="B21" s="17">
        <v>393764205</v>
      </c>
      <c r="C21" s="17">
        <v>124730000</v>
      </c>
      <c r="D21" s="17">
        <f t="shared" si="0"/>
        <v>124730000</v>
      </c>
      <c r="E21" s="49">
        <f>VLOOKUP($A21,'Data shares'!$C:$FA,128)*100</f>
        <v>3.71</v>
      </c>
      <c r="F21" s="49">
        <f>VLOOKUP($A21,'Data shares'!$C:$FA,129)</f>
        <v>1895000</v>
      </c>
      <c r="G21" s="17"/>
    </row>
    <row r="22" spans="1:7" x14ac:dyDescent="0.25">
      <c r="A22" s="101" t="s">
        <v>209</v>
      </c>
      <c r="B22" s="17">
        <v>27768950</v>
      </c>
      <c r="C22" s="17">
        <v>5371100</v>
      </c>
      <c r="D22" s="17">
        <f t="shared" si="0"/>
        <v>5371100</v>
      </c>
      <c r="E22" s="49">
        <f>VLOOKUP($A22,'Data shares'!$C:$FA,128)*100</f>
        <v>1.7000000000000002</v>
      </c>
      <c r="F22" s="49">
        <f>VLOOKUP($A22,'Data shares'!$C:$FA,129)</f>
        <v>40000</v>
      </c>
      <c r="G22" s="17"/>
    </row>
    <row r="23" spans="1:7" x14ac:dyDescent="0.25">
      <c r="A23" s="101" t="s">
        <v>501</v>
      </c>
      <c r="B23" s="17">
        <v>155792872</v>
      </c>
      <c r="C23" s="17">
        <v>50166406</v>
      </c>
      <c r="D23" s="17">
        <f t="shared" si="0"/>
        <v>50166406</v>
      </c>
      <c r="E23" s="49">
        <f>VLOOKUP($A23,'Data shares'!$C:$FA,128)*100</f>
        <v>1.7999999999999998</v>
      </c>
      <c r="F23" s="49">
        <f>VLOOKUP($A23,'Data shares'!$C:$FA,129)</f>
        <v>467000</v>
      </c>
      <c r="G23" s="17"/>
    </row>
    <row r="24" spans="1:7" x14ac:dyDescent="0.25">
      <c r="A24" s="101" t="s">
        <v>276</v>
      </c>
      <c r="B24" s="17">
        <v>678857930</v>
      </c>
      <c r="C24" s="17">
        <v>84677374</v>
      </c>
      <c r="D24" s="17">
        <f t="shared" si="0"/>
        <v>84677374</v>
      </c>
      <c r="E24" s="49">
        <f>VLOOKUP($A24,'Data shares'!$C:$FA,128)*100</f>
        <v>8.86</v>
      </c>
      <c r="F24" s="49">
        <f>VLOOKUP($A24,'Data shares'!$C:$FA,129)</f>
        <v>8078800</v>
      </c>
      <c r="G24" s="17"/>
    </row>
    <row r="25" spans="1:7" x14ac:dyDescent="0.25">
      <c r="A25" s="101" t="s">
        <v>210</v>
      </c>
      <c r="B25" s="17">
        <v>14114257</v>
      </c>
      <c r="C25" s="17">
        <v>11000000</v>
      </c>
      <c r="D25" s="17">
        <f t="shared" si="0"/>
        <v>11000000</v>
      </c>
      <c r="E25" s="49">
        <f>VLOOKUP($A25,'Data shares'!$C:$FA,128)*100</f>
        <v>1.7000000000000002</v>
      </c>
      <c r="F25" s="49">
        <f>VLOOKUP($A25,'Data shares'!$C:$FA,129)</f>
        <v>40000</v>
      </c>
      <c r="G25" s="17"/>
    </row>
    <row r="26" spans="1:7" x14ac:dyDescent="0.25">
      <c r="A26" s="101" t="s">
        <v>267</v>
      </c>
      <c r="B26" s="17">
        <v>229794455</v>
      </c>
      <c r="C26" s="17">
        <v>133289800</v>
      </c>
      <c r="D26" s="17">
        <f t="shared" si="0"/>
        <v>133289800</v>
      </c>
      <c r="E26" s="49">
        <f>VLOOKUP($A26,'Data shares'!$C:$FA,128)*100</f>
        <v>2.5700000000000003</v>
      </c>
      <c r="F26" s="49">
        <f>VLOOKUP($A26,'Data shares'!$C:$FA,129)</f>
        <v>8174250</v>
      </c>
      <c r="G26" s="17"/>
    </row>
    <row r="27" spans="1:7" x14ac:dyDescent="0.25">
      <c r="A27" s="101" t="s">
        <v>533</v>
      </c>
      <c r="B27" s="17">
        <v>61337685</v>
      </c>
      <c r="C27" s="17">
        <v>24741600</v>
      </c>
      <c r="D27" s="17">
        <f t="shared" si="0"/>
        <v>24741600</v>
      </c>
      <c r="E27" s="49">
        <f>VLOOKUP($A27,'Data shares'!$C:$FA,128)*100</f>
        <v>1.1599999999999999</v>
      </c>
      <c r="F27" s="49">
        <f>VLOOKUP($A27,'Data shares'!$C:$FA,129)</f>
        <v>122450</v>
      </c>
      <c r="G27" s="17"/>
    </row>
    <row r="28" spans="1:7" x14ac:dyDescent="0.25">
      <c r="A28" s="101" t="s">
        <v>502</v>
      </c>
      <c r="B28" s="17">
        <v>5165920</v>
      </c>
      <c r="C28" s="17">
        <v>1179400</v>
      </c>
      <c r="D28" s="17">
        <f t="shared" si="0"/>
        <v>1179400</v>
      </c>
      <c r="E28" s="49">
        <f>VLOOKUP($A28,'Data shares'!$C:$FA,128)*100</f>
        <v>3.37</v>
      </c>
      <c r="F28" s="49">
        <f>VLOOKUP($A28,'Data shares'!$C:$FA,129)</f>
        <v>95625</v>
      </c>
      <c r="G28" s="17"/>
    </row>
    <row r="29" spans="1:7" x14ac:dyDescent="0.25">
      <c r="A29" s="101" t="s">
        <v>474</v>
      </c>
      <c r="B29" s="17">
        <v>7339737</v>
      </c>
      <c r="C29" s="17">
        <v>979625</v>
      </c>
      <c r="D29" s="17">
        <f t="shared" si="0"/>
        <v>979625</v>
      </c>
      <c r="E29" s="49">
        <f>VLOOKUP($A29,'Data shares'!$C:$FA,128)*100</f>
        <v>4.16</v>
      </c>
      <c r="F29" s="49">
        <f>VLOOKUP($A29,'Data shares'!$C:$FA,129)</f>
        <v>116450</v>
      </c>
      <c r="G29" s="17"/>
    </row>
    <row r="30" spans="1:7" x14ac:dyDescent="0.25">
      <c r="A30" s="101" t="s">
        <v>158</v>
      </c>
      <c r="B30" s="17">
        <v>17078428</v>
      </c>
      <c r="C30" s="17">
        <v>3648750</v>
      </c>
      <c r="D30" s="17">
        <f t="shared" si="0"/>
        <v>3648750</v>
      </c>
      <c r="E30" s="49">
        <f>VLOOKUP($A30,'Data shares'!$C:$FA,128)*100</f>
        <v>1.22</v>
      </c>
      <c r="F30" s="49">
        <f>VLOOKUP($A30,'Data shares'!$C:$FA,129)</f>
        <v>911400</v>
      </c>
      <c r="G30" s="17"/>
    </row>
    <row r="31" spans="1:7" x14ac:dyDescent="0.25">
      <c r="A31" s="101" t="s">
        <v>268</v>
      </c>
      <c r="B31" s="17">
        <v>948263976</v>
      </c>
      <c r="C31" s="17">
        <v>170042400</v>
      </c>
      <c r="D31" s="17">
        <f t="shared" si="0"/>
        <v>170042400</v>
      </c>
      <c r="E31" s="49">
        <f>VLOOKUP($A31,'Data shares'!$C:$FA,128)*100</f>
        <v>8.1199999999999992</v>
      </c>
      <c r="F31" s="49">
        <f>VLOOKUP($A31,'Data shares'!$C:$FA,129)</f>
        <v>5991000</v>
      </c>
      <c r="G31" s="17"/>
    </row>
    <row r="32" spans="1:7" x14ac:dyDescent="0.25">
      <c r="A32" s="101" t="s">
        <v>557</v>
      </c>
      <c r="B32" s="17">
        <v>51441633</v>
      </c>
      <c r="C32" s="17">
        <v>26329600</v>
      </c>
      <c r="D32" s="17">
        <f t="shared" si="0"/>
        <v>26329600</v>
      </c>
      <c r="E32" s="49">
        <f>VLOOKUP($A32,'Data shares'!$C:$FA,128)*100</f>
        <v>2.5100000000000002</v>
      </c>
      <c r="F32" s="49">
        <f>VLOOKUP($A32,'Data shares'!$C:$FA,129)</f>
        <v>252000</v>
      </c>
      <c r="G32" s="17"/>
    </row>
    <row r="33" spans="1:7" x14ac:dyDescent="0.25">
      <c r="A33" s="101" t="s">
        <v>549</v>
      </c>
      <c r="B33" s="17">
        <v>319287188</v>
      </c>
      <c r="C33" s="17">
        <v>149780000</v>
      </c>
      <c r="D33" s="17">
        <f t="shared" si="0"/>
        <v>149780000</v>
      </c>
      <c r="E33" s="49">
        <f>VLOOKUP($A33,'Data shares'!$C:$FA,128)*100</f>
        <v>5.08</v>
      </c>
      <c r="F33" s="49">
        <f>VLOOKUP($A33,'Data shares'!$C:$FA,129)</f>
        <v>335861025</v>
      </c>
      <c r="G33" s="17"/>
    </row>
    <row r="34" spans="1:7" x14ac:dyDescent="0.25">
      <c r="A34" s="101" t="s">
        <v>536</v>
      </c>
      <c r="B34" s="17">
        <v>57585215</v>
      </c>
      <c r="C34" s="17">
        <v>5314000</v>
      </c>
      <c r="D34" s="17">
        <f t="shared" si="0"/>
        <v>5314000</v>
      </c>
      <c r="E34" s="49">
        <f>VLOOKUP($A34,'Data shares'!$C:$FA,128)*100</f>
        <v>2.73</v>
      </c>
      <c r="F34" s="49">
        <f>VLOOKUP($A34,'Data shares'!$C:$FA,129)</f>
        <v>389600</v>
      </c>
      <c r="G34" s="17"/>
    </row>
    <row r="35" spans="1:7" x14ac:dyDescent="0.25">
      <c r="A35" s="101" t="s">
        <v>270</v>
      </c>
      <c r="B35" s="17">
        <v>1178038</v>
      </c>
      <c r="C35" s="17">
        <v>100890</v>
      </c>
      <c r="D35" s="17">
        <f t="shared" si="0"/>
        <v>100890</v>
      </c>
      <c r="E35" s="49">
        <f>VLOOKUP($A35,'Data shares'!$C:$FA,128)*100</f>
        <v>3.8600000000000003</v>
      </c>
      <c r="F35" s="49">
        <f>VLOOKUP($A35,'Data shares'!$C:$FA,129)</f>
        <v>8580</v>
      </c>
      <c r="G35" s="17"/>
    </row>
    <row r="36" spans="1:7" x14ac:dyDescent="0.25">
      <c r="A36" s="101" t="s">
        <v>258</v>
      </c>
      <c r="B36" s="17">
        <v>13335005</v>
      </c>
      <c r="C36" s="17">
        <v>5970600</v>
      </c>
      <c r="D36" s="17">
        <f t="shared" si="0"/>
        <v>5970600</v>
      </c>
      <c r="E36" s="49">
        <f>VLOOKUP($A36,'Data shares'!$C:$FA,128)*100</f>
        <v>0.19</v>
      </c>
      <c r="F36" s="49">
        <f>VLOOKUP($A36,'Data shares'!$C:$FA,129)</f>
        <v>16800</v>
      </c>
      <c r="G36" s="17"/>
    </row>
    <row r="37" spans="1:7" x14ac:dyDescent="0.25">
      <c r="A37" s="101" t="s">
        <v>301</v>
      </c>
      <c r="B37" s="17">
        <v>14428803</v>
      </c>
      <c r="C37" s="17">
        <v>2171400</v>
      </c>
      <c r="D37" s="17">
        <f t="shared" si="0"/>
        <v>2171400</v>
      </c>
      <c r="E37" s="49">
        <f>VLOOKUP($A37,'Data shares'!$C:$FA,128)*100</f>
        <v>0.85000000000000009</v>
      </c>
      <c r="F37" s="49">
        <f>VLOOKUP($A37,'Data shares'!$C:$FA,129)</f>
        <v>62650</v>
      </c>
      <c r="G37" s="17"/>
    </row>
    <row r="38" spans="1:7" x14ac:dyDescent="0.25">
      <c r="A38" s="101" t="s">
        <v>283</v>
      </c>
      <c r="B38" s="17">
        <v>747713393</v>
      </c>
      <c r="C38" s="17">
        <v>158166000</v>
      </c>
      <c r="D38" s="17">
        <f t="shared" si="0"/>
        <v>158166000</v>
      </c>
      <c r="E38" s="49">
        <f>VLOOKUP($A38,'Data shares'!$C:$FA,128)*100</f>
        <v>1.82</v>
      </c>
      <c r="F38" s="49">
        <f>VLOOKUP($A38,'Data shares'!$C:$FA,129)</f>
        <v>1264500</v>
      </c>
      <c r="G38" s="17"/>
    </row>
    <row r="39" spans="1:7" x14ac:dyDescent="0.25">
      <c r="A39" s="101" t="s">
        <v>281</v>
      </c>
      <c r="B39" s="17">
        <v>648405756</v>
      </c>
      <c r="C39" s="17">
        <v>61815500</v>
      </c>
      <c r="D39" s="17">
        <f t="shared" si="0"/>
        <v>61815500</v>
      </c>
      <c r="E39" s="49">
        <f>VLOOKUP($A39,'Data shares'!$C:$FA,128)*100</f>
        <v>1.9300000000000002</v>
      </c>
      <c r="F39" s="49">
        <f>VLOOKUP($A39,'Data shares'!$C:$FA,129)</f>
        <v>1787500</v>
      </c>
      <c r="G39" s="17"/>
    </row>
    <row r="40" spans="1:7" x14ac:dyDescent="0.25">
      <c r="A40" s="101" t="s">
        <v>198</v>
      </c>
      <c r="B40" s="17">
        <v>79546680</v>
      </c>
      <c r="C40" s="17">
        <v>13283750</v>
      </c>
      <c r="D40" s="17">
        <f t="shared" si="0"/>
        <v>13283750</v>
      </c>
      <c r="E40" s="49">
        <f>VLOOKUP($A40,'Data shares'!$C:$FA,128)*100</f>
        <v>1.28</v>
      </c>
      <c r="F40" s="49">
        <f>VLOOKUP($A40,'Data shares'!$C:$FA,129)</f>
        <v>141250</v>
      </c>
      <c r="G40" s="17"/>
    </row>
    <row r="41" spans="1:7" x14ac:dyDescent="0.25">
      <c r="A41" s="101" t="s">
        <v>299</v>
      </c>
      <c r="B41" s="17">
        <v>44634693</v>
      </c>
      <c r="C41" s="17">
        <v>3805500</v>
      </c>
      <c r="D41" s="17">
        <f t="shared" si="0"/>
        <v>3805500</v>
      </c>
      <c r="E41" s="49">
        <f>VLOOKUP($A41,'Data shares'!$C:$FA,128)*100</f>
        <v>2.62</v>
      </c>
      <c r="F41" s="49">
        <f>VLOOKUP($A41,'Data shares'!$C:$FA,129)</f>
        <v>67150</v>
      </c>
      <c r="G41" s="17"/>
    </row>
    <row r="42" spans="1:7" x14ac:dyDescent="0.25">
      <c r="A42" s="101" t="s">
        <v>273</v>
      </c>
      <c r="B42" s="17">
        <v>232357926</v>
      </c>
      <c r="C42" s="17">
        <v>67053000</v>
      </c>
      <c r="D42" s="17">
        <f t="shared" si="0"/>
        <v>67053000</v>
      </c>
      <c r="E42" s="49">
        <f>VLOOKUP($A42,'Data shares'!$C:$FA,128)*100</f>
        <v>5.01</v>
      </c>
      <c r="F42" s="49">
        <f>VLOOKUP($A42,'Data shares'!$C:$FA,129)</f>
        <v>3992300</v>
      </c>
      <c r="G42" s="17"/>
    </row>
    <row r="43" spans="1:7" x14ac:dyDescent="0.25">
      <c r="A43" s="101" t="s">
        <v>207</v>
      </c>
      <c r="B43" s="17">
        <v>124016568</v>
      </c>
      <c r="C43" s="17">
        <v>57530550</v>
      </c>
      <c r="D43" s="17">
        <f t="shared" si="0"/>
        <v>57530550</v>
      </c>
      <c r="E43" s="49">
        <f>VLOOKUP($A43,'Data shares'!$C:$FA,128)*100</f>
        <v>2.0099999999999998</v>
      </c>
      <c r="F43" s="49">
        <f>VLOOKUP($A43,'Data shares'!$C:$FA,129)</f>
        <v>948750</v>
      </c>
      <c r="G43" s="17"/>
    </row>
    <row r="44" spans="1:7" x14ac:dyDescent="0.25">
      <c r="A44" s="101" t="s">
        <v>191</v>
      </c>
      <c r="B44" s="17">
        <v>92946457</v>
      </c>
      <c r="C44" s="17">
        <v>36478000</v>
      </c>
      <c r="D44" s="17">
        <f t="shared" si="0"/>
        <v>36478000</v>
      </c>
      <c r="E44" s="49">
        <f>VLOOKUP($A44,'Data shares'!$C:$FA,128)*100</f>
        <v>1.58</v>
      </c>
      <c r="F44" s="49">
        <f>VLOOKUP($A44,'Data shares'!$C:$FA,129)</f>
        <v>557500</v>
      </c>
      <c r="G44" s="17"/>
    </row>
    <row r="45" spans="1:7" x14ac:dyDescent="0.25">
      <c r="A45" s="101" t="s">
        <v>288</v>
      </c>
      <c r="B45" s="17">
        <v>218440087</v>
      </c>
      <c r="C45" s="17">
        <v>44080400</v>
      </c>
      <c r="D45" s="17">
        <f t="shared" si="0"/>
        <v>44080400</v>
      </c>
      <c r="E45" s="49">
        <f>VLOOKUP($A45,'Data shares'!$C:$FA,128)*100</f>
        <v>0.96</v>
      </c>
      <c r="F45" s="49">
        <f>VLOOKUP($A45,'Data shares'!$C:$FA,129)</f>
        <v>145950</v>
      </c>
      <c r="G45" s="17"/>
    </row>
    <row r="46" spans="1:7" x14ac:dyDescent="0.25">
      <c r="A46" s="101" t="s">
        <v>275</v>
      </c>
      <c r="B46" s="17">
        <v>591377974</v>
      </c>
      <c r="C46" s="17">
        <v>493488000</v>
      </c>
      <c r="D46" s="17">
        <f t="shared" si="0"/>
        <v>493488000</v>
      </c>
      <c r="E46" s="49">
        <f>VLOOKUP($A46,'Data shares'!$C:$FA,128)*100</f>
        <v>2.78</v>
      </c>
      <c r="F46" s="49">
        <f>VLOOKUP($A46,'Data shares'!$C:$FA,129)</f>
        <v>6608000</v>
      </c>
      <c r="G46" s="17"/>
    </row>
    <row r="47" spans="1:7" x14ac:dyDescent="0.25">
      <c r="A47" s="101" t="s">
        <v>277</v>
      </c>
      <c r="B47" s="17">
        <v>10116165</v>
      </c>
      <c r="C47" s="17">
        <v>7378910</v>
      </c>
      <c r="D47" s="17">
        <f t="shared" si="0"/>
        <v>7378910</v>
      </c>
      <c r="E47" s="49">
        <f>VLOOKUP($A47,'Data shares'!$C:$FA,128)*100</f>
        <v>0.77999999999999992</v>
      </c>
      <c r="F47" s="49">
        <f>VLOOKUP($A47,'Data shares'!$C:$FA,129)</f>
        <v>27450</v>
      </c>
      <c r="G47" s="17"/>
    </row>
    <row r="48" spans="1:7" x14ac:dyDescent="0.25">
      <c r="A48" s="101" t="s">
        <v>196</v>
      </c>
      <c r="B48" s="17">
        <v>134484114</v>
      </c>
      <c r="C48" s="17">
        <v>73278000</v>
      </c>
      <c r="D48" s="17">
        <f t="shared" si="0"/>
        <v>73278000</v>
      </c>
      <c r="E48" s="49">
        <f>VLOOKUP($A48,'Data shares'!$C:$FA,128)*100</f>
        <v>4.0599999999999996</v>
      </c>
      <c r="F48" s="49">
        <f>VLOOKUP($A48,'Data shares'!$C:$FA,129)</f>
        <v>4799250</v>
      </c>
      <c r="G48" s="17"/>
    </row>
    <row r="49" spans="1:7" x14ac:dyDescent="0.25">
      <c r="A49" s="101" t="s">
        <v>287</v>
      </c>
      <c r="B49" s="17">
        <v>40005132</v>
      </c>
      <c r="C49" s="17">
        <v>6264400</v>
      </c>
      <c r="D49" s="17">
        <f t="shared" si="0"/>
        <v>6264400</v>
      </c>
      <c r="E49" s="49">
        <f>VLOOKUP($A49,'Data shares'!$C:$FA,128)*100</f>
        <v>1.24</v>
      </c>
      <c r="F49" s="49">
        <f>VLOOKUP($A49,'Data shares'!$C:$FA,129)</f>
        <v>43200</v>
      </c>
      <c r="G49" s="17"/>
    </row>
    <row r="50" spans="1:7" x14ac:dyDescent="0.25">
      <c r="A50" s="101" t="s">
        <v>553</v>
      </c>
      <c r="B50" s="17">
        <v>10595418</v>
      </c>
      <c r="C50" s="17">
        <v>250250</v>
      </c>
      <c r="D50" s="17">
        <f t="shared" si="0"/>
        <v>250250</v>
      </c>
      <c r="E50" s="49">
        <f>VLOOKUP($A50,'Data shares'!$C:$FA,128)*100</f>
        <v>2.67</v>
      </c>
      <c r="F50" s="49">
        <f>VLOOKUP($A50,'Data shares'!$C:$FA,129)</f>
        <v>60250</v>
      </c>
      <c r="G50" s="17"/>
    </row>
    <row r="51" spans="1:7" x14ac:dyDescent="0.25">
      <c r="A51" s="101" t="s">
        <v>519</v>
      </c>
      <c r="B51" s="17">
        <v>9516271</v>
      </c>
      <c r="C51" s="17">
        <v>1000800</v>
      </c>
      <c r="D51" s="17">
        <f t="shared" si="0"/>
        <v>1000800</v>
      </c>
      <c r="E51" s="49">
        <f>VLOOKUP($A51,'Data shares'!$C:$FA,128)*100</f>
        <v>1.1499999999999999</v>
      </c>
      <c r="F51" s="49">
        <f>VLOOKUP($A51,'Data shares'!$C:$FA,129)</f>
        <v>28125</v>
      </c>
      <c r="G51" s="17"/>
    </row>
    <row r="52" spans="1:7" x14ac:dyDescent="0.25">
      <c r="A52" s="101" t="s">
        <v>550</v>
      </c>
      <c r="B52" s="17">
        <v>137684181</v>
      </c>
      <c r="C52" s="17">
        <v>42696000</v>
      </c>
      <c r="D52" s="17">
        <f t="shared" si="0"/>
        <v>42696000</v>
      </c>
      <c r="E52" s="49">
        <f>VLOOKUP($A52,'Data shares'!$C:$FA,128)*100</f>
        <v>1.8900000000000001</v>
      </c>
      <c r="F52" s="49">
        <f>VLOOKUP($A52,'Data shares'!$C:$FA,129)</f>
        <v>1677000</v>
      </c>
      <c r="G52" s="17"/>
    </row>
    <row r="53" spans="1:7" x14ac:dyDescent="0.25">
      <c r="A53" s="101" t="s">
        <v>284</v>
      </c>
      <c r="B53" s="17">
        <v>2702190</v>
      </c>
      <c r="C53" s="17">
        <v>250575</v>
      </c>
      <c r="D53" s="17">
        <f t="shared" si="0"/>
        <v>250575</v>
      </c>
      <c r="E53" s="49">
        <f>VLOOKUP($A53,'Data shares'!$C:$FA,128)*100</f>
        <v>1.23</v>
      </c>
      <c r="F53" s="49">
        <f>VLOOKUP($A53,'Data shares'!$C:$FA,129)</f>
        <v>3300</v>
      </c>
      <c r="G53" s="17"/>
    </row>
    <row r="54" spans="1:7" x14ac:dyDescent="0.25">
      <c r="A54" s="101" t="s">
        <v>488</v>
      </c>
      <c r="B54" s="17">
        <v>5499709</v>
      </c>
      <c r="C54" s="17">
        <v>1097600</v>
      </c>
      <c r="D54" s="17">
        <f t="shared" si="0"/>
        <v>1097600</v>
      </c>
      <c r="E54" s="49">
        <f>VLOOKUP($A54,'Data shares'!$C:$FA,128)*100</f>
        <v>1.02</v>
      </c>
      <c r="F54" s="49">
        <f>VLOOKUP($A54,'Data shares'!$C:$FA,129)</f>
        <v>15900</v>
      </c>
      <c r="G54" s="17"/>
    </row>
    <row r="55" spans="1:7" x14ac:dyDescent="0.25">
      <c r="A55" s="101" t="s">
        <v>523</v>
      </c>
      <c r="B55" s="17">
        <v>118085392</v>
      </c>
      <c r="C55" s="17">
        <v>6549400</v>
      </c>
      <c r="D55" s="17">
        <f t="shared" si="0"/>
        <v>6549400</v>
      </c>
      <c r="E55" s="49">
        <f>VLOOKUP($A55,'Data shares'!$C:$FA,128)*100</f>
        <v>4.5600000000000005</v>
      </c>
      <c r="F55" s="49">
        <f>VLOOKUP($A55,'Data shares'!$C:$FA,129)</f>
        <v>2390400</v>
      </c>
      <c r="G55" s="17"/>
    </row>
    <row r="56" spans="1:7" x14ac:dyDescent="0.25">
      <c r="A56" s="101" t="s">
        <v>485</v>
      </c>
      <c r="B56" s="17">
        <v>6917069</v>
      </c>
      <c r="C56" s="17">
        <v>762075</v>
      </c>
      <c r="D56" s="17">
        <f t="shared" si="0"/>
        <v>762075</v>
      </c>
      <c r="E56" s="49">
        <f>VLOOKUP($A56,'Data shares'!$C:$FA,128)*100</f>
        <v>0.67999999999999994</v>
      </c>
      <c r="F56" s="49">
        <f>VLOOKUP($A56,'Data shares'!$C:$FA,129)</f>
        <v>53250</v>
      </c>
      <c r="G56" s="17"/>
    </row>
    <row r="57" spans="1:7" x14ac:dyDescent="0.25">
      <c r="A57" s="101" t="s">
        <v>178</v>
      </c>
      <c r="B57" s="17">
        <v>16125398</v>
      </c>
      <c r="C57" s="17">
        <v>1552600</v>
      </c>
      <c r="D57" s="17">
        <f t="shared" si="0"/>
        <v>1552600</v>
      </c>
      <c r="E57" s="49">
        <f>VLOOKUP($A57,'Data shares'!$C:$FA,128)*100</f>
        <v>1.6099999999999999</v>
      </c>
      <c r="F57" s="49">
        <f>VLOOKUP($A57,'Data shares'!$C:$FA,129)</f>
        <v>1325250</v>
      </c>
      <c r="G57" s="17"/>
    </row>
    <row r="58" spans="1:7" x14ac:dyDescent="0.25">
      <c r="A58" s="101" t="s">
        <v>240</v>
      </c>
      <c r="B58" s="17">
        <v>727896180</v>
      </c>
      <c r="C58" s="17">
        <v>46526100</v>
      </c>
      <c r="D58" s="17">
        <f t="shared" si="0"/>
        <v>46526100</v>
      </c>
      <c r="E58" s="49">
        <f>VLOOKUP($A58,'Data shares'!$C:$FA,128)*100</f>
        <v>1.1400000000000001</v>
      </c>
      <c r="F58" s="49">
        <f>VLOOKUP($A58,'Data shares'!$C:$FA,129)</f>
        <v>762800</v>
      </c>
      <c r="G58" s="17"/>
    </row>
    <row r="59" spans="1:7" x14ac:dyDescent="0.25">
      <c r="A59" s="101" t="s">
        <v>202</v>
      </c>
      <c r="B59" s="17">
        <v>55081874</v>
      </c>
      <c r="C59" s="17">
        <v>10856000</v>
      </c>
      <c r="D59" s="17">
        <f t="shared" si="0"/>
        <v>10856000</v>
      </c>
      <c r="E59" s="49">
        <f>VLOOKUP($A59,'Data shares'!$C:$FA,128)*100</f>
        <v>6.1400000000000006</v>
      </c>
      <c r="F59" s="49">
        <f>VLOOKUP($A59,'Data shares'!$C:$FA,129)</f>
        <v>2180000</v>
      </c>
      <c r="G59" s="17"/>
    </row>
    <row r="60" spans="1:7" x14ac:dyDescent="0.25">
      <c r="A60" s="101" t="s">
        <v>245</v>
      </c>
      <c r="B60" s="17">
        <v>15273675</v>
      </c>
      <c r="C60" s="17">
        <v>5077125</v>
      </c>
      <c r="D60" s="17">
        <f t="shared" si="0"/>
        <v>5077125</v>
      </c>
      <c r="E60" s="49">
        <f>VLOOKUP($A60,'Data shares'!$C:$FA,128)*100</f>
        <v>4.2700000000000005</v>
      </c>
      <c r="F60" s="49">
        <f>VLOOKUP($A60,'Data shares'!$C:$FA,129)</f>
        <v>1018750</v>
      </c>
      <c r="G60" s="17"/>
    </row>
    <row r="61" spans="1:7" x14ac:dyDescent="0.25">
      <c r="A61" s="101" t="s">
        <v>173</v>
      </c>
      <c r="B61" s="17">
        <v>541823383</v>
      </c>
      <c r="C61" s="17">
        <v>95378400</v>
      </c>
      <c r="D61" s="17">
        <f t="shared" si="0"/>
        <v>95378400</v>
      </c>
      <c r="E61" s="49">
        <f>VLOOKUP($A61,'Data shares'!$C:$FA,128)*100</f>
        <v>0.62</v>
      </c>
      <c r="F61" s="49">
        <f>VLOOKUP($A61,'Data shares'!$C:$FA,129)</f>
        <v>446875</v>
      </c>
      <c r="G61" s="17"/>
    </row>
    <row r="62" spans="1:7" x14ac:dyDescent="0.25">
      <c r="A62" s="101" t="s">
        <v>234</v>
      </c>
      <c r="B62" s="17">
        <v>1606294231</v>
      </c>
      <c r="C62" s="17">
        <v>1302000000</v>
      </c>
      <c r="D62" s="17">
        <f t="shared" si="0"/>
        <v>1302000000</v>
      </c>
      <c r="E62" s="49">
        <f>VLOOKUP($A62,'Data shares'!$C:$FA,128)*100</f>
        <v>5.08</v>
      </c>
      <c r="F62" s="49">
        <f>VLOOKUP($A62,'Data shares'!$C:$FA,129)</f>
        <v>335861025</v>
      </c>
      <c r="G62" s="17"/>
    </row>
    <row r="63" spans="1:7" x14ac:dyDescent="0.25">
      <c r="A63" s="101" t="s">
        <v>235</v>
      </c>
      <c r="B63" s="17">
        <v>789260827</v>
      </c>
      <c r="C63" s="17">
        <v>462303900</v>
      </c>
      <c r="D63" s="17">
        <f t="shared" si="0"/>
        <v>462303900</v>
      </c>
      <c r="E63" s="49">
        <f>VLOOKUP($A63,'Data shares'!$C:$FA,128)*100</f>
        <v>3.55</v>
      </c>
      <c r="F63" s="49">
        <f>VLOOKUP($A63,'Data shares'!$C:$FA,129)</f>
        <v>10777550</v>
      </c>
      <c r="G63" s="17"/>
    </row>
    <row r="64" spans="1:7" x14ac:dyDescent="0.25">
      <c r="A64" s="101" t="s">
        <v>482</v>
      </c>
      <c r="B64" s="17">
        <v>44785930</v>
      </c>
      <c r="C64" s="17">
        <v>4025925</v>
      </c>
      <c r="D64" s="17">
        <f t="shared" si="0"/>
        <v>4025925</v>
      </c>
      <c r="E64" s="49">
        <f>VLOOKUP($A64,'Data shares'!$C:$FA,128)*100</f>
        <v>3.15</v>
      </c>
      <c r="F64" s="49">
        <f>VLOOKUP($A64,'Data shares'!$C:$FA,129)</f>
        <v>260200</v>
      </c>
      <c r="G64" s="17"/>
    </row>
    <row r="65" spans="1:7" x14ac:dyDescent="0.25">
      <c r="A65" s="101" t="s">
        <v>475</v>
      </c>
      <c r="B65" s="17">
        <v>13287700</v>
      </c>
      <c r="C65" s="17">
        <v>3968400</v>
      </c>
      <c r="D65" s="17">
        <f t="shared" si="0"/>
        <v>3968400</v>
      </c>
      <c r="E65" s="49">
        <f>VLOOKUP($A65,'Data shares'!$C:$FA,128)*100</f>
        <v>1.29</v>
      </c>
      <c r="F65" s="49">
        <f>VLOOKUP($A65,'Data shares'!$C:$FA,129)</f>
        <v>74100</v>
      </c>
      <c r="G65" s="17"/>
    </row>
    <row r="66" spans="1:7" x14ac:dyDescent="0.25">
      <c r="A66" s="101" t="s">
        <v>306</v>
      </c>
      <c r="B66" s="17">
        <v>292716179</v>
      </c>
      <c r="C66" s="17">
        <v>57797600</v>
      </c>
      <c r="D66" s="17">
        <f t="shared" si="0"/>
        <v>57797600</v>
      </c>
      <c r="E66" s="49">
        <f>VLOOKUP($A66,'Data shares'!$C:$FA,128)*100</f>
        <v>3.9600000000000004</v>
      </c>
      <c r="F66" s="49">
        <f>VLOOKUP($A66,'Data shares'!$C:$FA,129)</f>
        <v>3759000</v>
      </c>
      <c r="G66" s="17"/>
    </row>
    <row r="67" spans="1:7" x14ac:dyDescent="0.25">
      <c r="A67" s="101" t="s">
        <v>262</v>
      </c>
      <c r="B67" s="17">
        <v>21376133</v>
      </c>
      <c r="C67" s="17">
        <v>5958375</v>
      </c>
      <c r="D67" s="17">
        <f t="shared" si="0"/>
        <v>5958375</v>
      </c>
      <c r="E67" s="49">
        <f>VLOOKUP($A67,'Data shares'!$C:$FA,128)*100</f>
        <v>2.35</v>
      </c>
      <c r="F67" s="49">
        <f>VLOOKUP($A67,'Data shares'!$C:$FA,129)</f>
        <v>80850</v>
      </c>
      <c r="G67" s="17"/>
    </row>
    <row r="68" spans="1:7" x14ac:dyDescent="0.25">
      <c r="A68" s="101" t="s">
        <v>174</v>
      </c>
      <c r="B68" s="17">
        <v>26775498</v>
      </c>
      <c r="C68" s="17">
        <v>3494750</v>
      </c>
      <c r="D68" s="17">
        <f t="shared" si="0"/>
        <v>3494750</v>
      </c>
      <c r="E68" s="49">
        <f>VLOOKUP($A68,'Data shares'!$C:$FA,128)*100</f>
        <v>1.43</v>
      </c>
      <c r="F68" s="49">
        <f>VLOOKUP($A68,'Data shares'!$C:$FA,129)</f>
        <v>39300</v>
      </c>
      <c r="G68" s="17"/>
    </row>
    <row r="69" spans="1:7" x14ac:dyDescent="0.25">
      <c r="A69" s="101" t="s">
        <v>286</v>
      </c>
      <c r="B69" s="17">
        <v>29168705</v>
      </c>
      <c r="C69" s="17">
        <v>6373125</v>
      </c>
      <c r="D69" s="17">
        <f t="shared" si="0"/>
        <v>6373125</v>
      </c>
      <c r="E69" s="49">
        <f>VLOOKUP($A69,'Data shares'!$C:$FA,128)*100</f>
        <v>1.24</v>
      </c>
      <c r="F69" s="49">
        <f>VLOOKUP($A69,'Data shares'!$C:$FA,129)</f>
        <v>43200</v>
      </c>
      <c r="G69" s="17"/>
    </row>
    <row r="70" spans="1:7" x14ac:dyDescent="0.25">
      <c r="A70" s="101" t="s">
        <v>297</v>
      </c>
      <c r="B70" s="17">
        <v>83636848</v>
      </c>
      <c r="C70" s="17">
        <v>13455750</v>
      </c>
      <c r="D70" s="17">
        <f t="shared" si="0"/>
        <v>13455750</v>
      </c>
      <c r="E70" s="49">
        <f>VLOOKUP($A70,'Data shares'!$C:$FA,128)*100</f>
        <v>1.7399999999999998</v>
      </c>
      <c r="F70" s="49">
        <f>VLOOKUP($A70,'Data shares'!$C:$FA,129)</f>
        <v>162400</v>
      </c>
      <c r="G70" s="17"/>
    </row>
    <row r="71" spans="1:7" x14ac:dyDescent="0.25">
      <c r="A71" s="101" t="s">
        <v>302</v>
      </c>
      <c r="B71" s="17">
        <v>23058222</v>
      </c>
      <c r="C71" s="17">
        <v>3980500</v>
      </c>
      <c r="D71" s="17">
        <f t="shared" ref="D71:D134" si="1">C71</f>
        <v>3980500</v>
      </c>
      <c r="E71" s="49">
        <f>VLOOKUP($A71,'Data shares'!$C:$FA,128)*100</f>
        <v>0.91</v>
      </c>
      <c r="F71" s="49">
        <f>VLOOKUP($A71,'Data shares'!$C:$FA,129)</f>
        <v>24750</v>
      </c>
      <c r="G71" s="17"/>
    </row>
    <row r="72" spans="1:7" x14ac:dyDescent="0.25">
      <c r="A72" s="101" t="s">
        <v>307</v>
      </c>
      <c r="B72" s="17">
        <v>184439886</v>
      </c>
      <c r="C72" s="17">
        <v>122460000</v>
      </c>
      <c r="D72" s="17">
        <f t="shared" si="1"/>
        <v>122460000</v>
      </c>
      <c r="E72" s="49">
        <f>VLOOKUP($A72,'Data shares'!$C:$FA,128)*100</f>
        <v>5.07</v>
      </c>
      <c r="F72" s="49">
        <f>VLOOKUP($A72,'Data shares'!$C:$FA,129)</f>
        <v>53523100</v>
      </c>
      <c r="G72" s="17"/>
    </row>
    <row r="73" spans="1:7" x14ac:dyDescent="0.25">
      <c r="A73" s="101" t="s">
        <v>177</v>
      </c>
      <c r="B73" s="17">
        <v>52956314</v>
      </c>
      <c r="C73" s="17">
        <v>7784625</v>
      </c>
      <c r="D73" s="17">
        <f t="shared" si="1"/>
        <v>7784625</v>
      </c>
      <c r="E73" s="49">
        <f>VLOOKUP($A73,'Data shares'!$C:$FA,128)*100</f>
        <v>1.6099999999999999</v>
      </c>
      <c r="F73" s="49">
        <f>VLOOKUP($A73,'Data shares'!$C:$FA,129)</f>
        <v>1325250</v>
      </c>
      <c r="G73" s="17"/>
    </row>
    <row r="74" spans="1:7" x14ac:dyDescent="0.25">
      <c r="A74" s="101" t="s">
        <v>545</v>
      </c>
      <c r="B74" s="17">
        <v>23498849</v>
      </c>
      <c r="C74" s="17">
        <v>15745600</v>
      </c>
      <c r="D74" s="17">
        <f t="shared" si="1"/>
        <v>15745600</v>
      </c>
      <c r="E74" s="49">
        <f>VLOOKUP($A74,'Data shares'!$C:$FA,128)*100</f>
        <v>1.6099999999999999</v>
      </c>
      <c r="F74" s="49">
        <f>VLOOKUP($A74,'Data shares'!$C:$FA,129)</f>
        <v>1325250</v>
      </c>
      <c r="G74" s="17"/>
    </row>
    <row r="75" spans="1:7" x14ac:dyDescent="0.25">
      <c r="A75" s="101" t="s">
        <v>185</v>
      </c>
      <c r="B75" s="17">
        <v>238123793</v>
      </c>
      <c r="C75" s="17">
        <v>59926000</v>
      </c>
      <c r="D75" s="17">
        <f t="shared" si="1"/>
        <v>59926000</v>
      </c>
      <c r="E75" s="49">
        <f>VLOOKUP($A75,'Data shares'!$C:$FA,128)*100</f>
        <v>3.95</v>
      </c>
      <c r="F75" s="49">
        <f>VLOOKUP($A75,'Data shares'!$C:$FA,129)</f>
        <v>4601325</v>
      </c>
      <c r="G75" s="17"/>
    </row>
    <row r="76" spans="1:7" x14ac:dyDescent="0.25">
      <c r="A76" s="101" t="s">
        <v>219</v>
      </c>
      <c r="B76" s="17">
        <v>75317259</v>
      </c>
      <c r="C76" s="17">
        <v>12188500</v>
      </c>
      <c r="D76" s="17">
        <f t="shared" si="1"/>
        <v>12188500</v>
      </c>
      <c r="E76" s="49">
        <f>VLOOKUP($A76,'Data shares'!$C:$FA,128)*100</f>
        <v>0.3</v>
      </c>
      <c r="F76" s="49">
        <f>VLOOKUP($A76,'Data shares'!$C:$FA,129)</f>
        <v>36500</v>
      </c>
      <c r="G76" s="17"/>
    </row>
    <row r="77" spans="1:7" x14ac:dyDescent="0.25">
      <c r="A77" s="101" t="s">
        <v>534</v>
      </c>
      <c r="B77" s="17">
        <v>70381221</v>
      </c>
      <c r="C77" s="17">
        <v>3354100</v>
      </c>
      <c r="D77" s="17">
        <f t="shared" si="1"/>
        <v>3354100</v>
      </c>
      <c r="E77" s="49">
        <f>VLOOKUP($A77,'Data shares'!$C:$FA,128)*100</f>
        <v>0.3</v>
      </c>
      <c r="F77" s="49">
        <f>VLOOKUP($A77,'Data shares'!$C:$FA,129)</f>
        <v>36500</v>
      </c>
      <c r="G77" s="17"/>
    </row>
    <row r="78" spans="1:7" x14ac:dyDescent="0.25">
      <c r="A78" s="101" t="s">
        <v>516</v>
      </c>
      <c r="B78" s="17">
        <v>27254349</v>
      </c>
      <c r="C78" s="17">
        <v>1133550</v>
      </c>
      <c r="D78" s="17">
        <f t="shared" si="1"/>
        <v>1133550</v>
      </c>
      <c r="E78" s="49">
        <f>VLOOKUP($A78,'Data shares'!$C:$FA,128)*100</f>
        <v>3.04</v>
      </c>
      <c r="F78" s="49">
        <f>VLOOKUP($A78,'Data shares'!$C:$FA,129)</f>
        <v>2720250</v>
      </c>
      <c r="G78" s="17"/>
    </row>
    <row r="79" spans="1:7" x14ac:dyDescent="0.25">
      <c r="A79" s="101" t="s">
        <v>271</v>
      </c>
      <c r="B79" s="17">
        <v>26746179</v>
      </c>
      <c r="C79" s="17">
        <v>5445825</v>
      </c>
      <c r="D79" s="17">
        <f t="shared" si="1"/>
        <v>5445825</v>
      </c>
      <c r="E79" s="49">
        <f>VLOOKUP($A79,'Data shares'!$C:$FA,128)*100</f>
        <v>1.23</v>
      </c>
      <c r="F79" s="49">
        <f>VLOOKUP($A79,'Data shares'!$C:$FA,129)</f>
        <v>203725</v>
      </c>
      <c r="G79" s="17"/>
    </row>
    <row r="80" spans="1:7" x14ac:dyDescent="0.25">
      <c r="A80" s="101" t="s">
        <v>264</v>
      </c>
      <c r="B80" s="17">
        <v>15844192</v>
      </c>
      <c r="C80" s="17">
        <v>2354125</v>
      </c>
      <c r="D80" s="17">
        <f t="shared" si="1"/>
        <v>2354125</v>
      </c>
      <c r="E80" s="49">
        <f>VLOOKUP($A80,'Data shares'!$C:$FA,128)*100</f>
        <v>0.67999999999999994</v>
      </c>
      <c r="F80" s="49">
        <f>VLOOKUP($A80,'Data shares'!$C:$FA,129)</f>
        <v>53250</v>
      </c>
      <c r="G80" s="17"/>
    </row>
    <row r="81" spans="1:7" x14ac:dyDescent="0.25">
      <c r="A81" s="101" t="s">
        <v>208</v>
      </c>
      <c r="B81" s="17">
        <v>24296838</v>
      </c>
      <c r="C81" s="17">
        <v>5125750</v>
      </c>
      <c r="D81" s="17">
        <f t="shared" si="1"/>
        <v>5125750</v>
      </c>
      <c r="E81" s="49">
        <f>VLOOKUP($A81,'Data shares'!$C:$FA,128)*100</f>
        <v>1.1299999999999999</v>
      </c>
      <c r="F81" s="49">
        <f>VLOOKUP($A81,'Data shares'!$C:$FA,129)</f>
        <v>95625</v>
      </c>
      <c r="G81" s="17"/>
    </row>
    <row r="82" spans="1:7" x14ac:dyDescent="0.25">
      <c r="A82" s="101" t="s">
        <v>552</v>
      </c>
      <c r="B82" s="17">
        <v>23447901</v>
      </c>
      <c r="C82" s="17">
        <v>3785600</v>
      </c>
      <c r="D82" s="17">
        <f t="shared" si="1"/>
        <v>3785600</v>
      </c>
      <c r="E82" s="49">
        <f>VLOOKUP($A82,'Data shares'!$C:$FA,128)*100</f>
        <v>1.1100000000000001</v>
      </c>
      <c r="F82" s="49">
        <f>VLOOKUP($A82,'Data shares'!$C:$FA,129)</f>
        <v>84000</v>
      </c>
      <c r="G82" s="17"/>
    </row>
    <row r="83" spans="1:7" x14ac:dyDescent="0.25">
      <c r="A83" s="101" t="s">
        <v>204</v>
      </c>
      <c r="B83" s="17">
        <v>115362060</v>
      </c>
      <c r="C83" s="17">
        <v>19043750</v>
      </c>
      <c r="D83" s="17">
        <f t="shared" si="1"/>
        <v>19043750</v>
      </c>
      <c r="E83" s="49">
        <f>VLOOKUP($A83,'Data shares'!$C:$FA,128)*100</f>
        <v>2.2200000000000002</v>
      </c>
      <c r="F83" s="49">
        <f>VLOOKUP($A83,'Data shares'!$C:$FA,129)</f>
        <v>442500</v>
      </c>
      <c r="G83" s="17"/>
    </row>
    <row r="84" spans="1:7" x14ac:dyDescent="0.25">
      <c r="A84" s="101" t="s">
        <v>528</v>
      </c>
      <c r="B84" s="17">
        <v>23485458</v>
      </c>
      <c r="C84" s="17">
        <v>4272800</v>
      </c>
      <c r="D84" s="17">
        <f t="shared" si="1"/>
        <v>4272800</v>
      </c>
      <c r="E84" s="49">
        <f>VLOOKUP($A84,'Data shares'!$C:$FA,128)*100</f>
        <v>1.3</v>
      </c>
      <c r="F84" s="49">
        <f>VLOOKUP($A84,'Data shares'!$C:$FA,129)</f>
        <v>44800</v>
      </c>
      <c r="G84" s="17"/>
    </row>
    <row r="85" spans="1:7" x14ac:dyDescent="0.25">
      <c r="A85" s="101" t="s">
        <v>551</v>
      </c>
      <c r="B85" s="17">
        <v>39593365</v>
      </c>
      <c r="C85" s="17">
        <v>12215000</v>
      </c>
      <c r="D85" s="17">
        <f t="shared" si="1"/>
        <v>12215000</v>
      </c>
      <c r="E85" s="49">
        <f>VLOOKUP($A85,'Data shares'!$C:$FA,128)*100</f>
        <v>0.77999999999999992</v>
      </c>
      <c r="F85" s="49">
        <f>VLOOKUP($A85,'Data shares'!$C:$FA,129)</f>
        <v>27450</v>
      </c>
      <c r="G85" s="17"/>
    </row>
    <row r="86" spans="1:7" x14ac:dyDescent="0.25">
      <c r="A86" s="101" t="s">
        <v>292</v>
      </c>
      <c r="B86" s="17">
        <v>355933451</v>
      </c>
      <c r="C86" s="17">
        <v>204117000</v>
      </c>
      <c r="D86" s="17">
        <f t="shared" si="1"/>
        <v>204117000</v>
      </c>
      <c r="E86" s="49">
        <f>VLOOKUP($A86,'Data shares'!$C:$FA,128)*100</f>
        <v>3.4299999999999997</v>
      </c>
      <c r="F86" s="49">
        <f>VLOOKUP($A86,'Data shares'!$C:$FA,129)</f>
        <v>48000</v>
      </c>
      <c r="G86" s="17"/>
    </row>
    <row r="87" spans="1:7" x14ac:dyDescent="0.25">
      <c r="A87" s="101" t="s">
        <v>239</v>
      </c>
      <c r="B87" s="17">
        <v>117569462</v>
      </c>
      <c r="C87" s="17">
        <v>39785400</v>
      </c>
      <c r="D87" s="17">
        <f t="shared" si="1"/>
        <v>39785400</v>
      </c>
      <c r="E87" s="49">
        <f>VLOOKUP($A87,'Data shares'!$C:$FA,128)*100</f>
        <v>1.5699999999999998</v>
      </c>
      <c r="F87" s="49">
        <f>VLOOKUP($A87,'Data shares'!$C:$FA,129)</f>
        <v>697200</v>
      </c>
      <c r="G87" s="17"/>
    </row>
    <row r="88" spans="1:7" x14ac:dyDescent="0.25">
      <c r="A88" s="101" t="s">
        <v>513</v>
      </c>
      <c r="B88" s="17">
        <v>16619018</v>
      </c>
      <c r="C88" s="17">
        <v>3155425</v>
      </c>
      <c r="D88" s="17">
        <f t="shared" si="1"/>
        <v>3155425</v>
      </c>
      <c r="E88" s="49">
        <f>VLOOKUP($A88,'Data shares'!$C:$FA,128)*100</f>
        <v>7.66</v>
      </c>
      <c r="F88" s="49">
        <f>VLOOKUP($A88,'Data shares'!$C:$FA,129)</f>
        <v>575700</v>
      </c>
      <c r="G88" s="17"/>
    </row>
    <row r="89" spans="1:7" x14ac:dyDescent="0.25">
      <c r="A89" s="101" t="s">
        <v>224</v>
      </c>
      <c r="B89" s="17">
        <v>669931623</v>
      </c>
      <c r="C89" s="17">
        <v>82663350</v>
      </c>
      <c r="D89" s="17">
        <f t="shared" si="1"/>
        <v>82663350</v>
      </c>
      <c r="E89" s="49">
        <f>VLOOKUP($A89,'Data shares'!$C:$FA,128)*100</f>
        <v>0.88</v>
      </c>
      <c r="F89" s="49">
        <f>VLOOKUP($A89,'Data shares'!$C:$FA,129)</f>
        <v>1618100</v>
      </c>
      <c r="G89" s="17"/>
    </row>
    <row r="90" spans="1:7" x14ac:dyDescent="0.25">
      <c r="A90" s="101" t="s">
        <v>232</v>
      </c>
      <c r="B90" s="17">
        <v>1110506052</v>
      </c>
      <c r="C90" s="17">
        <v>174065375</v>
      </c>
      <c r="D90" s="17">
        <f t="shared" si="1"/>
        <v>174065375</v>
      </c>
      <c r="E90" s="49">
        <f>VLOOKUP($A90,'Data shares'!$C:$FA,128)*100</f>
        <v>1.91</v>
      </c>
      <c r="F90" s="49">
        <f>VLOOKUP($A90,'Data shares'!$C:$FA,129)</f>
        <v>2165100</v>
      </c>
      <c r="G90" s="17"/>
    </row>
    <row r="91" spans="1:7" x14ac:dyDescent="0.25">
      <c r="A91" s="101" t="s">
        <v>223</v>
      </c>
      <c r="B91" s="17">
        <v>362202362</v>
      </c>
      <c r="C91" s="17">
        <v>34249800</v>
      </c>
      <c r="D91" s="17">
        <f t="shared" si="1"/>
        <v>34249800</v>
      </c>
      <c r="E91" s="49">
        <f>VLOOKUP($A91,'Data shares'!$C:$FA,128)*100</f>
        <v>1.34</v>
      </c>
      <c r="F91" s="49">
        <f>VLOOKUP($A91,'Data shares'!$C:$FA,129)</f>
        <v>193200</v>
      </c>
      <c r="G91" s="17"/>
    </row>
    <row r="92" spans="1:7" x14ac:dyDescent="0.25">
      <c r="A92" s="101" t="s">
        <v>218</v>
      </c>
      <c r="B92" s="17">
        <v>23110810</v>
      </c>
      <c r="C92" s="17">
        <v>6940375</v>
      </c>
      <c r="D92" s="17">
        <f t="shared" si="1"/>
        <v>6940375</v>
      </c>
      <c r="E92" s="49">
        <f>VLOOKUP($A92,'Data shares'!$C:$FA,128)*100</f>
        <v>1.7399999999999998</v>
      </c>
      <c r="F92" s="49">
        <f>VLOOKUP($A92,'Data shares'!$C:$FA,129)</f>
        <v>150425</v>
      </c>
      <c r="G92" s="17"/>
    </row>
    <row r="93" spans="1:7" x14ac:dyDescent="0.25">
      <c r="A93" s="101" t="s">
        <v>236</v>
      </c>
      <c r="B93" s="17">
        <v>77000080</v>
      </c>
      <c r="C93" s="17">
        <v>25785375</v>
      </c>
      <c r="D93" s="17">
        <f t="shared" si="1"/>
        <v>25785375</v>
      </c>
      <c r="E93" s="49">
        <f>VLOOKUP($A93,'Data shares'!$C:$FA,128)*100</f>
        <v>6.03</v>
      </c>
      <c r="F93" s="49">
        <f>VLOOKUP($A93,'Data shares'!$C:$FA,129)</f>
        <v>3450000</v>
      </c>
      <c r="G93" s="17"/>
    </row>
    <row r="94" spans="1:7" x14ac:dyDescent="0.25">
      <c r="A94" s="101" t="s">
        <v>246</v>
      </c>
      <c r="B94" s="17">
        <v>293666614</v>
      </c>
      <c r="C94" s="17">
        <v>30730800</v>
      </c>
      <c r="D94" s="17">
        <f t="shared" si="1"/>
        <v>30730800</v>
      </c>
      <c r="E94" s="49">
        <f>VLOOKUP($A94,'Data shares'!$C:$FA,128)*100</f>
        <v>0.77</v>
      </c>
      <c r="F94" s="49">
        <f>VLOOKUP($A94,'Data shares'!$C:$FA,129)</f>
        <v>263200</v>
      </c>
      <c r="G94" s="17"/>
    </row>
    <row r="95" spans="1:7" x14ac:dyDescent="0.25">
      <c r="A95" s="101" t="s">
        <v>532</v>
      </c>
      <c r="B95" s="17">
        <v>32892110</v>
      </c>
      <c r="C95" s="17">
        <v>6216000</v>
      </c>
      <c r="D95" s="17">
        <f t="shared" si="1"/>
        <v>6216000</v>
      </c>
      <c r="E95" s="49">
        <f>VLOOKUP($A95,'Data shares'!$C:$FA,128)*100</f>
        <v>2.71</v>
      </c>
      <c r="F95" s="49">
        <f>VLOOKUP($A95,'Data shares'!$C:$FA,129)</f>
        <v>381650</v>
      </c>
      <c r="G95" s="17"/>
    </row>
    <row r="96" spans="1:7" x14ac:dyDescent="0.25">
      <c r="A96" s="101" t="s">
        <v>242</v>
      </c>
      <c r="B96" s="17">
        <v>2461627231</v>
      </c>
      <c r="C96" s="17">
        <v>322832000</v>
      </c>
      <c r="D96" s="17">
        <f t="shared" si="1"/>
        <v>322832000</v>
      </c>
      <c r="E96" s="49">
        <f>VLOOKUP($A96,'Data shares'!$C:$FA,128)*100</f>
        <v>8.7900000000000009</v>
      </c>
      <c r="F96" s="49">
        <f>VLOOKUP($A96,'Data shares'!$C:$FA,129)</f>
        <v>5969600</v>
      </c>
      <c r="G96" s="17"/>
    </row>
    <row r="97" spans="1:7" x14ac:dyDescent="0.25">
      <c r="A97" s="101" t="s">
        <v>165</v>
      </c>
      <c r="B97" s="17">
        <v>20321931</v>
      </c>
      <c r="C97" s="17">
        <v>3675125</v>
      </c>
      <c r="D97" s="17">
        <f t="shared" si="1"/>
        <v>3675125</v>
      </c>
      <c r="E97" s="49">
        <f>VLOOKUP($A97,'Data shares'!$C:$FA,128)*100</f>
        <v>1.76</v>
      </c>
      <c r="F97" s="49">
        <f>VLOOKUP($A97,'Data shares'!$C:$FA,129)</f>
        <v>49125</v>
      </c>
      <c r="G97" s="17"/>
    </row>
    <row r="98" spans="1:7" x14ac:dyDescent="0.25">
      <c r="A98" s="101" t="s">
        <v>503</v>
      </c>
      <c r="B98" s="17">
        <v>17788750</v>
      </c>
      <c r="C98" s="17">
        <v>925925</v>
      </c>
      <c r="D98" s="17">
        <f t="shared" si="1"/>
        <v>925925</v>
      </c>
      <c r="E98" s="49">
        <f>VLOOKUP($A98,'Data shares'!$C:$FA,128)*100</f>
        <v>5.18</v>
      </c>
      <c r="F98" s="49">
        <f>VLOOKUP($A98,'Data shares'!$C:$FA,129)</f>
        <v>374850</v>
      </c>
      <c r="G98" s="17"/>
    </row>
    <row r="99" spans="1:7" x14ac:dyDescent="0.25">
      <c r="A99" s="101" t="s">
        <v>192</v>
      </c>
      <c r="B99" s="17">
        <v>1737683</v>
      </c>
      <c r="C99" s="17">
        <v>235900</v>
      </c>
      <c r="D99" s="17">
        <f t="shared" si="1"/>
        <v>235900</v>
      </c>
      <c r="E99" s="49">
        <f>VLOOKUP($A99,'Data shares'!$C:$FA,128)*100</f>
        <v>1.21</v>
      </c>
      <c r="F99" s="49">
        <f>VLOOKUP($A99,'Data shares'!$C:$FA,129)</f>
        <v>2200</v>
      </c>
      <c r="G99" s="17"/>
    </row>
    <row r="100" spans="1:7" x14ac:dyDescent="0.25">
      <c r="A100" s="101" t="s">
        <v>531</v>
      </c>
      <c r="B100" s="17">
        <v>33015657</v>
      </c>
      <c r="C100" s="17">
        <v>9033700</v>
      </c>
      <c r="D100" s="17">
        <f t="shared" si="1"/>
        <v>9033700</v>
      </c>
      <c r="E100" s="49">
        <f>VLOOKUP($A100,'Data shares'!$C:$FA,128)*100</f>
        <v>4.33</v>
      </c>
      <c r="F100" s="49">
        <f>VLOOKUP($A100,'Data shares'!$C:$FA,129)</f>
        <v>512250</v>
      </c>
      <c r="G100" s="17"/>
    </row>
    <row r="101" spans="1:7" x14ac:dyDescent="0.25">
      <c r="A101" s="101" t="s">
        <v>494</v>
      </c>
      <c r="B101" s="17">
        <v>147873568</v>
      </c>
      <c r="C101" s="17">
        <v>20386400</v>
      </c>
      <c r="D101" s="17">
        <f t="shared" si="1"/>
        <v>20386400</v>
      </c>
      <c r="E101" s="49">
        <f>VLOOKUP($A101,'Data shares'!$C:$FA,128)*100</f>
        <v>4.5600000000000005</v>
      </c>
      <c r="F101" s="49">
        <f>VLOOKUP($A101,'Data shares'!$C:$FA,129)</f>
        <v>2390400</v>
      </c>
      <c r="G101" s="17"/>
    </row>
    <row r="102" spans="1:7" x14ac:dyDescent="0.25">
      <c r="A102" s="101" t="s">
        <v>473</v>
      </c>
      <c r="B102" s="17">
        <v>162372116</v>
      </c>
      <c r="C102" s="17">
        <v>43206800</v>
      </c>
      <c r="D102" s="17">
        <f t="shared" si="1"/>
        <v>43206800</v>
      </c>
      <c r="E102" s="49">
        <f>VLOOKUP($A102,'Data shares'!$C:$FA,128)*100</f>
        <v>0.86999999999999988</v>
      </c>
      <c r="F102" s="49">
        <f>VLOOKUP($A102,'Data shares'!$C:$FA,129)</f>
        <v>652800</v>
      </c>
      <c r="G102" s="17"/>
    </row>
    <row r="103" spans="1:7" x14ac:dyDescent="0.25">
      <c r="A103" s="101" t="s">
        <v>225</v>
      </c>
      <c r="B103" s="17">
        <v>187118353</v>
      </c>
      <c r="C103" s="17">
        <v>49800300</v>
      </c>
      <c r="D103" s="17">
        <f t="shared" si="1"/>
        <v>49800300</v>
      </c>
      <c r="E103" s="49">
        <f>VLOOKUP($A103,'Data shares'!$C:$FA,128)*100</f>
        <v>1.0999999999999999</v>
      </c>
      <c r="F103" s="49">
        <f>VLOOKUP($A103,'Data shares'!$C:$FA,129)</f>
        <v>364100</v>
      </c>
      <c r="G103" s="17"/>
    </row>
    <row r="104" spans="1:7" x14ac:dyDescent="0.25">
      <c r="A104" s="101" t="s">
        <v>504</v>
      </c>
      <c r="B104" s="17">
        <v>12641694</v>
      </c>
      <c r="C104" s="17">
        <v>6728400</v>
      </c>
      <c r="D104" s="17">
        <f t="shared" si="1"/>
        <v>6728400</v>
      </c>
      <c r="E104" s="49">
        <f>VLOOKUP($A104,'Data shares'!$C:$FA,128)*100</f>
        <v>1.24</v>
      </c>
      <c r="F104" s="49">
        <f>VLOOKUP($A104,'Data shares'!$C:$FA,129)</f>
        <v>43200</v>
      </c>
      <c r="G104" s="17"/>
    </row>
    <row r="105" spans="1:7" x14ac:dyDescent="0.25">
      <c r="A105" s="101" t="s">
        <v>537</v>
      </c>
      <c r="B105" s="17">
        <v>6343591</v>
      </c>
      <c r="C105" s="17">
        <v>1262250</v>
      </c>
      <c r="D105" s="17">
        <f t="shared" si="1"/>
        <v>1262250</v>
      </c>
      <c r="E105" s="49">
        <f>VLOOKUP($A105,'Data shares'!$C:$FA,128)*100</f>
        <v>2.5</v>
      </c>
      <c r="F105" s="49">
        <f>VLOOKUP($A105,'Data shares'!$C:$FA,129)</f>
        <v>4725</v>
      </c>
      <c r="G105" s="17"/>
    </row>
    <row r="106" spans="1:7" x14ac:dyDescent="0.25">
      <c r="A106" s="101" t="s">
        <v>256</v>
      </c>
      <c r="B106" s="17">
        <v>62880735</v>
      </c>
      <c r="C106" s="17">
        <v>20391250</v>
      </c>
      <c r="D106" s="17">
        <f t="shared" si="1"/>
        <v>20391250</v>
      </c>
      <c r="E106" s="49">
        <f>VLOOKUP($A106,'Data shares'!$C:$FA,128)*100</f>
        <v>4.9399999999999995</v>
      </c>
      <c r="F106" s="49">
        <f>VLOOKUP($A106,'Data shares'!$C:$FA,129)</f>
        <v>233600</v>
      </c>
      <c r="G106" s="17"/>
    </row>
    <row r="107" spans="1:7" x14ac:dyDescent="0.25">
      <c r="A107" s="101" t="s">
        <v>514</v>
      </c>
      <c r="B107" s="17">
        <v>179174844</v>
      </c>
      <c r="C107" s="17">
        <v>67477500</v>
      </c>
      <c r="D107" s="17">
        <f t="shared" si="1"/>
        <v>67477500</v>
      </c>
      <c r="E107" s="49">
        <f>VLOOKUP($A107,'Data shares'!$C:$FA,128)*100</f>
        <v>6.03</v>
      </c>
      <c r="F107" s="49">
        <f>VLOOKUP($A107,'Data shares'!$C:$FA,129)</f>
        <v>3450000</v>
      </c>
      <c r="G107" s="17"/>
    </row>
    <row r="108" spans="1:7" x14ac:dyDescent="0.25">
      <c r="A108" s="101" t="s">
        <v>272</v>
      </c>
      <c r="B108" s="17">
        <v>150000017</v>
      </c>
      <c r="C108" s="17">
        <v>35217000</v>
      </c>
      <c r="D108" s="17">
        <f t="shared" si="1"/>
        <v>35217000</v>
      </c>
      <c r="E108" s="49">
        <f>VLOOKUP($A108,'Data shares'!$C:$FA,128)*100</f>
        <v>3.88</v>
      </c>
      <c r="F108" s="49">
        <f>VLOOKUP($A108,'Data shares'!$C:$FA,129)</f>
        <v>1753700</v>
      </c>
      <c r="G108" s="17"/>
    </row>
    <row r="109" spans="1:7" x14ac:dyDescent="0.25">
      <c r="A109" s="101" t="s">
        <v>470</v>
      </c>
      <c r="B109" s="17">
        <v>6091932</v>
      </c>
      <c r="C109" s="17">
        <v>1893300</v>
      </c>
      <c r="D109" s="17">
        <f t="shared" si="1"/>
        <v>1893300</v>
      </c>
      <c r="E109" s="49">
        <f>VLOOKUP($A109,'Data shares'!$C:$FA,128)*100</f>
        <v>2.78</v>
      </c>
      <c r="F109" s="49">
        <f>VLOOKUP($A109,'Data shares'!$C:$FA,129)</f>
        <v>461625</v>
      </c>
      <c r="G109" s="17"/>
    </row>
    <row r="110" spans="1:7" x14ac:dyDescent="0.25">
      <c r="A110" s="101" t="s">
        <v>176</v>
      </c>
      <c r="B110" s="17">
        <v>12437219</v>
      </c>
      <c r="C110" s="17">
        <v>1155950</v>
      </c>
      <c r="D110" s="17">
        <f t="shared" si="1"/>
        <v>1155950</v>
      </c>
      <c r="E110" s="49">
        <f>VLOOKUP($A110,'Data shares'!$C:$FA,128)*100</f>
        <v>1.2</v>
      </c>
      <c r="F110" s="49">
        <f>VLOOKUP($A110,'Data shares'!$C:$FA,129)</f>
        <v>205000</v>
      </c>
      <c r="G110" s="17"/>
    </row>
    <row r="111" spans="1:7" x14ac:dyDescent="0.25">
      <c r="A111" s="101" t="s">
        <v>524</v>
      </c>
      <c r="B111" s="17">
        <v>16479425</v>
      </c>
      <c r="C111" s="17">
        <v>1670750</v>
      </c>
      <c r="D111" s="17">
        <f t="shared" si="1"/>
        <v>1670750</v>
      </c>
      <c r="E111" s="49">
        <f>VLOOKUP($A111,'Data shares'!$C:$FA,128)*100</f>
        <v>2.04</v>
      </c>
      <c r="F111" s="49">
        <f>VLOOKUP($A111,'Data shares'!$C:$FA,129)</f>
        <v>53950</v>
      </c>
      <c r="G111" s="17"/>
    </row>
    <row r="112" spans="1:7" x14ac:dyDescent="0.25">
      <c r="A112" s="101" t="s">
        <v>487</v>
      </c>
      <c r="B112" s="17">
        <v>16533935</v>
      </c>
      <c r="C112" s="17">
        <v>1807050</v>
      </c>
      <c r="D112" s="17">
        <f t="shared" si="1"/>
        <v>1807050</v>
      </c>
      <c r="E112" s="49">
        <f>VLOOKUP($A112,'Data shares'!$C:$FA,128)*100</f>
        <v>0.69</v>
      </c>
      <c r="F112" s="49">
        <f>VLOOKUP($A112,'Data shares'!$C:$FA,129)</f>
        <v>35475</v>
      </c>
      <c r="G112" s="17"/>
    </row>
    <row r="113" spans="1:7" x14ac:dyDescent="0.25">
      <c r="A113" s="101" t="s">
        <v>305</v>
      </c>
      <c r="B113" s="17">
        <v>46126252</v>
      </c>
      <c r="C113" s="17">
        <v>7513500</v>
      </c>
      <c r="D113" s="17">
        <f t="shared" si="1"/>
        <v>7513500</v>
      </c>
      <c r="E113" s="49">
        <f>VLOOKUP($A113,'Data shares'!$C:$FA,128)*100</f>
        <v>1.9</v>
      </c>
      <c r="F113" s="49">
        <f>VLOOKUP($A113,'Data shares'!$C:$FA,129)</f>
        <v>180000</v>
      </c>
      <c r="G113" s="17"/>
    </row>
    <row r="114" spans="1:7" x14ac:dyDescent="0.25">
      <c r="A114" s="101" t="s">
        <v>238</v>
      </c>
      <c r="B114" s="17">
        <v>19428657</v>
      </c>
      <c r="C114" s="17">
        <v>5637750</v>
      </c>
      <c r="D114" s="17">
        <f t="shared" si="1"/>
        <v>5637750</v>
      </c>
      <c r="E114" s="49">
        <f>VLOOKUP($A114,'Data shares'!$C:$FA,128)*100</f>
        <v>2.7</v>
      </c>
      <c r="F114" s="49">
        <f>VLOOKUP($A114,'Data shares'!$C:$FA,129)</f>
        <v>208650</v>
      </c>
      <c r="G114" s="17"/>
    </row>
    <row r="115" spans="1:7" x14ac:dyDescent="0.25">
      <c r="A115" s="101" t="s">
        <v>527</v>
      </c>
      <c r="B115" s="17">
        <v>7494363</v>
      </c>
      <c r="C115" s="17">
        <v>739375</v>
      </c>
      <c r="D115" s="17">
        <f t="shared" si="1"/>
        <v>739375</v>
      </c>
      <c r="E115" s="49">
        <f>VLOOKUP($A115,'Data shares'!$C:$FA,128)*100</f>
        <v>4.2</v>
      </c>
      <c r="F115" s="49">
        <f>VLOOKUP($A115,'Data shares'!$C:$FA,129)</f>
        <v>6572950</v>
      </c>
      <c r="G115" s="17"/>
    </row>
    <row r="116" spans="1:7" x14ac:dyDescent="0.25">
      <c r="A116" s="101" t="s">
        <v>489</v>
      </c>
      <c r="B116" s="17">
        <v>9087752</v>
      </c>
      <c r="C116" s="17">
        <v>1575750</v>
      </c>
      <c r="D116" s="17">
        <f t="shared" si="1"/>
        <v>1575750</v>
      </c>
      <c r="E116" s="49">
        <f>VLOOKUP($A116,'Data shares'!$C:$FA,128)*100</f>
        <v>2.1999999999999997</v>
      </c>
      <c r="F116" s="49">
        <f>VLOOKUP($A116,'Data shares'!$C:$FA,129)</f>
        <v>852750</v>
      </c>
      <c r="G116" s="17"/>
    </row>
    <row r="117" spans="1:7" x14ac:dyDescent="0.25">
      <c r="A117" s="101" t="s">
        <v>484</v>
      </c>
      <c r="B117" s="17">
        <v>3300938</v>
      </c>
      <c r="C117" s="17">
        <v>190125</v>
      </c>
      <c r="D117" s="17">
        <f t="shared" si="1"/>
        <v>190125</v>
      </c>
      <c r="E117" s="49">
        <f>VLOOKUP($A117,'Data shares'!$C:$FA,128)*100</f>
        <v>5.01</v>
      </c>
      <c r="F117" s="49">
        <f>VLOOKUP($A117,'Data shares'!$C:$FA,129)</f>
        <v>3992300</v>
      </c>
      <c r="G117" s="17"/>
    </row>
    <row r="118" spans="1:7" x14ac:dyDescent="0.25">
      <c r="A118" s="101" t="s">
        <v>285</v>
      </c>
      <c r="B118" s="17">
        <v>17806068</v>
      </c>
      <c r="C118" s="17">
        <v>1857900</v>
      </c>
      <c r="D118" s="17">
        <f t="shared" si="1"/>
        <v>1857900</v>
      </c>
      <c r="E118" s="49">
        <f>VLOOKUP($A118,'Data shares'!$C:$FA,128)*100</f>
        <v>3.11</v>
      </c>
      <c r="F118" s="49">
        <f>VLOOKUP($A118,'Data shares'!$C:$FA,129)</f>
        <v>74900</v>
      </c>
      <c r="G118" s="17"/>
    </row>
    <row r="119" spans="1:7" x14ac:dyDescent="0.25">
      <c r="A119" s="101" t="s">
        <v>554</v>
      </c>
      <c r="B119" s="17">
        <v>18562709</v>
      </c>
      <c r="C119" s="17">
        <v>2173500</v>
      </c>
      <c r="D119" s="17">
        <f t="shared" si="1"/>
        <v>2173500</v>
      </c>
      <c r="E119" s="49">
        <f>VLOOKUP($A119,'Data shares'!$C:$FA,128)*100</f>
        <v>4.1900000000000004</v>
      </c>
      <c r="F119" s="49">
        <f>VLOOKUP($A119,'Data shares'!$C:$FA,129)</f>
        <v>3843125</v>
      </c>
      <c r="G119" s="17"/>
    </row>
    <row r="120" spans="1:7" x14ac:dyDescent="0.25">
      <c r="A120" s="101" t="s">
        <v>293</v>
      </c>
      <c r="B120" s="17">
        <v>339616396</v>
      </c>
      <c r="C120" s="17">
        <v>214528500</v>
      </c>
      <c r="D120" s="17">
        <f t="shared" si="1"/>
        <v>214528500</v>
      </c>
      <c r="E120" s="49">
        <f>VLOOKUP($A120,'Data shares'!$C:$FA,128)*100</f>
        <v>2.91</v>
      </c>
      <c r="F120" s="49">
        <f>VLOOKUP($A120,'Data shares'!$C:$FA,129)</f>
        <v>1639950</v>
      </c>
      <c r="G120" s="17"/>
    </row>
    <row r="121" spans="1:7" x14ac:dyDescent="0.25">
      <c r="A121" s="101" t="s">
        <v>282</v>
      </c>
      <c r="B121" s="17">
        <v>289139949</v>
      </c>
      <c r="C121" s="17">
        <v>230878500</v>
      </c>
      <c r="D121" s="17">
        <f t="shared" si="1"/>
        <v>230878500</v>
      </c>
      <c r="E121" s="49">
        <f>VLOOKUP($A121,'Data shares'!$C:$FA,128)*100</f>
        <v>3.56</v>
      </c>
      <c r="F121" s="49">
        <f>VLOOKUP($A121,'Data shares'!$C:$FA,129)</f>
        <v>5846800</v>
      </c>
      <c r="G121" s="17"/>
    </row>
    <row r="122" spans="1:7" x14ac:dyDescent="0.25">
      <c r="A122" s="101" t="s">
        <v>248</v>
      </c>
      <c r="B122" s="17">
        <v>60244101</v>
      </c>
      <c r="C122" s="17">
        <v>36578000</v>
      </c>
      <c r="D122" s="17">
        <f t="shared" si="1"/>
        <v>36578000</v>
      </c>
      <c r="E122" s="49">
        <f>VLOOKUP($A122,'Data shares'!$C:$FA,128)*100</f>
        <v>2.2800000000000002</v>
      </c>
      <c r="F122" s="49">
        <f>VLOOKUP($A122,'Data shares'!$C:$FA,129)</f>
        <v>673000</v>
      </c>
      <c r="G122" s="17"/>
    </row>
    <row r="123" spans="1:7" x14ac:dyDescent="0.25">
      <c r="A123" s="101" t="s">
        <v>189</v>
      </c>
      <c r="B123" s="17">
        <v>510707358</v>
      </c>
      <c r="C123" s="17">
        <v>94385350</v>
      </c>
      <c r="D123" s="17">
        <f t="shared" si="1"/>
        <v>94385350</v>
      </c>
      <c r="E123" s="49">
        <f>VLOOKUP($A123,'Data shares'!$C:$FA,128)*100</f>
        <v>4.1399999999999997</v>
      </c>
      <c r="F123" s="49">
        <f>VLOOKUP($A123,'Data shares'!$C:$FA,129)</f>
        <v>1963650</v>
      </c>
      <c r="G123" s="17"/>
    </row>
    <row r="124" spans="1:7" x14ac:dyDescent="0.25">
      <c r="A124" s="101" t="s">
        <v>213</v>
      </c>
      <c r="B124" s="17">
        <v>425164259</v>
      </c>
      <c r="C124" s="17">
        <v>85375600</v>
      </c>
      <c r="D124" s="17">
        <f t="shared" si="1"/>
        <v>85375600</v>
      </c>
      <c r="E124" s="49">
        <f>VLOOKUP($A124,'Data shares'!$C:$FA,128)*100</f>
        <v>3.37</v>
      </c>
      <c r="F124" s="49">
        <f>VLOOKUP($A124,'Data shares'!$C:$FA,129)</f>
        <v>2794050</v>
      </c>
      <c r="G124" s="17"/>
    </row>
    <row r="125" spans="1:7" x14ac:dyDescent="0.25">
      <c r="A125" s="101" t="s">
        <v>295</v>
      </c>
      <c r="B125" s="17">
        <v>205769415</v>
      </c>
      <c r="C125" s="17">
        <v>21452100</v>
      </c>
      <c r="D125" s="17">
        <f t="shared" si="1"/>
        <v>21452100</v>
      </c>
      <c r="E125" s="49">
        <f>VLOOKUP($A125,'Data shares'!$C:$FA,128)*100</f>
        <v>2.78</v>
      </c>
      <c r="F125" s="49">
        <f>VLOOKUP($A125,'Data shares'!$C:$FA,129)</f>
        <v>536725</v>
      </c>
      <c r="G125" s="17"/>
    </row>
    <row r="126" spans="1:7" x14ac:dyDescent="0.25">
      <c r="A126" s="101" t="s">
        <v>490</v>
      </c>
      <c r="B126" s="17">
        <v>52165566</v>
      </c>
      <c r="C126" s="17">
        <v>22212750</v>
      </c>
      <c r="D126" s="17">
        <f t="shared" si="1"/>
        <v>22212750</v>
      </c>
      <c r="E126" s="49">
        <f>VLOOKUP($A126,'Data shares'!$C:$FA,128)*100</f>
        <v>8.2900000000000009</v>
      </c>
      <c r="F126" s="49">
        <f>VLOOKUP($A126,'Data shares'!$C:$FA,129)</f>
        <v>1635375</v>
      </c>
      <c r="G126" s="17"/>
    </row>
    <row r="127" spans="1:7" x14ac:dyDescent="0.25">
      <c r="A127" s="101" t="s">
        <v>260</v>
      </c>
      <c r="B127" s="17">
        <v>241729538</v>
      </c>
      <c r="C127" s="17">
        <v>65383500</v>
      </c>
      <c r="D127" s="17">
        <f t="shared" si="1"/>
        <v>65383500</v>
      </c>
      <c r="E127" s="49">
        <f>VLOOKUP($A127,'Data shares'!$C:$FA,128)*100</f>
        <v>1.6</v>
      </c>
      <c r="F127" s="49">
        <f>VLOOKUP($A127,'Data shares'!$C:$FA,129)</f>
        <v>2300100</v>
      </c>
      <c r="G127" s="17"/>
    </row>
    <row r="128" spans="1:7" x14ac:dyDescent="0.25">
      <c r="A128" s="101" t="s">
        <v>171</v>
      </c>
      <c r="B128" s="17">
        <v>56444627</v>
      </c>
      <c r="C128" s="17">
        <v>23336250</v>
      </c>
      <c r="D128" s="17">
        <f t="shared" si="1"/>
        <v>23336250</v>
      </c>
      <c r="E128" s="49">
        <f>VLOOKUP($A128,'Data shares'!$C:$FA,128)*100</f>
        <v>0.8</v>
      </c>
      <c r="F128" s="49">
        <f>VLOOKUP($A128,'Data shares'!$C:$FA,129)</f>
        <v>125950</v>
      </c>
      <c r="G128" s="17"/>
    </row>
    <row r="129" spans="1:7" x14ac:dyDescent="0.25">
      <c r="A129" s="101" t="s">
        <v>462</v>
      </c>
      <c r="B129" s="17">
        <v>88648462</v>
      </c>
      <c r="C129" s="17">
        <v>11150250</v>
      </c>
      <c r="D129" s="17">
        <f t="shared" si="1"/>
        <v>11150250</v>
      </c>
      <c r="E129" s="49">
        <f>VLOOKUP($A129,'Data shares'!$C:$FA,128)*100</f>
        <v>1.6199999999999999</v>
      </c>
      <c r="F129" s="49">
        <f>VLOOKUP($A129,'Data shares'!$C:$FA,129)</f>
        <v>125250</v>
      </c>
      <c r="G129" s="17"/>
    </row>
    <row r="130" spans="1:7" x14ac:dyDescent="0.25">
      <c r="A130" s="101" t="s">
        <v>274</v>
      </c>
      <c r="B130" s="17">
        <v>30511703</v>
      </c>
      <c r="C130" s="17">
        <v>3556000</v>
      </c>
      <c r="D130" s="17">
        <f t="shared" si="1"/>
        <v>3556000</v>
      </c>
      <c r="E130" s="49">
        <f>VLOOKUP($A130,'Data shares'!$C:$FA,128)*100</f>
        <v>1.04</v>
      </c>
      <c r="F130" s="49">
        <f>VLOOKUP($A130,'Data shares'!$C:$FA,129)</f>
        <v>76500</v>
      </c>
      <c r="G130" s="17"/>
    </row>
    <row r="131" spans="1:7" x14ac:dyDescent="0.25">
      <c r="A131" s="101" t="s">
        <v>279</v>
      </c>
      <c r="B131" s="17">
        <v>119890099</v>
      </c>
      <c r="C131" s="17">
        <v>77232800</v>
      </c>
      <c r="D131" s="17">
        <f t="shared" si="1"/>
        <v>77232800</v>
      </c>
      <c r="E131" s="49">
        <f>VLOOKUP($A131,'Data shares'!$C:$FA,128)*100</f>
        <v>0.51</v>
      </c>
      <c r="F131" s="49">
        <f>VLOOKUP($A131,'Data shares'!$C:$FA,129)</f>
        <v>346075</v>
      </c>
      <c r="G131" s="17"/>
    </row>
    <row r="132" spans="1:7" x14ac:dyDescent="0.25">
      <c r="A132" s="101" t="s">
        <v>247</v>
      </c>
      <c r="B132" s="17">
        <v>180580821</v>
      </c>
      <c r="C132" s="17">
        <v>128041552</v>
      </c>
      <c r="D132" s="17">
        <f t="shared" si="1"/>
        <v>128041552</v>
      </c>
      <c r="E132" s="49">
        <f>VLOOKUP($A132,'Data shares'!$C:$FA,128)*100</f>
        <v>4.16</v>
      </c>
      <c r="F132" s="49">
        <f>VLOOKUP($A132,'Data shares'!$C:$FA,129)</f>
        <v>116450</v>
      </c>
      <c r="G132" s="17"/>
    </row>
    <row r="133" spans="1:7" x14ac:dyDescent="0.25">
      <c r="A133" s="101" t="s">
        <v>291</v>
      </c>
      <c r="B133" s="17">
        <v>120211514</v>
      </c>
      <c r="C133" s="17">
        <v>18359325</v>
      </c>
      <c r="D133" s="17">
        <f t="shared" si="1"/>
        <v>18359325</v>
      </c>
      <c r="E133" s="49">
        <f>VLOOKUP($A133,'Data shares'!$C:$FA,128)*100</f>
        <v>1.21</v>
      </c>
      <c r="F133" s="49">
        <f>VLOOKUP($A133,'Data shares'!$C:$FA,129)</f>
        <v>122100</v>
      </c>
      <c r="G133" s="17"/>
    </row>
    <row r="134" spans="1:7" x14ac:dyDescent="0.25">
      <c r="A134" s="101" t="s">
        <v>269</v>
      </c>
      <c r="B134" s="17">
        <v>996134149</v>
      </c>
      <c r="C134" s="17">
        <v>204565900</v>
      </c>
      <c r="D134" s="17">
        <f t="shared" si="1"/>
        <v>204565900</v>
      </c>
      <c r="E134" s="49">
        <f>VLOOKUP($A134,'Data shares'!$C:$FA,128)*100</f>
        <v>1.97</v>
      </c>
      <c r="F134" s="49">
        <f>VLOOKUP($A134,'Data shares'!$C:$FA,129)</f>
        <v>2162250</v>
      </c>
      <c r="G134" s="17"/>
    </row>
    <row r="135" spans="1:7" x14ac:dyDescent="0.25">
      <c r="A135" s="101" t="s">
        <v>217</v>
      </c>
      <c r="B135" s="17">
        <v>75218562</v>
      </c>
      <c r="C135" s="17">
        <v>11613000</v>
      </c>
      <c r="D135" s="17">
        <f t="shared" ref="D135:D161" si="2">C135</f>
        <v>11613000</v>
      </c>
      <c r="E135" s="49">
        <f>VLOOKUP($A135,'Data shares'!$C:$FA,128)*100</f>
        <v>0.33999999999999997</v>
      </c>
      <c r="F135" s="49">
        <f>VLOOKUP($A135,'Data shares'!$C:$FA,129)</f>
        <v>30000</v>
      </c>
      <c r="G135" s="17"/>
    </row>
    <row r="136" spans="1:7" x14ac:dyDescent="0.25">
      <c r="A136" s="101" t="s">
        <v>495</v>
      </c>
      <c r="B136" s="17">
        <v>44974045</v>
      </c>
      <c r="C136" s="17">
        <v>4232500</v>
      </c>
      <c r="D136" s="17">
        <f t="shared" si="2"/>
        <v>4232500</v>
      </c>
      <c r="E136" s="49">
        <f>VLOOKUP($A136,'Data shares'!$C:$FA,128)*100</f>
        <v>1.9800000000000002</v>
      </c>
      <c r="F136" s="49">
        <f>VLOOKUP($A136,'Data shares'!$C:$FA,129)</f>
        <v>391000</v>
      </c>
      <c r="G136" s="17"/>
    </row>
    <row r="137" spans="1:7" x14ac:dyDescent="0.25">
      <c r="A137" s="101" t="s">
        <v>250</v>
      </c>
      <c r="B137" s="17">
        <v>48318354</v>
      </c>
      <c r="C137" s="17">
        <v>18007250</v>
      </c>
      <c r="D137" s="17">
        <f t="shared" si="2"/>
        <v>18007250</v>
      </c>
      <c r="E137" s="49">
        <f>VLOOKUP($A137,'Data shares'!$C:$FA,128)*100</f>
        <v>1.0999999999999999</v>
      </c>
      <c r="F137" s="49">
        <f>VLOOKUP($A137,'Data shares'!$C:$FA,129)</f>
        <v>73100</v>
      </c>
      <c r="G137" s="17"/>
    </row>
    <row r="138" spans="1:7" x14ac:dyDescent="0.25">
      <c r="A138" s="101" t="s">
        <v>278</v>
      </c>
      <c r="B138" s="17">
        <v>27187764</v>
      </c>
      <c r="C138" s="17">
        <v>3521550</v>
      </c>
      <c r="D138" s="17">
        <f t="shared" si="2"/>
        <v>3521550</v>
      </c>
      <c r="E138" s="49">
        <f>VLOOKUP($A138,'Data shares'!$C:$FA,128)*100</f>
        <v>0.77999999999999992</v>
      </c>
      <c r="F138" s="49">
        <f>VLOOKUP($A138,'Data shares'!$C:$FA,129)</f>
        <v>27450</v>
      </c>
      <c r="G138" s="17"/>
    </row>
    <row r="139" spans="1:7" x14ac:dyDescent="0.25">
      <c r="A139" s="101" t="s">
        <v>163</v>
      </c>
      <c r="B139" s="17">
        <v>24576009</v>
      </c>
      <c r="C139" s="17">
        <v>11979000</v>
      </c>
      <c r="D139" s="17">
        <f t="shared" si="2"/>
        <v>11979000</v>
      </c>
      <c r="E139" s="49">
        <f>VLOOKUP($A139,'Data shares'!$C:$FA,128)*100</f>
        <v>0.62</v>
      </c>
      <c r="F139" s="49">
        <f>VLOOKUP($A139,'Data shares'!$C:$FA,129)</f>
        <v>8125</v>
      </c>
      <c r="G139" s="17"/>
    </row>
    <row r="140" spans="1:7" x14ac:dyDescent="0.25">
      <c r="A140" s="101" t="s">
        <v>289</v>
      </c>
      <c r="B140" s="17">
        <v>19704232</v>
      </c>
      <c r="C140" s="17">
        <v>15520500</v>
      </c>
      <c r="D140" s="17">
        <f t="shared" si="2"/>
        <v>15520500</v>
      </c>
      <c r="E140" s="49">
        <f>VLOOKUP($A140,'Data shares'!$C:$FA,128)*100</f>
        <v>0.96</v>
      </c>
      <c r="F140" s="49">
        <f>VLOOKUP($A140,'Data shares'!$C:$FA,129)</f>
        <v>145950</v>
      </c>
      <c r="G140" s="17"/>
    </row>
    <row r="141" spans="1:7" x14ac:dyDescent="0.25">
      <c r="A141" s="101" t="s">
        <v>529</v>
      </c>
      <c r="B141" s="17">
        <v>10012679</v>
      </c>
      <c r="C141" s="17">
        <v>530550</v>
      </c>
      <c r="D141" s="17">
        <f t="shared" si="2"/>
        <v>530550</v>
      </c>
      <c r="E141" s="49">
        <f>VLOOKUP($A141,'Data shares'!$C:$FA,128)*100</f>
        <v>5.96</v>
      </c>
      <c r="F141" s="49">
        <f>VLOOKUP($A141,'Data shares'!$C:$FA,129)</f>
        <v>135600</v>
      </c>
      <c r="G141" s="17"/>
    </row>
    <row r="142" spans="1:7" x14ac:dyDescent="0.25">
      <c r="A142" s="101" t="s">
        <v>265</v>
      </c>
      <c r="B142" s="17">
        <v>7180127</v>
      </c>
      <c r="C142" s="17">
        <v>429550</v>
      </c>
      <c r="D142" s="17">
        <f t="shared" si="2"/>
        <v>429550</v>
      </c>
      <c r="E142" s="49">
        <f>VLOOKUP($A142,'Data shares'!$C:$FA,128)*100</f>
        <v>0.9900000000000001</v>
      </c>
      <c r="F142" s="49">
        <f>VLOOKUP($A142,'Data shares'!$C:$FA,129)</f>
        <v>152500</v>
      </c>
      <c r="G142" s="17"/>
    </row>
    <row r="143" spans="1:7" x14ac:dyDescent="0.25">
      <c r="A143" s="101" t="s">
        <v>486</v>
      </c>
      <c r="B143" s="17">
        <v>32559242</v>
      </c>
      <c r="C143" s="17">
        <v>4156800</v>
      </c>
      <c r="D143" s="17">
        <f t="shared" si="2"/>
        <v>4156800</v>
      </c>
      <c r="E143" s="49">
        <f>VLOOKUP($A143,'Data shares'!$C:$FA,128)*100</f>
        <v>2.35</v>
      </c>
      <c r="F143" s="49">
        <f>VLOOKUP($A143,'Data shares'!$C:$FA,129)</f>
        <v>80850</v>
      </c>
      <c r="G143" s="17"/>
    </row>
    <row r="144" spans="1:7" x14ac:dyDescent="0.25">
      <c r="A144" s="101" t="s">
        <v>190</v>
      </c>
      <c r="B144" s="17">
        <v>256482590</v>
      </c>
      <c r="C144" s="17">
        <v>208761000</v>
      </c>
      <c r="D144" s="17">
        <f t="shared" si="2"/>
        <v>208761000</v>
      </c>
      <c r="E144" s="49">
        <f>VLOOKUP($A144,'Data shares'!$C:$FA,128)*100</f>
        <v>2.27</v>
      </c>
      <c r="F144" s="49">
        <f>VLOOKUP($A144,'Data shares'!$C:$FA,129)</f>
        <v>1475250</v>
      </c>
      <c r="G144" s="17"/>
    </row>
    <row r="145" spans="1:7" x14ac:dyDescent="0.25">
      <c r="A145" s="101" t="s">
        <v>303</v>
      </c>
      <c r="B145" s="17">
        <v>109653438</v>
      </c>
      <c r="C145" s="17">
        <v>37709100</v>
      </c>
      <c r="D145" s="17">
        <f t="shared" si="2"/>
        <v>37709100</v>
      </c>
      <c r="E145" s="49">
        <f>VLOOKUP($A145,'Data shares'!$C:$FA,128)*100</f>
        <v>0.96</v>
      </c>
      <c r="F145" s="49">
        <f>VLOOKUP($A145,'Data shares'!$C:$FA,129)</f>
        <v>346880</v>
      </c>
      <c r="G145" s="17"/>
    </row>
    <row r="146" spans="1:7" x14ac:dyDescent="0.25">
      <c r="A146" s="101" t="s">
        <v>255</v>
      </c>
      <c r="B146" s="17">
        <v>26359259</v>
      </c>
      <c r="C146" s="17">
        <v>6916100</v>
      </c>
      <c r="D146" s="17">
        <f t="shared" si="2"/>
        <v>6916100</v>
      </c>
      <c r="E146" s="49">
        <f>VLOOKUP($A146,'Data shares'!$C:$FA,128)*100</f>
        <v>1.23</v>
      </c>
      <c r="F146" s="49">
        <f>VLOOKUP($A146,'Data shares'!$C:$FA,129)</f>
        <v>33650</v>
      </c>
      <c r="G146" s="17"/>
    </row>
    <row r="147" spans="1:7" x14ac:dyDescent="0.25">
      <c r="A147" s="101" t="s">
        <v>180</v>
      </c>
      <c r="B147" s="17">
        <v>372635498</v>
      </c>
      <c r="C147" s="17">
        <v>233426700</v>
      </c>
      <c r="D147" s="17">
        <f t="shared" si="2"/>
        <v>233426700</v>
      </c>
      <c r="E147" s="49">
        <f>VLOOKUP($A147,'Data shares'!$C:$FA,128)*100</f>
        <v>1.78</v>
      </c>
      <c r="F147" s="49">
        <f>VLOOKUP($A147,'Data shares'!$C:$FA,129)</f>
        <v>1427400</v>
      </c>
      <c r="G147" s="17"/>
    </row>
    <row r="148" spans="1:7" x14ac:dyDescent="0.25">
      <c r="A148" s="101" t="s">
        <v>179</v>
      </c>
      <c r="B148" s="17">
        <v>193321473</v>
      </c>
      <c r="C148" s="17">
        <v>47098800</v>
      </c>
      <c r="D148" s="17">
        <f t="shared" si="2"/>
        <v>47098800</v>
      </c>
      <c r="E148" s="49">
        <f>VLOOKUP($A148,'Data shares'!$C:$FA,128)*100</f>
        <v>4.74</v>
      </c>
      <c r="F148" s="49">
        <f>VLOOKUP($A148,'Data shares'!$C:$FA,129)</f>
        <v>5072400</v>
      </c>
    </row>
    <row r="149" spans="1:7" x14ac:dyDescent="0.25">
      <c r="A149" s="101" t="s">
        <v>253</v>
      </c>
      <c r="B149" s="17">
        <v>109926618</v>
      </c>
      <c r="C149" s="17">
        <v>54285000</v>
      </c>
      <c r="D149" s="17">
        <f t="shared" si="2"/>
        <v>54285000</v>
      </c>
      <c r="E149" s="49">
        <f>VLOOKUP($A149,'Data shares'!$C:$FA,128)*100</f>
        <v>1.1100000000000001</v>
      </c>
      <c r="F149" s="49">
        <f>VLOOKUP($A149,'Data shares'!$C:$FA,129)</f>
        <v>402000</v>
      </c>
    </row>
    <row r="150" spans="1:7" x14ac:dyDescent="0.25">
      <c r="A150" s="101" t="s">
        <v>261</v>
      </c>
      <c r="B150" s="17">
        <v>611563</v>
      </c>
      <c r="C150" s="17">
        <v>120180</v>
      </c>
      <c r="D150" s="17">
        <f t="shared" si="2"/>
        <v>120180</v>
      </c>
      <c r="E150" s="49">
        <f>VLOOKUP($A150,'Data shares'!$C:$FA,128)*100</f>
        <v>0.69</v>
      </c>
      <c r="F150" s="49">
        <f>VLOOKUP($A150,'Data shares'!$C:$FA,129)</f>
        <v>35475</v>
      </c>
    </row>
    <row r="151" spans="1:7" x14ac:dyDescent="0.25">
      <c r="A151" s="101" t="s">
        <v>164</v>
      </c>
      <c r="B151" s="17">
        <v>145854205</v>
      </c>
      <c r="C151" s="17">
        <v>46824000</v>
      </c>
      <c r="D151" s="17">
        <f t="shared" si="2"/>
        <v>46824000</v>
      </c>
      <c r="E151" s="49">
        <f>VLOOKUP($A151,'Data shares'!$C:$FA,128)*100</f>
        <v>1.5699999999999998</v>
      </c>
      <c r="F151" s="49">
        <f>VLOOKUP($A151,'Data shares'!$C:$FA,129)</f>
        <v>801150</v>
      </c>
    </row>
    <row r="152" spans="1:7" x14ac:dyDescent="0.25">
      <c r="A152" s="101" t="s">
        <v>526</v>
      </c>
      <c r="B152" s="17">
        <v>44365911</v>
      </c>
      <c r="C152" s="17">
        <v>20668300</v>
      </c>
      <c r="D152" s="17">
        <f t="shared" si="2"/>
        <v>20668300</v>
      </c>
      <c r="E152" s="49">
        <f>VLOOKUP($A152,'Data shares'!$C:$FA,128)*100</f>
        <v>1.7999999999999998</v>
      </c>
      <c r="F152" s="49">
        <f>VLOOKUP($A152,'Data shares'!$C:$FA,129)</f>
        <v>467000</v>
      </c>
    </row>
    <row r="153" spans="1:7" x14ac:dyDescent="0.25">
      <c r="A153" s="101" t="s">
        <v>515</v>
      </c>
      <c r="B153" s="17">
        <v>3083179</v>
      </c>
      <c r="C153" s="17">
        <v>492075</v>
      </c>
      <c r="D153" s="17">
        <f t="shared" si="2"/>
        <v>492075</v>
      </c>
      <c r="E153" s="49">
        <f>VLOOKUP($A153,'Data shares'!$C:$FA,128)*100</f>
        <v>1.7999999999999998</v>
      </c>
      <c r="F153" s="49">
        <f>VLOOKUP($A153,'Data shares'!$C:$FA,129)</f>
        <v>467000</v>
      </c>
    </row>
    <row r="154" spans="1:7" x14ac:dyDescent="0.25">
      <c r="A154" s="101" t="s">
        <v>226</v>
      </c>
      <c r="B154" s="17">
        <v>26072630</v>
      </c>
      <c r="C154" s="17">
        <v>9897900</v>
      </c>
      <c r="D154" s="17">
        <f t="shared" si="2"/>
        <v>9897900</v>
      </c>
      <c r="E154" s="49">
        <f>VLOOKUP($A154,'Data shares'!$C:$FA,128)*100</f>
        <v>1.52</v>
      </c>
      <c r="F154" s="49">
        <f>VLOOKUP($A154,'Data shares'!$C:$FA,129)</f>
        <v>79200</v>
      </c>
    </row>
    <row r="155" spans="1:7" x14ac:dyDescent="0.25">
      <c r="A155" s="101" t="s">
        <v>544</v>
      </c>
      <c r="B155" s="17">
        <v>139989683</v>
      </c>
      <c r="C155" s="17">
        <v>28415200</v>
      </c>
      <c r="D155" s="17">
        <f t="shared" si="2"/>
        <v>28415200</v>
      </c>
      <c r="E155" s="49">
        <f>VLOOKUP($A155,'Data shares'!$C:$FA,128)*100</f>
        <v>1.22</v>
      </c>
      <c r="F155" s="49">
        <f>VLOOKUP($A155,'Data shares'!$C:$FA,129)</f>
        <v>911400</v>
      </c>
    </row>
    <row r="156" spans="1:7" x14ac:dyDescent="0.25">
      <c r="A156" s="101" t="s">
        <v>547</v>
      </c>
      <c r="B156" s="17">
        <v>65482129</v>
      </c>
      <c r="C156" s="17">
        <v>33944200</v>
      </c>
      <c r="D156" s="17">
        <f t="shared" si="2"/>
        <v>33944200</v>
      </c>
      <c r="E156" s="49">
        <f>VLOOKUP($A156,'Data shares'!$C:$FA,128)*100</f>
        <v>0.82000000000000006</v>
      </c>
      <c r="F156" s="49">
        <f>VLOOKUP($A156,'Data shares'!$C:$FA,129)</f>
        <v>484400</v>
      </c>
    </row>
    <row r="157" spans="1:7" x14ac:dyDescent="0.25">
      <c r="A157" s="101" t="s">
        <v>499</v>
      </c>
      <c r="B157" s="17">
        <v>66687240</v>
      </c>
      <c r="C157" s="17">
        <v>16125200</v>
      </c>
      <c r="D157" s="17">
        <f t="shared" si="2"/>
        <v>16125200</v>
      </c>
      <c r="E157" s="49">
        <f>VLOOKUP($A157,'Data shares'!$C:$FA,128)*100</f>
        <v>1.22</v>
      </c>
      <c r="F157" s="49">
        <f>VLOOKUP($A157,'Data shares'!$C:$FA,129)</f>
        <v>911400</v>
      </c>
    </row>
    <row r="158" spans="1:7" x14ac:dyDescent="0.25">
      <c r="A158" s="101" t="s">
        <v>483</v>
      </c>
      <c r="B158" s="17">
        <v>16146181</v>
      </c>
      <c r="C158" s="17">
        <v>1914250</v>
      </c>
      <c r="D158" s="17">
        <f t="shared" si="2"/>
        <v>1914250</v>
      </c>
      <c r="E158" s="49">
        <f>VLOOKUP($A158,'Data shares'!$C:$FA,128)*100</f>
        <v>3.06</v>
      </c>
      <c r="F158" s="49">
        <f>VLOOKUP($A158,'Data shares'!$C:$FA,129)</f>
        <v>55475</v>
      </c>
    </row>
    <row r="159" spans="1:7" x14ac:dyDescent="0.25">
      <c r="A159" s="101" t="s">
        <v>546</v>
      </c>
      <c r="B159" s="17">
        <v>18282414</v>
      </c>
      <c r="C159" s="17">
        <v>13742300</v>
      </c>
      <c r="D159" s="17">
        <f t="shared" si="2"/>
        <v>13742300</v>
      </c>
      <c r="E159" s="49">
        <f>VLOOKUP($A159,'Data shares'!$C:$FA,128)*100</f>
        <v>2.1800000000000002</v>
      </c>
      <c r="F159" s="49">
        <f>VLOOKUP($A159,'Data shares'!$C:$FA,129)</f>
        <v>3592125</v>
      </c>
    </row>
    <row r="160" spans="1:7" x14ac:dyDescent="0.25">
      <c r="A160" s="101" t="s">
        <v>220</v>
      </c>
      <c r="B160" s="17">
        <v>50687734</v>
      </c>
      <c r="C160" s="17">
        <v>6783500</v>
      </c>
      <c r="D160" s="17">
        <f t="shared" si="2"/>
        <v>6783500</v>
      </c>
      <c r="E160" s="49">
        <f>VLOOKUP($A160,'Data shares'!$C:$FA,128)*100</f>
        <v>2.94</v>
      </c>
      <c r="F160" s="49">
        <f>VLOOKUP($A160,'Data shares'!$C:$FA,129)</f>
        <v>221500</v>
      </c>
    </row>
    <row r="161" spans="1:6" x14ac:dyDescent="0.25">
      <c r="A161" s="101" t="s">
        <v>472</v>
      </c>
      <c r="B161" s="17">
        <v>50993734</v>
      </c>
      <c r="C161" s="17">
        <v>3803750</v>
      </c>
      <c r="D161" s="17">
        <f t="shared" si="2"/>
        <v>3803750</v>
      </c>
      <c r="E161" s="49">
        <f>VLOOKUP($A161,'Data shares'!$C:$FA,128)*100</f>
        <v>0.51</v>
      </c>
      <c r="F161" s="49">
        <f>VLOOKUP($A161,'Data shares'!$C:$FA,129)</f>
        <v>23075</v>
      </c>
    </row>
    <row r="162" spans="1:6" x14ac:dyDescent="0.25">
      <c r="A162" t="s">
        <v>535</v>
      </c>
      <c r="B162">
        <v>78168147</v>
      </c>
      <c r="C162">
        <v>9571500</v>
      </c>
      <c r="D162" s="17">
        <f t="shared" ref="D162:D204" si="3">C162</f>
        <v>9571500</v>
      </c>
      <c r="E162" s="49">
        <f>VLOOKUP($A162,'Data shares'!$C:$FA,128)*100</f>
        <v>4.1500000000000004</v>
      </c>
      <c r="F162" s="49">
        <f>VLOOKUP($A162,'Data shares'!$C:$FA,129)</f>
        <v>592450</v>
      </c>
    </row>
    <row r="163" spans="1:6" x14ac:dyDescent="0.25">
      <c r="A163" t="s">
        <v>492</v>
      </c>
      <c r="B163">
        <v>28779078</v>
      </c>
      <c r="C163">
        <v>14404150</v>
      </c>
      <c r="D163" s="17">
        <f t="shared" si="3"/>
        <v>14404150</v>
      </c>
      <c r="E163" s="49">
        <f>VLOOKUP($A163,'Data shares'!$C:$FA,128)*100</f>
        <v>1.7399999999999998</v>
      </c>
      <c r="F163" s="49">
        <f>VLOOKUP($A163,'Data shares'!$C:$FA,129)</f>
        <v>150425</v>
      </c>
    </row>
    <row r="164" spans="1:6" x14ac:dyDescent="0.25">
      <c r="A164" t="s">
        <v>298</v>
      </c>
      <c r="B164">
        <v>9731600</v>
      </c>
      <c r="C164">
        <v>863500</v>
      </c>
      <c r="D164" s="17">
        <f t="shared" si="3"/>
        <v>863500</v>
      </c>
      <c r="E164" s="49">
        <f>VLOOKUP($A164,'Data shares'!$C:$FA,128)*100</f>
        <v>0.45999999999999996</v>
      </c>
      <c r="F164" s="49">
        <f>VLOOKUP($A164,'Data shares'!$C:$FA,129)</f>
        <v>9750</v>
      </c>
    </row>
    <row r="165" spans="1:6" x14ac:dyDescent="0.25">
      <c r="A165" t="s">
        <v>548</v>
      </c>
      <c r="B165">
        <v>442076</v>
      </c>
      <c r="C165">
        <v>9615</v>
      </c>
      <c r="D165" s="17">
        <f t="shared" si="3"/>
        <v>9615</v>
      </c>
      <c r="E165" s="49">
        <f>VLOOKUP($A165,'Data shares'!$C:$FA,128)*100</f>
        <v>7.07</v>
      </c>
      <c r="F165" s="49">
        <f>VLOOKUP($A165,'Data shares'!$C:$FA,129)</f>
        <v>2429175</v>
      </c>
    </row>
    <row r="166" spans="1:6" x14ac:dyDescent="0.25">
      <c r="A166" t="s">
        <v>530</v>
      </c>
      <c r="B166">
        <v>3258166</v>
      </c>
      <c r="C166">
        <v>219750</v>
      </c>
      <c r="D166" s="17">
        <f t="shared" si="3"/>
        <v>219750</v>
      </c>
      <c r="E166" s="49">
        <f>VLOOKUP($A166,'Data shares'!$C:$FA,128)*100</f>
        <v>5.18</v>
      </c>
      <c r="F166" s="49">
        <f>VLOOKUP($A166,'Data shares'!$C:$FA,129)</f>
        <v>374850</v>
      </c>
    </row>
    <row r="167" spans="1:6" x14ac:dyDescent="0.25">
      <c r="A167" t="s">
        <v>249</v>
      </c>
      <c r="B167">
        <v>277168216</v>
      </c>
      <c r="C167">
        <v>21795375</v>
      </c>
      <c r="D167" s="17">
        <f t="shared" si="3"/>
        <v>21795375</v>
      </c>
      <c r="E167" s="49">
        <f>VLOOKUP($A167,'Data shares'!$C:$FA,128)*100</f>
        <v>1.73</v>
      </c>
      <c r="F167" s="49">
        <f>VLOOKUP($A167,'Data shares'!$C:$FA,129)</f>
        <v>215775</v>
      </c>
    </row>
    <row r="168" spans="1:6" x14ac:dyDescent="0.25">
      <c r="A168" t="s">
        <v>216</v>
      </c>
      <c r="B168">
        <v>484955219</v>
      </c>
      <c r="C168">
        <v>230400000</v>
      </c>
      <c r="D168" s="17">
        <f t="shared" si="3"/>
        <v>230400000</v>
      </c>
      <c r="E168" s="49">
        <f>VLOOKUP($A168,'Data shares'!$C:$FA,128)*100</f>
        <v>2.1800000000000002</v>
      </c>
      <c r="F168" s="49">
        <f>VLOOKUP($A168,'Data shares'!$C:$FA,129)</f>
        <v>3592125</v>
      </c>
    </row>
    <row r="169" spans="1:6" x14ac:dyDescent="0.25">
      <c r="A169" t="s">
        <v>252</v>
      </c>
      <c r="B169">
        <v>117640832</v>
      </c>
      <c r="C169">
        <v>52456000</v>
      </c>
      <c r="D169" s="17">
        <f t="shared" si="3"/>
        <v>52456000</v>
      </c>
      <c r="E169" s="49">
        <f>VLOOKUP($A169,'Data shares'!$C:$FA,128)*100</f>
        <v>1.22</v>
      </c>
      <c r="F169" s="49">
        <f>VLOOKUP($A169,'Data shares'!$C:$FA,129)</f>
        <v>201800</v>
      </c>
    </row>
    <row r="170" spans="1:6" x14ac:dyDescent="0.25">
      <c r="A170" t="s">
        <v>205</v>
      </c>
      <c r="B170">
        <v>25513876</v>
      </c>
      <c r="C170">
        <v>3302300</v>
      </c>
      <c r="D170" s="17">
        <f t="shared" si="3"/>
        <v>3302300</v>
      </c>
      <c r="E170" s="49">
        <f>VLOOKUP($A170,'Data shares'!$C:$FA,128)*100</f>
        <v>0.91</v>
      </c>
      <c r="F170" s="49">
        <f>VLOOKUP($A170,'Data shares'!$C:$FA,129)</f>
        <v>27500</v>
      </c>
    </row>
    <row r="171" spans="1:6" x14ac:dyDescent="0.25">
      <c r="A171" t="s">
        <v>194</v>
      </c>
      <c r="B171">
        <v>202646440</v>
      </c>
      <c r="C171">
        <v>52470000</v>
      </c>
      <c r="D171" s="17">
        <f t="shared" si="3"/>
        <v>52470000</v>
      </c>
      <c r="E171" s="49">
        <f>VLOOKUP($A171,'Data shares'!$C:$FA,128)*100</f>
        <v>3.8699999999999997</v>
      </c>
      <c r="F171" s="49">
        <f>VLOOKUP($A171,'Data shares'!$C:$FA,129)</f>
        <v>928250</v>
      </c>
    </row>
    <row r="172" spans="1:6" x14ac:dyDescent="0.25">
      <c r="A172" t="s">
        <v>263</v>
      </c>
      <c r="B172">
        <v>178967755</v>
      </c>
      <c r="C172">
        <v>142910500</v>
      </c>
      <c r="D172" s="17">
        <f t="shared" si="3"/>
        <v>142910500</v>
      </c>
      <c r="E172" s="49">
        <f>VLOOKUP($A172,'Data shares'!$C:$FA,128)*100</f>
        <v>6.36</v>
      </c>
      <c r="F172" s="49">
        <f>VLOOKUP($A172,'Data shares'!$C:$FA,129)</f>
        <v>3172500</v>
      </c>
    </row>
    <row r="173" spans="1:6" x14ac:dyDescent="0.25">
      <c r="A173" t="s">
        <v>476</v>
      </c>
      <c r="B173">
        <v>40446155</v>
      </c>
      <c r="C173">
        <v>4358800</v>
      </c>
      <c r="D173" s="17">
        <f t="shared" si="3"/>
        <v>4358800</v>
      </c>
      <c r="E173" s="49">
        <f>VLOOKUP($A173,'Data shares'!$C:$FA,128)*100</f>
        <v>1.79</v>
      </c>
      <c r="F173" s="49">
        <f>VLOOKUP($A173,'Data shares'!$C:$FA,129)</f>
        <v>41000</v>
      </c>
    </row>
    <row r="174" spans="1:6" x14ac:dyDescent="0.25">
      <c r="A174" t="s">
        <v>187</v>
      </c>
      <c r="B174">
        <v>51436398</v>
      </c>
      <c r="C174">
        <v>7413750</v>
      </c>
      <c r="D174" s="17">
        <f t="shared" si="3"/>
        <v>7413750</v>
      </c>
      <c r="E174" s="49">
        <f>VLOOKUP($A174,'Data shares'!$C:$FA,128)*100</f>
        <v>1.6099999999999999</v>
      </c>
      <c r="F174" s="49">
        <f>VLOOKUP($A174,'Data shares'!$C:$FA,129)</f>
        <v>132500</v>
      </c>
    </row>
    <row r="175" spans="1:6" x14ac:dyDescent="0.25">
      <c r="A175" t="s">
        <v>493</v>
      </c>
      <c r="B175">
        <v>14814614</v>
      </c>
      <c r="C175">
        <v>3344250</v>
      </c>
      <c r="D175" s="17">
        <f t="shared" si="3"/>
        <v>3344250</v>
      </c>
      <c r="E175" s="49">
        <f>VLOOKUP($A175,'Data shares'!$C:$FA,128)*100</f>
        <v>2.04</v>
      </c>
      <c r="F175" s="49">
        <f>VLOOKUP($A175,'Data shares'!$C:$FA,129)</f>
        <v>53950</v>
      </c>
    </row>
    <row r="176" spans="1:6" x14ac:dyDescent="0.25">
      <c r="A176" t="s">
        <v>525</v>
      </c>
      <c r="B176">
        <v>35635456</v>
      </c>
      <c r="C176">
        <v>28959300</v>
      </c>
      <c r="D176" s="17">
        <f t="shared" si="3"/>
        <v>28959300</v>
      </c>
      <c r="E176" s="49">
        <f>VLOOKUP($A176,'Data shares'!$C:$FA,128)*100</f>
        <v>1.46</v>
      </c>
      <c r="F176" s="49">
        <f>VLOOKUP($A176,'Data shares'!$C:$FA,129)</f>
        <v>215800</v>
      </c>
    </row>
    <row r="177" spans="1:6" x14ac:dyDescent="0.25">
      <c r="A177" t="s">
        <v>512</v>
      </c>
      <c r="B177">
        <v>7771646</v>
      </c>
      <c r="C177">
        <v>1119375</v>
      </c>
      <c r="D177" s="17">
        <f t="shared" si="3"/>
        <v>1119375</v>
      </c>
      <c r="E177" s="49">
        <f>VLOOKUP($A177,'Data shares'!$C:$FA,128)*100</f>
        <v>5.7700000000000005</v>
      </c>
      <c r="F177" s="49">
        <f>VLOOKUP($A177,'Data shares'!$C:$FA,129)</f>
        <v>156050</v>
      </c>
    </row>
    <row r="178" spans="1:6" x14ac:dyDescent="0.25">
      <c r="A178" t="s">
        <v>233</v>
      </c>
      <c r="B178">
        <v>76432837</v>
      </c>
      <c r="C178">
        <v>9804000</v>
      </c>
      <c r="D178" s="17">
        <f t="shared" si="3"/>
        <v>9804000</v>
      </c>
      <c r="E178" s="49">
        <f>VLOOKUP($A178,'Data shares'!$C:$FA,128)*100</f>
        <v>0.54999999999999993</v>
      </c>
      <c r="F178" s="49">
        <f>VLOOKUP($A178,'Data shares'!$C:$FA,129)</f>
        <v>90650</v>
      </c>
    </row>
    <row r="179" spans="1:6" x14ac:dyDescent="0.25">
      <c r="A179" t="s">
        <v>183</v>
      </c>
      <c r="B179">
        <v>12092405</v>
      </c>
      <c r="C179">
        <v>2606450</v>
      </c>
      <c r="D179" s="17">
        <f t="shared" si="3"/>
        <v>2606450</v>
      </c>
      <c r="E179" s="49">
        <f>VLOOKUP($A179,'Data shares'!$C:$FA,128)*100</f>
        <v>7.22</v>
      </c>
      <c r="F179" s="49">
        <f>VLOOKUP($A179,'Data shares'!$C:$FA,129)</f>
        <v>97440</v>
      </c>
    </row>
    <row r="180" spans="1:6" x14ac:dyDescent="0.25">
      <c r="A180" t="s">
        <v>280</v>
      </c>
      <c r="B180">
        <v>187084550</v>
      </c>
      <c r="C180">
        <v>50568000</v>
      </c>
      <c r="D180" s="17">
        <f t="shared" si="3"/>
        <v>50568000</v>
      </c>
      <c r="E180" s="49">
        <f>VLOOKUP($A180,'Data shares'!$C:$FA,128)*100</f>
        <v>7.0499999999999989</v>
      </c>
      <c r="F180" s="49">
        <f>VLOOKUP($A180,'Data shares'!$C:$FA,129)</f>
        <v>6108200</v>
      </c>
    </row>
    <row r="181" spans="1:6" x14ac:dyDescent="0.25">
      <c r="A181" t="s">
        <v>166</v>
      </c>
      <c r="B181">
        <v>79597108</v>
      </c>
      <c r="C181">
        <v>26630000</v>
      </c>
      <c r="D181" s="17">
        <f t="shared" si="3"/>
        <v>26630000</v>
      </c>
      <c r="E181" s="49">
        <f>VLOOKUP($A181,'Data shares'!$C:$FA,128)*100</f>
        <v>1.76</v>
      </c>
      <c r="F181" s="49">
        <f>VLOOKUP($A181,'Data shares'!$C:$FA,129)</f>
        <v>49125</v>
      </c>
    </row>
    <row r="182" spans="1:6" x14ac:dyDescent="0.25">
      <c r="A182" t="s">
        <v>241</v>
      </c>
      <c r="B182">
        <v>913205148</v>
      </c>
      <c r="C182">
        <v>118527500</v>
      </c>
      <c r="D182" s="17">
        <f t="shared" si="3"/>
        <v>118527500</v>
      </c>
      <c r="E182" s="49">
        <f>VLOOKUP($A182,'Data shares'!$C:$FA,128)*100</f>
        <v>3.04</v>
      </c>
      <c r="F182" s="49">
        <f>VLOOKUP($A182,'Data shares'!$C:$FA,129)</f>
        <v>2720250</v>
      </c>
    </row>
    <row r="183" spans="1:6" x14ac:dyDescent="0.25">
      <c r="A183" t="s">
        <v>517</v>
      </c>
      <c r="B183">
        <v>10180563</v>
      </c>
      <c r="C183">
        <v>3926650</v>
      </c>
      <c r="D183" s="17">
        <f t="shared" si="3"/>
        <v>3926650</v>
      </c>
      <c r="E183" s="49">
        <f>VLOOKUP($A183,'Data shares'!$C:$FA,128)*100</f>
        <v>3.37</v>
      </c>
      <c r="F183" s="49">
        <f>VLOOKUP($A183,'Data shares'!$C:$FA,129)</f>
        <v>95625</v>
      </c>
    </row>
    <row r="184" spans="1:6" x14ac:dyDescent="0.25">
      <c r="A184" t="s">
        <v>211</v>
      </c>
      <c r="B184">
        <v>91809066</v>
      </c>
      <c r="C184">
        <v>33516000</v>
      </c>
      <c r="D184" s="17">
        <f t="shared" si="3"/>
        <v>33516000</v>
      </c>
      <c r="E184" s="49">
        <f>VLOOKUP($A184,'Data shares'!$C:$FA,128)*100</f>
        <v>3.95</v>
      </c>
      <c r="F184" s="49">
        <f>VLOOKUP($A184,'Data shares'!$C:$FA,129)</f>
        <v>1141200</v>
      </c>
    </row>
    <row r="185" spans="1:6" x14ac:dyDescent="0.25">
      <c r="A185" t="s">
        <v>518</v>
      </c>
      <c r="B185">
        <v>4636018</v>
      </c>
      <c r="C185">
        <v>608375</v>
      </c>
      <c r="D185" s="17">
        <f t="shared" si="3"/>
        <v>608375</v>
      </c>
      <c r="E185" s="49">
        <f>VLOOKUP($A185,'Data shares'!$C:$FA,128)*100</f>
        <v>2.29</v>
      </c>
      <c r="F185" s="49">
        <f>VLOOKUP($A185,'Data shares'!$C:$FA,129)</f>
        <v>29400</v>
      </c>
    </row>
    <row r="186" spans="1:6" x14ac:dyDescent="0.25">
      <c r="A186" t="s">
        <v>511</v>
      </c>
      <c r="B186">
        <v>18644752</v>
      </c>
      <c r="C186">
        <v>4227600</v>
      </c>
      <c r="D186" s="17">
        <f t="shared" si="3"/>
        <v>4227600</v>
      </c>
      <c r="E186" s="49">
        <f>VLOOKUP($A186,'Data shares'!$C:$FA,128)*100</f>
        <v>4.0599999999999996</v>
      </c>
      <c r="F186" s="49">
        <f>VLOOKUP($A186,'Data shares'!$C:$FA,129)</f>
        <v>4799250</v>
      </c>
    </row>
    <row r="187" spans="1:6" x14ac:dyDescent="0.25">
      <c r="A187" t="s">
        <v>186</v>
      </c>
      <c r="B187">
        <v>48589957</v>
      </c>
      <c r="C187">
        <v>5942200</v>
      </c>
      <c r="D187" s="17">
        <f t="shared" si="3"/>
        <v>5942200</v>
      </c>
      <c r="E187" s="49">
        <f>VLOOKUP($A187,'Data shares'!$C:$FA,128)*100</f>
        <v>3.95</v>
      </c>
      <c r="F187" s="49">
        <f>VLOOKUP($A187,'Data shares'!$C:$FA,129)</f>
        <v>4601325</v>
      </c>
    </row>
    <row r="188" spans="1:6" x14ac:dyDescent="0.25">
      <c r="A188" t="s">
        <v>522</v>
      </c>
      <c r="B188">
        <v>1063050</v>
      </c>
      <c r="C188">
        <v>54050</v>
      </c>
      <c r="D188" s="17">
        <f t="shared" si="3"/>
        <v>54050</v>
      </c>
      <c r="E188" s="49">
        <f>VLOOKUP($A188,'Data shares'!$C:$FA,128)*100</f>
        <v>2.67</v>
      </c>
      <c r="F188" s="49">
        <f>VLOOKUP($A188,'Data shares'!$C:$FA,129)</f>
        <v>60250</v>
      </c>
    </row>
    <row r="189" spans="1:6" x14ac:dyDescent="0.25">
      <c r="A189" t="s">
        <v>300</v>
      </c>
      <c r="B189">
        <v>45360865</v>
      </c>
      <c r="C189">
        <v>14277200</v>
      </c>
      <c r="D189" s="17">
        <f t="shared" si="3"/>
        <v>14277200</v>
      </c>
      <c r="E189" s="49">
        <f>VLOOKUP($A189,'Data shares'!$C:$FA,128)*100</f>
        <v>0.85000000000000009</v>
      </c>
      <c r="F189" s="49">
        <f>VLOOKUP($A189,'Data shares'!$C:$FA,129)</f>
        <v>62650</v>
      </c>
    </row>
    <row r="190" spans="1:6" x14ac:dyDescent="0.25">
      <c r="A190" t="s">
        <v>520</v>
      </c>
      <c r="B190">
        <v>23139622</v>
      </c>
      <c r="C190">
        <v>1555500</v>
      </c>
      <c r="D190" s="17">
        <f t="shared" si="3"/>
        <v>1555500</v>
      </c>
      <c r="E190" s="49">
        <f>VLOOKUP($A190,'Data shares'!$C:$FA,128)*100</f>
        <v>1.1100000000000001</v>
      </c>
      <c r="F190" s="49">
        <f>VLOOKUP($A190,'Data shares'!$C:$FA,129)</f>
        <v>84000</v>
      </c>
    </row>
    <row r="191" spans="1:6" x14ac:dyDescent="0.25">
      <c r="A191" t="s">
        <v>294</v>
      </c>
      <c r="B191">
        <v>161436977</v>
      </c>
      <c r="C191">
        <v>59382700</v>
      </c>
      <c r="D191" s="17">
        <f t="shared" si="3"/>
        <v>59382700</v>
      </c>
      <c r="E191" s="49">
        <f>VLOOKUP($A191,'Data shares'!$C:$FA,128)*100</f>
        <v>2.4699999999999998</v>
      </c>
      <c r="F191" s="49">
        <f>VLOOKUP($A191,'Data shares'!$C:$FA,129)</f>
        <v>5918000</v>
      </c>
    </row>
    <row r="192" spans="1:6" x14ac:dyDescent="0.25">
      <c r="A192" t="s">
        <v>244</v>
      </c>
      <c r="B192">
        <v>265685393</v>
      </c>
      <c r="C192">
        <v>44023500</v>
      </c>
      <c r="D192" s="17">
        <f t="shared" si="3"/>
        <v>44023500</v>
      </c>
      <c r="E192" s="49">
        <f>VLOOKUP($A192,'Data shares'!$C:$FA,128)*100</f>
        <v>0.70000000000000007</v>
      </c>
      <c r="F192" s="49">
        <f>VLOOKUP($A192,'Data shares'!$C:$FA,129)</f>
        <v>348300</v>
      </c>
    </row>
    <row r="193" spans="1:6" x14ac:dyDescent="0.25">
      <c r="A193" t="s">
        <v>160</v>
      </c>
      <c r="B193">
        <v>145684825</v>
      </c>
      <c r="C193">
        <v>110820000</v>
      </c>
      <c r="D193" s="17">
        <f t="shared" si="3"/>
        <v>110820000</v>
      </c>
      <c r="E193" s="49">
        <f>VLOOKUP($A193,'Data shares'!$C:$FA,128)*100</f>
        <v>2.9000000000000004</v>
      </c>
      <c r="F193" s="49">
        <f>VLOOKUP($A193,'Data shares'!$C:$FA,129)</f>
        <v>702525</v>
      </c>
    </row>
    <row r="194" spans="1:6" x14ac:dyDescent="0.25">
      <c r="A194" t="s">
        <v>496</v>
      </c>
      <c r="B194">
        <v>11999202</v>
      </c>
      <c r="C194">
        <v>2345700</v>
      </c>
      <c r="D194" s="17">
        <f t="shared" si="3"/>
        <v>2345700</v>
      </c>
      <c r="E194" s="49">
        <f>VLOOKUP($A194,'Data shares'!$C:$FA,128)*100</f>
        <v>0.65</v>
      </c>
      <c r="F194" s="49">
        <f>VLOOKUP($A194,'Data shares'!$C:$FA,129)</f>
        <v>54250</v>
      </c>
    </row>
    <row r="195" spans="1:6" x14ac:dyDescent="0.25">
      <c r="A195" t="s">
        <v>230</v>
      </c>
      <c r="B195">
        <v>179034270</v>
      </c>
      <c r="C195">
        <v>24257400</v>
      </c>
      <c r="D195" s="17">
        <f t="shared" si="3"/>
        <v>24257400</v>
      </c>
      <c r="E195" s="49">
        <f>VLOOKUP($A195,'Data shares'!$C:$FA,128)*100</f>
        <v>2.1</v>
      </c>
      <c r="F195" s="49">
        <f>VLOOKUP($A195,'Data shares'!$C:$FA,129)</f>
        <v>235200</v>
      </c>
    </row>
    <row r="196" spans="1:6" x14ac:dyDescent="0.25">
      <c r="A196" t="s">
        <v>203</v>
      </c>
      <c r="B196">
        <v>27165463</v>
      </c>
      <c r="C196">
        <v>3318000</v>
      </c>
      <c r="D196" s="17">
        <f t="shared" si="3"/>
        <v>3318000</v>
      </c>
      <c r="E196" s="49">
        <f>VLOOKUP($A196,'Data shares'!$C:$FA,128)*100</f>
        <v>0.76</v>
      </c>
      <c r="F196" s="49">
        <f>VLOOKUP($A196,'Data shares'!$C:$FA,129)</f>
        <v>22600</v>
      </c>
    </row>
    <row r="197" spans="1:6" x14ac:dyDescent="0.25">
      <c r="A197" t="s">
        <v>251</v>
      </c>
      <c r="B197">
        <v>184464522</v>
      </c>
      <c r="C197">
        <v>32566800</v>
      </c>
      <c r="D197" s="17">
        <f t="shared" si="3"/>
        <v>32566800</v>
      </c>
      <c r="E197" s="49">
        <f>VLOOKUP($A197,'Data shares'!$C:$FA,128)*100</f>
        <v>1.22</v>
      </c>
      <c r="F197" s="49">
        <f>VLOOKUP($A197,'Data shares'!$C:$FA,129)</f>
        <v>201800</v>
      </c>
    </row>
    <row r="198" spans="1:6" x14ac:dyDescent="0.25">
      <c r="A198" t="s">
        <v>254</v>
      </c>
      <c r="B198">
        <v>104419539</v>
      </c>
      <c r="C198">
        <v>12741000</v>
      </c>
      <c r="D198" s="17">
        <f t="shared" si="3"/>
        <v>12741000</v>
      </c>
      <c r="E198" s="49">
        <f>VLOOKUP($A198,'Data shares'!$C:$FA,128)*100</f>
        <v>0.2</v>
      </c>
      <c r="F198" s="49">
        <f>VLOOKUP($A198,'Data shares'!$C:$FA,129)</f>
        <v>67200</v>
      </c>
    </row>
    <row r="199" spans="1:6" x14ac:dyDescent="0.25">
      <c r="A199" t="s">
        <v>159</v>
      </c>
      <c r="B199">
        <v>55169320</v>
      </c>
      <c r="C199">
        <v>29565500</v>
      </c>
      <c r="D199" s="17">
        <f t="shared" si="3"/>
        <v>29565500</v>
      </c>
      <c r="E199" s="49">
        <f>VLOOKUP($A199,'Data shares'!$C:$FA,128)*100</f>
        <v>3.65</v>
      </c>
      <c r="F199" s="49">
        <f>VLOOKUP($A199,'Data shares'!$C:$FA,129)</f>
        <v>757359</v>
      </c>
    </row>
    <row r="200" spans="1:6" x14ac:dyDescent="0.25">
      <c r="A200" t="s">
        <v>201</v>
      </c>
      <c r="B200">
        <v>26654592</v>
      </c>
      <c r="C200">
        <v>3469200</v>
      </c>
      <c r="D200" s="17">
        <f t="shared" si="3"/>
        <v>3469200</v>
      </c>
      <c r="E200" s="49">
        <f>VLOOKUP($A200,'Data shares'!$C:$FA,128)*100</f>
        <v>3.81</v>
      </c>
      <c r="F200" s="49">
        <f>VLOOKUP($A200,'Data shares'!$C:$FA,129)</f>
        <v>247725</v>
      </c>
    </row>
    <row r="201" spans="1:6" x14ac:dyDescent="0.25">
      <c r="A201" t="s">
        <v>199</v>
      </c>
      <c r="B201">
        <v>102562642</v>
      </c>
      <c r="C201">
        <v>20641400</v>
      </c>
      <c r="D201" s="17">
        <f t="shared" si="3"/>
        <v>20641400</v>
      </c>
      <c r="E201" s="49">
        <f>VLOOKUP($A201,'Data shares'!$C:$FA,128)*100</f>
        <v>1.18</v>
      </c>
      <c r="F201" s="49">
        <f>VLOOKUP($A201,'Data shares'!$C:$FA,129)</f>
        <v>136125</v>
      </c>
    </row>
    <row r="202" spans="1:6" x14ac:dyDescent="0.25">
      <c r="A202" t="s">
        <v>296</v>
      </c>
      <c r="B202">
        <v>124861039</v>
      </c>
      <c r="C202">
        <v>20543400</v>
      </c>
      <c r="D202" s="17">
        <f t="shared" si="3"/>
        <v>20543400</v>
      </c>
      <c r="E202" s="49">
        <f>VLOOKUP($A202,'Data shares'!$C:$FA,128)*100</f>
        <v>0.73</v>
      </c>
      <c r="F202" s="49">
        <f>VLOOKUP($A202,'Data shares'!$C:$FA,129)</f>
        <v>128400</v>
      </c>
    </row>
    <row r="203" spans="1:6" x14ac:dyDescent="0.25">
      <c r="A203" t="s">
        <v>229</v>
      </c>
      <c r="B203">
        <v>127940594</v>
      </c>
      <c r="C203">
        <v>33552900</v>
      </c>
      <c r="D203" s="17">
        <f t="shared" si="3"/>
        <v>33552900</v>
      </c>
      <c r="E203" s="49">
        <f>VLOOKUP($A203,'Data shares'!$C:$FA,128)*100</f>
        <v>1.97</v>
      </c>
      <c r="F203" s="49">
        <f>VLOOKUP($A203,'Data shares'!$C:$FA,129)</f>
        <v>714825</v>
      </c>
    </row>
    <row r="204" spans="1:6" x14ac:dyDescent="0.25">
      <c r="A204" t="s">
        <v>497</v>
      </c>
      <c r="B204">
        <v>10251929</v>
      </c>
      <c r="C204">
        <v>266200</v>
      </c>
      <c r="D204" s="17">
        <f t="shared" si="3"/>
        <v>266200</v>
      </c>
      <c r="E204" s="49">
        <f>VLOOKUP($A204,'Data shares'!$C:$FA,128)*100</f>
        <v>0.62</v>
      </c>
      <c r="F204" s="49">
        <f>VLOOKUP($A204,'Data shares'!$C:$FA,129)</f>
        <v>8125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F14" sqref="F14"/>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A133" zoomScale="86" zoomScaleNormal="86" workbookViewId="0">
      <selection activeCell="L142" sqref="L142"/>
    </sheetView>
  </sheetViews>
  <sheetFormatPr defaultRowHeight="15" x14ac:dyDescent="0.25"/>
  <cols>
    <col min="1" max="1" width="12"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6.2851562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9.425781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140625" customWidth="1"/>
    <col min="90" max="90" width="13" customWidth="1"/>
    <col min="91" max="92" width="11.7109375" customWidth="1"/>
    <col min="93" max="93" width="10.42578125" customWidth="1"/>
    <col min="94" max="94" width="13.5703125" customWidth="1"/>
    <col min="95" max="95" width="12.42578125" customWidth="1"/>
    <col min="96" max="96" width="10.5703125" customWidth="1"/>
    <col min="97" max="97" width="10.42578125" customWidth="1"/>
    <col min="98" max="98" width="13.42578125" customWidth="1"/>
    <col min="99" max="99" width="12.28515625" customWidth="1"/>
    <col min="100" max="100" width="10.57031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9.140625"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710937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20.425781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46023</v>
      </c>
      <c r="B2" s="227" t="s">
        <v>175</v>
      </c>
      <c r="C2" s="227" t="s">
        <v>682</v>
      </c>
      <c r="D2" s="228">
        <v>500</v>
      </c>
      <c r="E2" s="228">
        <v>26</v>
      </c>
      <c r="F2" s="231">
        <v>1182.5</v>
      </c>
      <c r="G2" s="231">
        <v>1186.9000000000001</v>
      </c>
      <c r="H2" s="228">
        <v>-4.4000000000000004</v>
      </c>
      <c r="I2" s="229">
        <v>-3.7000000000000002E-3</v>
      </c>
      <c r="J2" s="231">
        <v>1179.7</v>
      </c>
      <c r="K2" s="231">
        <v>1190</v>
      </c>
      <c r="L2" s="228">
        <v>-10.3</v>
      </c>
      <c r="M2" s="229">
        <v>-8.6999999999999994E-3</v>
      </c>
      <c r="N2" s="231">
        <v>1182.5</v>
      </c>
      <c r="O2" s="231">
        <v>1186.9000000000001</v>
      </c>
      <c r="P2" s="228">
        <v>-4.4000000000000004</v>
      </c>
      <c r="Q2" s="229">
        <v>-3.7000000000000002E-3</v>
      </c>
      <c r="R2" s="231">
        <v>1181.4000000000001</v>
      </c>
      <c r="S2" s="231">
        <v>1184.5</v>
      </c>
      <c r="T2" s="228">
        <v>-3.1</v>
      </c>
      <c r="U2" s="229">
        <v>-2.5999999999999999E-3</v>
      </c>
      <c r="V2" s="228">
        <v>0</v>
      </c>
      <c r="W2" s="228">
        <v>0</v>
      </c>
      <c r="X2" s="228">
        <v>0</v>
      </c>
      <c r="Y2" s="229">
        <v>0</v>
      </c>
      <c r="Z2" s="228">
        <v>2.8</v>
      </c>
      <c r="AA2" s="228">
        <v>-3.1</v>
      </c>
      <c r="AB2" s="228">
        <v>5.9</v>
      </c>
      <c r="AC2" s="229">
        <v>2.3999999999999998E-3</v>
      </c>
      <c r="AD2" s="228">
        <v>2.8</v>
      </c>
      <c r="AE2" s="228">
        <v>-3.1</v>
      </c>
      <c r="AF2" s="228">
        <v>5.9</v>
      </c>
      <c r="AG2" s="229">
        <v>2.3999999999999998E-3</v>
      </c>
      <c r="AH2" s="228">
        <v>1.7</v>
      </c>
      <c r="AI2" s="228">
        <v>-5.5</v>
      </c>
      <c r="AJ2" s="228">
        <v>7.2</v>
      </c>
      <c r="AK2" s="229">
        <v>1.4E-3</v>
      </c>
      <c r="AL2" s="228">
        <v>0</v>
      </c>
      <c r="AM2" s="228">
        <v>0</v>
      </c>
      <c r="AN2" s="228">
        <v>0</v>
      </c>
      <c r="AO2" s="229">
        <v>0</v>
      </c>
      <c r="AP2" s="231">
        <v>1180.06</v>
      </c>
      <c r="AQ2" s="231">
        <v>1176.82</v>
      </c>
      <c r="AR2" s="228">
        <v>0</v>
      </c>
      <c r="AS2" s="228">
        <v>23</v>
      </c>
      <c r="AT2" s="228">
        <v>53</v>
      </c>
      <c r="AU2" s="228">
        <v>-31</v>
      </c>
      <c r="AV2" s="229">
        <v>-0.57399999999999995</v>
      </c>
      <c r="AW2" s="228">
        <v>21</v>
      </c>
      <c r="AX2" s="228">
        <v>52</v>
      </c>
      <c r="AY2" s="228">
        <v>-30</v>
      </c>
      <c r="AZ2" s="229">
        <v>-0.58789999999999998</v>
      </c>
      <c r="BA2" s="228">
        <v>1</v>
      </c>
      <c r="BB2" s="228">
        <v>1</v>
      </c>
      <c r="BC2" s="228">
        <v>0</v>
      </c>
      <c r="BD2" s="229">
        <v>-4.3499999999999997E-2</v>
      </c>
      <c r="BE2" s="228">
        <v>0</v>
      </c>
      <c r="BF2" s="228">
        <v>0</v>
      </c>
      <c r="BG2" s="228">
        <v>0</v>
      </c>
      <c r="BH2" s="229">
        <v>0</v>
      </c>
      <c r="BI2" s="228">
        <v>26</v>
      </c>
      <c r="BJ2" s="228">
        <v>83</v>
      </c>
      <c r="BK2" s="228">
        <v>-57</v>
      </c>
      <c r="BL2" s="229">
        <v>-0.69010000000000005</v>
      </c>
      <c r="BM2" s="228">
        <v>4</v>
      </c>
      <c r="BN2" s="228">
        <v>12</v>
      </c>
      <c r="BO2" s="228">
        <v>-8</v>
      </c>
      <c r="BP2" s="229">
        <v>-0.64729999999999999</v>
      </c>
      <c r="BQ2" s="228">
        <v>53</v>
      </c>
      <c r="BR2" s="228">
        <v>149</v>
      </c>
      <c r="BS2" s="228">
        <v>-96</v>
      </c>
      <c r="BT2" s="229">
        <v>-0.64500000000000002</v>
      </c>
      <c r="BU2" s="230">
        <v>136620</v>
      </c>
      <c r="BV2" s="230">
        <v>366650</v>
      </c>
      <c r="BW2" s="230">
        <v>-230030</v>
      </c>
      <c r="BX2" s="229">
        <v>-0.62739999999999996</v>
      </c>
      <c r="BY2" s="228">
        <v>271</v>
      </c>
      <c r="BZ2" s="228">
        <v>268</v>
      </c>
      <c r="CA2" s="228">
        <v>3</v>
      </c>
      <c r="CB2" s="229">
        <v>1.15E-2</v>
      </c>
      <c r="CC2" s="228">
        <v>266</v>
      </c>
      <c r="CD2" s="228">
        <v>263</v>
      </c>
      <c r="CE2" s="228">
        <v>3</v>
      </c>
      <c r="CF2" s="229">
        <v>1.17E-2</v>
      </c>
      <c r="CG2" s="228">
        <v>5</v>
      </c>
      <c r="CH2" s="228">
        <v>5</v>
      </c>
      <c r="CI2" s="228">
        <v>0</v>
      </c>
      <c r="CJ2" s="229">
        <v>0</v>
      </c>
      <c r="CK2" s="228">
        <v>0</v>
      </c>
      <c r="CL2" s="228">
        <v>0</v>
      </c>
      <c r="CM2" s="228">
        <v>0</v>
      </c>
      <c r="CN2" s="229">
        <v>0</v>
      </c>
      <c r="CO2" s="228">
        <v>53</v>
      </c>
      <c r="CP2" s="228">
        <v>50</v>
      </c>
      <c r="CQ2" s="228">
        <v>3</v>
      </c>
      <c r="CR2" s="229">
        <v>6.3700000000000007E-2</v>
      </c>
      <c r="CS2" s="228">
        <v>22</v>
      </c>
      <c r="CT2" s="228">
        <v>21</v>
      </c>
      <c r="CU2" s="228">
        <v>1</v>
      </c>
      <c r="CV2" s="229">
        <v>3.0599999999999999E-2</v>
      </c>
      <c r="CW2" s="228">
        <v>346</v>
      </c>
      <c r="CX2" s="228">
        <v>339</v>
      </c>
      <c r="CY2" s="228">
        <v>7</v>
      </c>
      <c r="CZ2" s="229">
        <v>2.0400000000000001E-2</v>
      </c>
      <c r="DA2" s="228">
        <v>29.65</v>
      </c>
      <c r="DB2" s="228">
        <v>30.42</v>
      </c>
      <c r="DC2" s="228">
        <v>-0.77</v>
      </c>
      <c r="DD2" s="228">
        <v>-0.77</v>
      </c>
      <c r="DE2" s="228">
        <v>42.71</v>
      </c>
      <c r="DF2" s="228">
        <v>42.8</v>
      </c>
      <c r="DG2" s="228">
        <v>-13.06</v>
      </c>
      <c r="DH2" s="228">
        <v>-0.09</v>
      </c>
      <c r="DI2" s="228">
        <v>29.68</v>
      </c>
      <c r="DJ2" s="228">
        <v>30.43</v>
      </c>
      <c r="DK2" s="228">
        <v>-0.75</v>
      </c>
      <c r="DL2" s="228">
        <v>-0.75</v>
      </c>
      <c r="DM2" s="228">
        <v>29.46</v>
      </c>
      <c r="DN2" s="228">
        <v>30.31</v>
      </c>
      <c r="DO2" s="228">
        <v>-0.85</v>
      </c>
      <c r="DP2" s="228">
        <v>-0.85</v>
      </c>
      <c r="DQ2" s="228">
        <v>0.41</v>
      </c>
      <c r="DR2" s="228">
        <v>0.42</v>
      </c>
      <c r="DS2" s="228">
        <v>-0.01</v>
      </c>
      <c r="DT2" s="229">
        <v>-2.3800000000000002E-2</v>
      </c>
      <c r="DU2" s="231">
        <v>1200</v>
      </c>
      <c r="DV2" s="231">
        <v>1200</v>
      </c>
      <c r="DW2" s="228">
        <v>0.17</v>
      </c>
      <c r="DX2" s="228">
        <v>0.15</v>
      </c>
      <c r="DY2" s="228">
        <v>0.02</v>
      </c>
      <c r="DZ2" s="229">
        <v>0.1333</v>
      </c>
      <c r="EA2" s="229">
        <v>1.7899999999999999E-2</v>
      </c>
      <c r="EB2" s="230">
        <v>41000</v>
      </c>
      <c r="EC2" s="229">
        <v>-8.9999999999999998E-4</v>
      </c>
      <c r="ED2" s="229">
        <v>1.7899999999999999E-2</v>
      </c>
      <c r="EE2" s="228">
        <v>-3.24</v>
      </c>
      <c r="EF2" s="229">
        <v>-2.7000000000000001E-3</v>
      </c>
      <c r="EG2" s="230">
        <v>70329</v>
      </c>
      <c r="EH2" s="230">
        <v>151673</v>
      </c>
      <c r="EI2" s="229">
        <v>-0.5363</v>
      </c>
      <c r="EJ2" s="229">
        <v>0.51480000000000004</v>
      </c>
      <c r="EK2" s="228">
        <v>26.95</v>
      </c>
      <c r="EL2" s="228">
        <v>4.28</v>
      </c>
      <c r="EM2" s="228">
        <v>22.59</v>
      </c>
      <c r="EN2" s="228">
        <v>29.07</v>
      </c>
      <c r="EO2" s="228">
        <v>53.82</v>
      </c>
      <c r="EP2" s="228">
        <v>152.38</v>
      </c>
      <c r="EQ2" s="228">
        <v>-98.56</v>
      </c>
      <c r="ER2" s="229">
        <v>-0.64680000000000004</v>
      </c>
      <c r="ES2" s="228">
        <v>55.44</v>
      </c>
      <c r="ET2" s="228">
        <v>21.47</v>
      </c>
      <c r="EU2" s="228">
        <v>270.73</v>
      </c>
      <c r="EV2" s="231">
        <v>36943219</v>
      </c>
      <c r="EW2" s="228">
        <v>347.64</v>
      </c>
      <c r="EX2" s="228">
        <v>341.61</v>
      </c>
      <c r="EY2" s="228">
        <v>6.03</v>
      </c>
      <c r="EZ2" s="229">
        <v>1.77E-2</v>
      </c>
      <c r="FA2" s="229">
        <v>7.9200000000000007E-2</v>
      </c>
      <c r="FB2" s="227" t="s">
        <v>567</v>
      </c>
      <c r="FC2">
        <f>BY2-CC2</f>
        <v>5</v>
      </c>
    </row>
    <row r="3" spans="1:159" ht="17.25" thickBot="1" x14ac:dyDescent="0.3">
      <c r="A3" s="226">
        <v>46023</v>
      </c>
      <c r="B3" s="227" t="s">
        <v>184</v>
      </c>
      <c r="C3" s="227" t="s">
        <v>553</v>
      </c>
      <c r="D3" s="228">
        <v>125</v>
      </c>
      <c r="E3" s="228">
        <v>26</v>
      </c>
      <c r="F3" s="231">
        <v>5209</v>
      </c>
      <c r="G3" s="231">
        <v>5204</v>
      </c>
      <c r="H3" s="228">
        <v>5</v>
      </c>
      <c r="I3" s="229">
        <v>1E-3</v>
      </c>
      <c r="J3" s="231">
        <v>5176.5</v>
      </c>
      <c r="K3" s="231">
        <v>5170</v>
      </c>
      <c r="L3" s="228">
        <v>6.5</v>
      </c>
      <c r="M3" s="229">
        <v>1.2999999999999999E-3</v>
      </c>
      <c r="N3" s="231">
        <v>5209</v>
      </c>
      <c r="O3" s="231">
        <v>5204</v>
      </c>
      <c r="P3" s="228">
        <v>5</v>
      </c>
      <c r="Q3" s="229">
        <v>1E-3</v>
      </c>
      <c r="R3" s="231">
        <v>5228</v>
      </c>
      <c r="S3" s="231">
        <v>5221.5</v>
      </c>
      <c r="T3" s="228">
        <v>6.5</v>
      </c>
      <c r="U3" s="229">
        <v>1.1999999999999999E-3</v>
      </c>
      <c r="V3" s="231">
        <v>5233</v>
      </c>
      <c r="W3" s="231">
        <v>5241</v>
      </c>
      <c r="X3" s="228">
        <v>-8</v>
      </c>
      <c r="Y3" s="229">
        <v>-1.5E-3</v>
      </c>
      <c r="Z3" s="228">
        <v>32.5</v>
      </c>
      <c r="AA3" s="228">
        <v>34</v>
      </c>
      <c r="AB3" s="228">
        <v>-1.5</v>
      </c>
      <c r="AC3" s="229">
        <v>6.3E-3</v>
      </c>
      <c r="AD3" s="228">
        <v>32.5</v>
      </c>
      <c r="AE3" s="228">
        <v>34</v>
      </c>
      <c r="AF3" s="228">
        <v>-1.5</v>
      </c>
      <c r="AG3" s="229">
        <v>6.3E-3</v>
      </c>
      <c r="AH3" s="228">
        <v>51.5</v>
      </c>
      <c r="AI3" s="228">
        <v>51.5</v>
      </c>
      <c r="AJ3" s="228">
        <v>0</v>
      </c>
      <c r="AK3" s="229">
        <v>9.9000000000000008E-3</v>
      </c>
      <c r="AL3" s="228">
        <v>56.5</v>
      </c>
      <c r="AM3" s="228">
        <v>71</v>
      </c>
      <c r="AN3" s="228">
        <v>-14.5</v>
      </c>
      <c r="AO3" s="229">
        <v>1.09E-2</v>
      </c>
      <c r="AP3" s="231">
        <v>5200.0200000000004</v>
      </c>
      <c r="AQ3" s="231">
        <v>5216.67</v>
      </c>
      <c r="AR3" s="228">
        <v>0</v>
      </c>
      <c r="AS3" s="228">
        <v>68</v>
      </c>
      <c r="AT3" s="228">
        <v>91</v>
      </c>
      <c r="AU3" s="228">
        <v>-22</v>
      </c>
      <c r="AV3" s="229">
        <v>-0.2477</v>
      </c>
      <c r="AW3" s="228">
        <v>66</v>
      </c>
      <c r="AX3" s="228">
        <v>87</v>
      </c>
      <c r="AY3" s="228">
        <v>-22</v>
      </c>
      <c r="AZ3" s="229">
        <v>-0.2485</v>
      </c>
      <c r="BA3" s="228">
        <v>2</v>
      </c>
      <c r="BB3" s="228">
        <v>3</v>
      </c>
      <c r="BC3" s="228">
        <v>-1</v>
      </c>
      <c r="BD3" s="229">
        <v>-0.28000000000000003</v>
      </c>
      <c r="BE3" s="228">
        <v>0</v>
      </c>
      <c r="BF3" s="228">
        <v>0</v>
      </c>
      <c r="BG3" s="228">
        <v>0</v>
      </c>
      <c r="BH3" s="229">
        <v>0.66669999999999996</v>
      </c>
      <c r="BI3" s="228">
        <v>128</v>
      </c>
      <c r="BJ3" s="228">
        <v>183</v>
      </c>
      <c r="BK3" s="228">
        <v>-55</v>
      </c>
      <c r="BL3" s="229">
        <v>-0.30120000000000002</v>
      </c>
      <c r="BM3" s="228">
        <v>44</v>
      </c>
      <c r="BN3" s="228">
        <v>99</v>
      </c>
      <c r="BO3" s="228">
        <v>-54</v>
      </c>
      <c r="BP3" s="229">
        <v>-0.55149999999999999</v>
      </c>
      <c r="BQ3" s="228">
        <v>240</v>
      </c>
      <c r="BR3" s="228">
        <v>372</v>
      </c>
      <c r="BS3" s="228">
        <v>-132</v>
      </c>
      <c r="BT3" s="229">
        <v>-0.35449999999999998</v>
      </c>
      <c r="BU3" s="230">
        <v>41543</v>
      </c>
      <c r="BV3" s="230">
        <v>111005</v>
      </c>
      <c r="BW3" s="230">
        <v>-69462</v>
      </c>
      <c r="BX3" s="229">
        <v>-0.62580000000000002</v>
      </c>
      <c r="BY3" s="230">
        <v>1173</v>
      </c>
      <c r="BZ3" s="230">
        <v>1182</v>
      </c>
      <c r="CA3" s="228">
        <v>-8</v>
      </c>
      <c r="CB3" s="229">
        <v>-7.1999999999999998E-3</v>
      </c>
      <c r="CC3" s="230">
        <v>1142</v>
      </c>
      <c r="CD3" s="230">
        <v>1151</v>
      </c>
      <c r="CE3" s="228">
        <v>-8</v>
      </c>
      <c r="CF3" s="229">
        <v>-7.4000000000000003E-3</v>
      </c>
      <c r="CG3" s="228">
        <v>31</v>
      </c>
      <c r="CH3" s="228">
        <v>31</v>
      </c>
      <c r="CI3" s="228">
        <v>0</v>
      </c>
      <c r="CJ3" s="229">
        <v>-6.3E-3</v>
      </c>
      <c r="CK3" s="228">
        <v>0</v>
      </c>
      <c r="CL3" s="228">
        <v>0</v>
      </c>
      <c r="CM3" s="228">
        <v>0</v>
      </c>
      <c r="CN3" s="229">
        <v>1</v>
      </c>
      <c r="CO3" s="228">
        <v>203</v>
      </c>
      <c r="CP3" s="228">
        <v>188</v>
      </c>
      <c r="CQ3" s="228">
        <v>16</v>
      </c>
      <c r="CR3" s="229">
        <v>8.43E-2</v>
      </c>
      <c r="CS3" s="228">
        <v>216</v>
      </c>
      <c r="CT3" s="228">
        <v>204</v>
      </c>
      <c r="CU3" s="228">
        <v>13</v>
      </c>
      <c r="CV3" s="229">
        <v>6.1699999999999998E-2</v>
      </c>
      <c r="CW3" s="230">
        <v>1593</v>
      </c>
      <c r="CX3" s="230">
        <v>1573</v>
      </c>
      <c r="CY3" s="228">
        <v>20</v>
      </c>
      <c r="CZ3" s="229">
        <v>1.2699999999999999E-2</v>
      </c>
      <c r="DA3" s="228">
        <v>19.53</v>
      </c>
      <c r="DB3" s="228">
        <v>20.37</v>
      </c>
      <c r="DC3" s="228">
        <v>-0.84</v>
      </c>
      <c r="DD3" s="228">
        <v>-0.84</v>
      </c>
      <c r="DE3" s="228">
        <v>33.75</v>
      </c>
      <c r="DF3" s="228">
        <v>33.83</v>
      </c>
      <c r="DG3" s="228">
        <v>-14.22</v>
      </c>
      <c r="DH3" s="228">
        <v>-0.08</v>
      </c>
      <c r="DI3" s="228">
        <v>19.46</v>
      </c>
      <c r="DJ3" s="228">
        <v>19.670000000000002</v>
      </c>
      <c r="DK3" s="228">
        <v>-0.21</v>
      </c>
      <c r="DL3" s="228">
        <v>-0.21</v>
      </c>
      <c r="DM3" s="228">
        <v>19.72</v>
      </c>
      <c r="DN3" s="228">
        <v>21.66</v>
      </c>
      <c r="DO3" s="228">
        <v>-1.94</v>
      </c>
      <c r="DP3" s="228">
        <v>-1.94</v>
      </c>
      <c r="DQ3" s="228">
        <v>1.06</v>
      </c>
      <c r="DR3" s="228">
        <v>1.0900000000000001</v>
      </c>
      <c r="DS3" s="228">
        <v>-0.03</v>
      </c>
      <c r="DT3" s="229">
        <v>-2.75E-2</v>
      </c>
      <c r="DU3" s="231">
        <v>5200</v>
      </c>
      <c r="DV3" s="231">
        <v>5200</v>
      </c>
      <c r="DW3" s="228">
        <v>0.35</v>
      </c>
      <c r="DX3" s="228">
        <v>0.54</v>
      </c>
      <c r="DY3" s="228">
        <v>-0.19</v>
      </c>
      <c r="DZ3" s="229">
        <v>-0.35189999999999999</v>
      </c>
      <c r="EA3" s="229">
        <v>2.6700000000000002E-2</v>
      </c>
      <c r="EB3" s="230">
        <v>60250</v>
      </c>
      <c r="EC3" s="229">
        <v>3.5999999999999999E-3</v>
      </c>
      <c r="ED3" s="229">
        <v>2.6700000000000002E-2</v>
      </c>
      <c r="EE3" s="228">
        <v>16.649999999999999</v>
      </c>
      <c r="EF3" s="229">
        <v>3.2000000000000002E-3</v>
      </c>
      <c r="EG3" s="230">
        <v>15866</v>
      </c>
      <c r="EH3" s="230">
        <v>70323</v>
      </c>
      <c r="EI3" s="229">
        <v>-0.77439999999999998</v>
      </c>
      <c r="EJ3" s="229">
        <v>0.38190000000000002</v>
      </c>
      <c r="EK3" s="228">
        <v>131.72</v>
      </c>
      <c r="EL3" s="228">
        <v>43.83</v>
      </c>
      <c r="EM3" s="228">
        <v>68.13</v>
      </c>
      <c r="EN3" s="228">
        <v>76.92</v>
      </c>
      <c r="EO3" s="228">
        <v>243.68</v>
      </c>
      <c r="EP3" s="228">
        <v>378.19</v>
      </c>
      <c r="EQ3" s="228">
        <v>-134.51</v>
      </c>
      <c r="ER3" s="229">
        <v>-0.35570000000000002</v>
      </c>
      <c r="ES3" s="228">
        <v>208.92</v>
      </c>
      <c r="ET3" s="228">
        <v>217.29</v>
      </c>
      <c r="EU3" s="231">
        <v>1173.57</v>
      </c>
      <c r="EV3" s="231">
        <v>7946564</v>
      </c>
      <c r="EW3" s="231">
        <v>1599.78</v>
      </c>
      <c r="EX3" s="231">
        <v>1578.46</v>
      </c>
      <c r="EY3" s="228">
        <v>21.32</v>
      </c>
      <c r="EZ3" s="229">
        <v>1.35E-2</v>
      </c>
      <c r="FA3" s="229">
        <v>0.38490000000000002</v>
      </c>
      <c r="FB3" s="227" t="s">
        <v>556</v>
      </c>
      <c r="FC3">
        <f t="shared" ref="FC3:FC66" si="0">BY3-CC3</f>
        <v>31</v>
      </c>
    </row>
    <row r="4" spans="1:159" ht="17.25" thickBot="1" x14ac:dyDescent="0.3">
      <c r="A4" s="226">
        <v>46023</v>
      </c>
      <c r="B4" s="227" t="s">
        <v>175</v>
      </c>
      <c r="C4" s="227" t="s">
        <v>544</v>
      </c>
      <c r="D4" s="228">
        <v>3100</v>
      </c>
      <c r="E4" s="228">
        <v>26</v>
      </c>
      <c r="F4" s="228">
        <v>364.4</v>
      </c>
      <c r="G4" s="228">
        <v>360</v>
      </c>
      <c r="H4" s="228">
        <v>4.4000000000000004</v>
      </c>
      <c r="I4" s="229">
        <v>1.2200000000000001E-2</v>
      </c>
      <c r="J4" s="228">
        <v>361.95</v>
      </c>
      <c r="K4" s="228">
        <v>357.7</v>
      </c>
      <c r="L4" s="228">
        <v>4.25</v>
      </c>
      <c r="M4" s="229">
        <v>1.1900000000000001E-2</v>
      </c>
      <c r="N4" s="228">
        <v>364.4</v>
      </c>
      <c r="O4" s="228">
        <v>360</v>
      </c>
      <c r="P4" s="228">
        <v>4.4000000000000004</v>
      </c>
      <c r="Q4" s="229">
        <v>1.2200000000000001E-2</v>
      </c>
      <c r="R4" s="228">
        <v>366.5</v>
      </c>
      <c r="S4" s="228">
        <v>361.75</v>
      </c>
      <c r="T4" s="228">
        <v>4.75</v>
      </c>
      <c r="U4" s="229">
        <v>1.3100000000000001E-2</v>
      </c>
      <c r="V4" s="228">
        <v>367.6</v>
      </c>
      <c r="W4" s="228">
        <v>365.65</v>
      </c>
      <c r="X4" s="228">
        <v>1.95</v>
      </c>
      <c r="Y4" s="229">
        <v>5.3E-3</v>
      </c>
      <c r="Z4" s="228">
        <v>2.4500000000000002</v>
      </c>
      <c r="AA4" s="228">
        <v>2.2999999999999998</v>
      </c>
      <c r="AB4" s="228">
        <v>0.15</v>
      </c>
      <c r="AC4" s="229">
        <v>6.7999999999999996E-3</v>
      </c>
      <c r="AD4" s="228">
        <v>2.4500000000000002</v>
      </c>
      <c r="AE4" s="228">
        <v>2.2999999999999998</v>
      </c>
      <c r="AF4" s="228">
        <v>0.15</v>
      </c>
      <c r="AG4" s="229">
        <v>6.7999999999999996E-3</v>
      </c>
      <c r="AH4" s="228">
        <v>4.55</v>
      </c>
      <c r="AI4" s="228">
        <v>4.05</v>
      </c>
      <c r="AJ4" s="228">
        <v>0.5</v>
      </c>
      <c r="AK4" s="229">
        <v>1.26E-2</v>
      </c>
      <c r="AL4" s="228">
        <v>5.65</v>
      </c>
      <c r="AM4" s="228">
        <v>7.95</v>
      </c>
      <c r="AN4" s="228">
        <v>-2.2999999999999998</v>
      </c>
      <c r="AO4" s="229">
        <v>1.5599999999999999E-2</v>
      </c>
      <c r="AP4" s="228">
        <v>361.51</v>
      </c>
      <c r="AQ4" s="228">
        <v>363.49</v>
      </c>
      <c r="AR4" s="228">
        <v>0</v>
      </c>
      <c r="AS4" s="228">
        <v>316</v>
      </c>
      <c r="AT4" s="228">
        <v>583</v>
      </c>
      <c r="AU4" s="228">
        <v>-267</v>
      </c>
      <c r="AV4" s="229">
        <v>-0.45739999999999997</v>
      </c>
      <c r="AW4" s="228">
        <v>305</v>
      </c>
      <c r="AX4" s="228">
        <v>552</v>
      </c>
      <c r="AY4" s="228">
        <v>-248</v>
      </c>
      <c r="AZ4" s="229">
        <v>-0.44840000000000002</v>
      </c>
      <c r="BA4" s="228">
        <v>11</v>
      </c>
      <c r="BB4" s="228">
        <v>29</v>
      </c>
      <c r="BC4" s="228">
        <v>-18</v>
      </c>
      <c r="BD4" s="229">
        <v>-0.62309999999999999</v>
      </c>
      <c r="BE4" s="228">
        <v>1</v>
      </c>
      <c r="BF4" s="228">
        <v>1</v>
      </c>
      <c r="BG4" s="228">
        <v>-1</v>
      </c>
      <c r="BH4" s="229">
        <v>-0.5</v>
      </c>
      <c r="BI4" s="230">
        <v>1590</v>
      </c>
      <c r="BJ4" s="230">
        <v>1350</v>
      </c>
      <c r="BK4" s="228">
        <v>240</v>
      </c>
      <c r="BL4" s="229">
        <v>0.17810000000000001</v>
      </c>
      <c r="BM4" s="228">
        <v>471</v>
      </c>
      <c r="BN4" s="228">
        <v>598</v>
      </c>
      <c r="BO4" s="228">
        <v>-127</v>
      </c>
      <c r="BP4" s="229">
        <v>-0.21249999999999999</v>
      </c>
      <c r="BQ4" s="230">
        <v>2378</v>
      </c>
      <c r="BR4" s="230">
        <v>2531</v>
      </c>
      <c r="BS4" s="228">
        <v>-153</v>
      </c>
      <c r="BT4" s="229">
        <v>-6.0600000000000001E-2</v>
      </c>
      <c r="BU4" s="230">
        <v>3653391</v>
      </c>
      <c r="BV4" s="230">
        <v>7114797</v>
      </c>
      <c r="BW4" s="230">
        <v>-3461406</v>
      </c>
      <c r="BX4" s="229">
        <v>-0.48649999999999999</v>
      </c>
      <c r="BY4" s="230">
        <v>2831</v>
      </c>
      <c r="BZ4" s="230">
        <v>2822</v>
      </c>
      <c r="CA4" s="228">
        <v>9</v>
      </c>
      <c r="CB4" s="229">
        <v>3.3E-3</v>
      </c>
      <c r="CC4" s="230">
        <v>2797</v>
      </c>
      <c r="CD4" s="230">
        <v>2789</v>
      </c>
      <c r="CE4" s="228">
        <v>8</v>
      </c>
      <c r="CF4" s="229">
        <v>2.8999999999999998E-3</v>
      </c>
      <c r="CG4" s="228">
        <v>33</v>
      </c>
      <c r="CH4" s="228">
        <v>32</v>
      </c>
      <c r="CI4" s="228">
        <v>1</v>
      </c>
      <c r="CJ4" s="229">
        <v>2.12E-2</v>
      </c>
      <c r="CK4" s="228">
        <v>2</v>
      </c>
      <c r="CL4" s="228">
        <v>1</v>
      </c>
      <c r="CM4" s="228">
        <v>1</v>
      </c>
      <c r="CN4" s="229">
        <v>0.45450000000000002</v>
      </c>
      <c r="CO4" s="228">
        <v>682</v>
      </c>
      <c r="CP4" s="228">
        <v>505</v>
      </c>
      <c r="CQ4" s="228">
        <v>177</v>
      </c>
      <c r="CR4" s="229">
        <v>0.3503</v>
      </c>
      <c r="CS4" s="228">
        <v>376</v>
      </c>
      <c r="CT4" s="228">
        <v>308</v>
      </c>
      <c r="CU4" s="228">
        <v>68</v>
      </c>
      <c r="CV4" s="229">
        <v>0.22009999999999999</v>
      </c>
      <c r="CW4" s="230">
        <v>3889</v>
      </c>
      <c r="CX4" s="230">
        <v>3635</v>
      </c>
      <c r="CY4" s="228">
        <v>254</v>
      </c>
      <c r="CZ4" s="229">
        <v>6.9900000000000004E-2</v>
      </c>
      <c r="DA4" s="228">
        <v>26.78</v>
      </c>
      <c r="DB4" s="228">
        <v>26.21</v>
      </c>
      <c r="DC4" s="228">
        <v>0.56999999999999995</v>
      </c>
      <c r="DD4" s="228">
        <v>0.56999999999999995</v>
      </c>
      <c r="DE4" s="228">
        <v>38.25</v>
      </c>
      <c r="DF4" s="228">
        <v>38.31</v>
      </c>
      <c r="DG4" s="228">
        <v>-11.47</v>
      </c>
      <c r="DH4" s="228">
        <v>-0.06</v>
      </c>
      <c r="DI4" s="228">
        <v>26.68</v>
      </c>
      <c r="DJ4" s="228">
        <v>26.09</v>
      </c>
      <c r="DK4" s="228">
        <v>0.59</v>
      </c>
      <c r="DL4" s="228">
        <v>0.59</v>
      </c>
      <c r="DM4" s="228">
        <v>27.11</v>
      </c>
      <c r="DN4" s="228">
        <v>26.49</v>
      </c>
      <c r="DO4" s="228">
        <v>0.62</v>
      </c>
      <c r="DP4" s="228">
        <v>0.62</v>
      </c>
      <c r="DQ4" s="228">
        <v>0.55000000000000004</v>
      </c>
      <c r="DR4" s="228">
        <v>0.61</v>
      </c>
      <c r="DS4" s="228">
        <v>-0.06</v>
      </c>
      <c r="DT4" s="229">
        <v>-9.8400000000000001E-2</v>
      </c>
      <c r="DU4" s="228">
        <v>375</v>
      </c>
      <c r="DV4" s="228">
        <v>350</v>
      </c>
      <c r="DW4" s="228">
        <v>0.3</v>
      </c>
      <c r="DX4" s="228">
        <v>0.44</v>
      </c>
      <c r="DY4" s="228">
        <v>-0.14000000000000001</v>
      </c>
      <c r="DZ4" s="229">
        <v>-0.31819999999999998</v>
      </c>
      <c r="EA4" s="229">
        <v>1.2200000000000001E-2</v>
      </c>
      <c r="EB4" s="230">
        <v>911400</v>
      </c>
      <c r="EC4" s="229">
        <v>5.7999999999999996E-3</v>
      </c>
      <c r="ED4" s="229">
        <v>1.2200000000000001E-2</v>
      </c>
      <c r="EE4" s="228">
        <v>1.98</v>
      </c>
      <c r="EF4" s="229">
        <v>5.4999999999999997E-3</v>
      </c>
      <c r="EG4" s="230">
        <v>1574041</v>
      </c>
      <c r="EH4" s="230">
        <v>3886777</v>
      </c>
      <c r="EI4" s="229">
        <v>-0.59499999999999997</v>
      </c>
      <c r="EJ4" s="229">
        <v>0.43080000000000002</v>
      </c>
      <c r="EK4" s="231">
        <v>1654.94</v>
      </c>
      <c r="EL4" s="228">
        <v>454.58</v>
      </c>
      <c r="EM4" s="228">
        <v>313.86</v>
      </c>
      <c r="EN4" s="228">
        <v>114.2</v>
      </c>
      <c r="EO4" s="231">
        <v>2423.38</v>
      </c>
      <c r="EP4" s="231">
        <v>2534.9</v>
      </c>
      <c r="EQ4" s="228">
        <v>-111.52</v>
      </c>
      <c r="ER4" s="229">
        <v>-4.3999999999999997E-2</v>
      </c>
      <c r="ES4" s="228">
        <v>688.66</v>
      </c>
      <c r="ET4" s="228">
        <v>353.65</v>
      </c>
      <c r="EU4" s="231">
        <v>2831.42</v>
      </c>
      <c r="EV4" s="231">
        <v>122657000</v>
      </c>
      <c r="EW4" s="231">
        <v>3873.73</v>
      </c>
      <c r="EX4" s="231">
        <v>3580.08</v>
      </c>
      <c r="EY4" s="228">
        <v>293.64999999999998</v>
      </c>
      <c r="EZ4" s="229">
        <v>8.2000000000000003E-2</v>
      </c>
      <c r="FA4" s="229">
        <v>0.87009999999999998</v>
      </c>
      <c r="FB4" s="227" t="s">
        <v>555</v>
      </c>
      <c r="FC4">
        <f t="shared" si="0"/>
        <v>34</v>
      </c>
    </row>
    <row r="5" spans="1:159" ht="17.25" thickBot="1" x14ac:dyDescent="0.3">
      <c r="A5" s="226">
        <v>46023</v>
      </c>
      <c r="B5" s="227" t="s">
        <v>161</v>
      </c>
      <c r="C5" s="227" t="s">
        <v>579</v>
      </c>
      <c r="D5" s="228">
        <v>675</v>
      </c>
      <c r="E5" s="228">
        <v>26</v>
      </c>
      <c r="F5" s="231">
        <v>1053.5</v>
      </c>
      <c r="G5" s="231">
        <v>1030.95</v>
      </c>
      <c r="H5" s="228">
        <v>22.55</v>
      </c>
      <c r="I5" s="229">
        <v>2.1899999999999999E-2</v>
      </c>
      <c r="J5" s="231">
        <v>1046.4000000000001</v>
      </c>
      <c r="K5" s="231">
        <v>1027.3499999999999</v>
      </c>
      <c r="L5" s="228">
        <v>19.05</v>
      </c>
      <c r="M5" s="229">
        <v>1.8499999999999999E-2</v>
      </c>
      <c r="N5" s="231">
        <v>1053.5</v>
      </c>
      <c r="O5" s="231">
        <v>1030.95</v>
      </c>
      <c r="P5" s="228">
        <v>22.55</v>
      </c>
      <c r="Q5" s="229">
        <v>2.1899999999999999E-2</v>
      </c>
      <c r="R5" s="231">
        <v>1060.4000000000001</v>
      </c>
      <c r="S5" s="231">
        <v>1036.45</v>
      </c>
      <c r="T5" s="228">
        <v>23.95</v>
      </c>
      <c r="U5" s="229">
        <v>2.3099999999999999E-2</v>
      </c>
      <c r="V5" s="231">
        <v>1066.8</v>
      </c>
      <c r="W5" s="231">
        <v>1045.05</v>
      </c>
      <c r="X5" s="228">
        <v>21.75</v>
      </c>
      <c r="Y5" s="229">
        <v>2.0799999999999999E-2</v>
      </c>
      <c r="Z5" s="228">
        <v>7.1</v>
      </c>
      <c r="AA5" s="228">
        <v>3.6</v>
      </c>
      <c r="AB5" s="228">
        <v>3.5</v>
      </c>
      <c r="AC5" s="229">
        <v>6.7999999999999996E-3</v>
      </c>
      <c r="AD5" s="228">
        <v>7.1</v>
      </c>
      <c r="AE5" s="228">
        <v>3.6</v>
      </c>
      <c r="AF5" s="228">
        <v>3.5</v>
      </c>
      <c r="AG5" s="229">
        <v>6.7999999999999996E-3</v>
      </c>
      <c r="AH5" s="228">
        <v>14</v>
      </c>
      <c r="AI5" s="228">
        <v>9.1</v>
      </c>
      <c r="AJ5" s="228">
        <v>4.9000000000000004</v>
      </c>
      <c r="AK5" s="229">
        <v>1.34E-2</v>
      </c>
      <c r="AL5" s="228">
        <v>20.399999999999999</v>
      </c>
      <c r="AM5" s="228">
        <v>17.7</v>
      </c>
      <c r="AN5" s="228">
        <v>2.7</v>
      </c>
      <c r="AO5" s="229">
        <v>1.95E-2</v>
      </c>
      <c r="AP5" s="231">
        <v>1057.07</v>
      </c>
      <c r="AQ5" s="231">
        <v>1063.49</v>
      </c>
      <c r="AR5" s="228">
        <v>0</v>
      </c>
      <c r="AS5" s="228">
        <v>375</v>
      </c>
      <c r="AT5" s="228">
        <v>142</v>
      </c>
      <c r="AU5" s="228">
        <v>234</v>
      </c>
      <c r="AV5" s="229">
        <v>1.6533</v>
      </c>
      <c r="AW5" s="228">
        <v>359</v>
      </c>
      <c r="AX5" s="228">
        <v>136</v>
      </c>
      <c r="AY5" s="228">
        <v>222</v>
      </c>
      <c r="AZ5" s="229">
        <v>1.6303000000000001</v>
      </c>
      <c r="BA5" s="228">
        <v>15</v>
      </c>
      <c r="BB5" s="228">
        <v>4</v>
      </c>
      <c r="BC5" s="228">
        <v>11</v>
      </c>
      <c r="BD5" s="229">
        <v>2.75</v>
      </c>
      <c r="BE5" s="228">
        <v>2</v>
      </c>
      <c r="BF5" s="228">
        <v>1</v>
      </c>
      <c r="BG5" s="228">
        <v>1</v>
      </c>
      <c r="BH5" s="229">
        <v>0.5625</v>
      </c>
      <c r="BI5" s="230">
        <v>1770</v>
      </c>
      <c r="BJ5" s="228">
        <v>252</v>
      </c>
      <c r="BK5" s="230">
        <v>1519</v>
      </c>
      <c r="BL5" s="229">
        <v>6.0355999999999996</v>
      </c>
      <c r="BM5" s="228">
        <v>414</v>
      </c>
      <c r="BN5" s="228">
        <v>101</v>
      </c>
      <c r="BO5" s="228">
        <v>312</v>
      </c>
      <c r="BP5" s="229">
        <v>3.0922000000000001</v>
      </c>
      <c r="BQ5" s="230">
        <v>2559</v>
      </c>
      <c r="BR5" s="228">
        <v>494</v>
      </c>
      <c r="BS5" s="230">
        <v>2065</v>
      </c>
      <c r="BT5" s="229">
        <v>4.1787000000000001</v>
      </c>
      <c r="BU5" s="230">
        <v>3006059</v>
      </c>
      <c r="BV5" s="230">
        <v>713839</v>
      </c>
      <c r="BW5" s="230">
        <v>2292220</v>
      </c>
      <c r="BX5" s="229">
        <v>3.2111000000000001</v>
      </c>
      <c r="BY5" s="230">
        <v>1884</v>
      </c>
      <c r="BZ5" s="230">
        <v>1861</v>
      </c>
      <c r="CA5" s="228">
        <v>23</v>
      </c>
      <c r="CB5" s="229">
        <v>1.2500000000000001E-2</v>
      </c>
      <c r="CC5" s="230">
        <v>1869</v>
      </c>
      <c r="CD5" s="230">
        <v>1849</v>
      </c>
      <c r="CE5" s="228">
        <v>20</v>
      </c>
      <c r="CF5" s="229">
        <v>1.0800000000000001E-2</v>
      </c>
      <c r="CG5" s="228">
        <v>13</v>
      </c>
      <c r="CH5" s="228">
        <v>11</v>
      </c>
      <c r="CI5" s="228">
        <v>2</v>
      </c>
      <c r="CJ5" s="229">
        <v>0.1699</v>
      </c>
      <c r="CK5" s="228">
        <v>2</v>
      </c>
      <c r="CL5" s="228">
        <v>1</v>
      </c>
      <c r="CM5" s="228">
        <v>1</v>
      </c>
      <c r="CN5" s="229">
        <v>1.75</v>
      </c>
      <c r="CO5" s="228">
        <v>301</v>
      </c>
      <c r="CP5" s="228">
        <v>177</v>
      </c>
      <c r="CQ5" s="228">
        <v>123</v>
      </c>
      <c r="CR5" s="229">
        <v>0.69620000000000004</v>
      </c>
      <c r="CS5" s="228">
        <v>162</v>
      </c>
      <c r="CT5" s="228">
        <v>107</v>
      </c>
      <c r="CU5" s="228">
        <v>55</v>
      </c>
      <c r="CV5" s="229">
        <v>0.51600000000000001</v>
      </c>
      <c r="CW5" s="230">
        <v>2347</v>
      </c>
      <c r="CX5" s="230">
        <v>2145</v>
      </c>
      <c r="CY5" s="228">
        <v>202</v>
      </c>
      <c r="CZ5" s="229">
        <v>9.4E-2</v>
      </c>
      <c r="DA5" s="228">
        <v>32.090000000000003</v>
      </c>
      <c r="DB5" s="228">
        <v>29.52</v>
      </c>
      <c r="DC5" s="228">
        <v>2.57</v>
      </c>
      <c r="DD5" s="228">
        <v>2.57</v>
      </c>
      <c r="DE5" s="228">
        <v>51.02</v>
      </c>
      <c r="DF5" s="228">
        <v>51.07</v>
      </c>
      <c r="DG5" s="228">
        <v>-18.93</v>
      </c>
      <c r="DH5" s="228">
        <v>-0.05</v>
      </c>
      <c r="DI5" s="228">
        <v>32.06</v>
      </c>
      <c r="DJ5" s="228">
        <v>29.06</v>
      </c>
      <c r="DK5" s="228">
        <v>3</v>
      </c>
      <c r="DL5" s="228">
        <v>3</v>
      </c>
      <c r="DM5" s="228">
        <v>32.21</v>
      </c>
      <c r="DN5" s="228">
        <v>30.68</v>
      </c>
      <c r="DO5" s="228">
        <v>1.53</v>
      </c>
      <c r="DP5" s="228">
        <v>1.53</v>
      </c>
      <c r="DQ5" s="228">
        <v>0.54</v>
      </c>
      <c r="DR5" s="228">
        <v>0.6</v>
      </c>
      <c r="DS5" s="228">
        <v>-0.06</v>
      </c>
      <c r="DT5" s="229">
        <v>-0.1</v>
      </c>
      <c r="DU5" s="231">
        <v>1100</v>
      </c>
      <c r="DV5" s="228">
        <v>980</v>
      </c>
      <c r="DW5" s="228">
        <v>0.23</v>
      </c>
      <c r="DX5" s="228">
        <v>0.4</v>
      </c>
      <c r="DY5" s="228">
        <v>-0.17</v>
      </c>
      <c r="DZ5" s="229">
        <v>-0.42499999999999999</v>
      </c>
      <c r="EA5" s="229">
        <v>8.0000000000000002E-3</v>
      </c>
      <c r="EB5" s="230">
        <v>111375</v>
      </c>
      <c r="EC5" s="229">
        <v>6.4999999999999997E-3</v>
      </c>
      <c r="ED5" s="229">
        <v>8.0000000000000002E-3</v>
      </c>
      <c r="EE5" s="228">
        <v>6.42</v>
      </c>
      <c r="EF5" s="229">
        <v>6.1000000000000004E-3</v>
      </c>
      <c r="EG5" s="230">
        <v>654939</v>
      </c>
      <c r="EH5" s="230">
        <v>341909</v>
      </c>
      <c r="EI5" s="229">
        <v>0.91549999999999998</v>
      </c>
      <c r="EJ5" s="229">
        <v>0.21790000000000001</v>
      </c>
      <c r="EK5" s="231">
        <v>1860.76</v>
      </c>
      <c r="EL5" s="228">
        <v>406.2</v>
      </c>
      <c r="EM5" s="228">
        <v>376.85</v>
      </c>
      <c r="EN5" s="228">
        <v>104.9</v>
      </c>
      <c r="EO5" s="231">
        <v>2643.82</v>
      </c>
      <c r="EP5" s="228">
        <v>491.56</v>
      </c>
      <c r="EQ5" s="231">
        <v>2152.2600000000002</v>
      </c>
      <c r="ER5" s="229">
        <v>4.3784000000000001</v>
      </c>
      <c r="ES5" s="228">
        <v>307.68</v>
      </c>
      <c r="ET5" s="228">
        <v>150.57</v>
      </c>
      <c r="EU5" s="231">
        <v>1884.56</v>
      </c>
      <c r="EV5" s="231">
        <v>43791427</v>
      </c>
      <c r="EW5" s="231">
        <v>2342.8000000000002</v>
      </c>
      <c r="EX5" s="231">
        <v>2097.52</v>
      </c>
      <c r="EY5" s="228">
        <v>245.28</v>
      </c>
      <c r="EZ5" s="229">
        <v>0.1169</v>
      </c>
      <c r="FA5" s="229">
        <v>0.50870000000000004</v>
      </c>
      <c r="FB5" s="227" t="s">
        <v>555</v>
      </c>
      <c r="FC5">
        <f t="shared" si="0"/>
        <v>15</v>
      </c>
    </row>
    <row r="6" spans="1:159" ht="17.25" thickBot="1" x14ac:dyDescent="0.3">
      <c r="A6" s="226">
        <v>46023</v>
      </c>
      <c r="B6" s="227" t="s">
        <v>215</v>
      </c>
      <c r="C6" s="227" t="s">
        <v>159</v>
      </c>
      <c r="D6" s="228">
        <v>309</v>
      </c>
      <c r="E6" s="228">
        <v>26</v>
      </c>
      <c r="F6" s="231">
        <v>2271.9</v>
      </c>
      <c r="G6" s="231">
        <v>2249.3000000000002</v>
      </c>
      <c r="H6" s="228">
        <v>22.6</v>
      </c>
      <c r="I6" s="229">
        <v>0.01</v>
      </c>
      <c r="J6" s="231">
        <v>2260</v>
      </c>
      <c r="K6" s="231">
        <v>2239.6999999999998</v>
      </c>
      <c r="L6" s="228">
        <v>20.3</v>
      </c>
      <c r="M6" s="229">
        <v>9.1000000000000004E-3</v>
      </c>
      <c r="N6" s="231">
        <v>2271.9</v>
      </c>
      <c r="O6" s="231">
        <v>2249.3000000000002</v>
      </c>
      <c r="P6" s="228">
        <v>22.6</v>
      </c>
      <c r="Q6" s="229">
        <v>0.01</v>
      </c>
      <c r="R6" s="231">
        <v>2276</v>
      </c>
      <c r="S6" s="231">
        <v>2254.5</v>
      </c>
      <c r="T6" s="228">
        <v>21.5</v>
      </c>
      <c r="U6" s="229">
        <v>9.4999999999999998E-3</v>
      </c>
      <c r="V6" s="231">
        <v>2283.9</v>
      </c>
      <c r="W6" s="231">
        <v>2259.5</v>
      </c>
      <c r="X6" s="228">
        <v>24.4</v>
      </c>
      <c r="Y6" s="229">
        <v>1.0800000000000001E-2</v>
      </c>
      <c r="Z6" s="228">
        <v>11.9</v>
      </c>
      <c r="AA6" s="228">
        <v>9.6</v>
      </c>
      <c r="AB6" s="228">
        <v>2.2999999999999998</v>
      </c>
      <c r="AC6" s="229">
        <v>5.3E-3</v>
      </c>
      <c r="AD6" s="228">
        <v>11.9</v>
      </c>
      <c r="AE6" s="228">
        <v>9.6</v>
      </c>
      <c r="AF6" s="228">
        <v>2.2999999999999998</v>
      </c>
      <c r="AG6" s="229">
        <v>5.3E-3</v>
      </c>
      <c r="AH6" s="228">
        <v>16</v>
      </c>
      <c r="AI6" s="228">
        <v>14.8</v>
      </c>
      <c r="AJ6" s="228">
        <v>1.2</v>
      </c>
      <c r="AK6" s="229">
        <v>7.1000000000000004E-3</v>
      </c>
      <c r="AL6" s="228">
        <v>23.9</v>
      </c>
      <c r="AM6" s="228">
        <v>19.8</v>
      </c>
      <c r="AN6" s="228">
        <v>4.0999999999999996</v>
      </c>
      <c r="AO6" s="229">
        <v>1.06E-2</v>
      </c>
      <c r="AP6" s="231">
        <v>2275.94</v>
      </c>
      <c r="AQ6" s="231">
        <v>2279.58</v>
      </c>
      <c r="AR6" s="228">
        <v>0</v>
      </c>
      <c r="AS6" s="228">
        <v>600</v>
      </c>
      <c r="AT6" s="228">
        <v>447</v>
      </c>
      <c r="AU6" s="228">
        <v>153</v>
      </c>
      <c r="AV6" s="229">
        <v>0.34229999999999999</v>
      </c>
      <c r="AW6" s="228">
        <v>565</v>
      </c>
      <c r="AX6" s="228">
        <v>418</v>
      </c>
      <c r="AY6" s="228">
        <v>147</v>
      </c>
      <c r="AZ6" s="229">
        <v>0.3518</v>
      </c>
      <c r="BA6" s="228">
        <v>31</v>
      </c>
      <c r="BB6" s="228">
        <v>28</v>
      </c>
      <c r="BC6" s="228">
        <v>3</v>
      </c>
      <c r="BD6" s="229">
        <v>9.7500000000000003E-2</v>
      </c>
      <c r="BE6" s="228">
        <v>5</v>
      </c>
      <c r="BF6" s="228">
        <v>1</v>
      </c>
      <c r="BG6" s="228">
        <v>3</v>
      </c>
      <c r="BH6" s="229">
        <v>2.5263</v>
      </c>
      <c r="BI6" s="230">
        <v>2562</v>
      </c>
      <c r="BJ6" s="230">
        <v>1199</v>
      </c>
      <c r="BK6" s="230">
        <v>1363</v>
      </c>
      <c r="BL6" s="229">
        <v>1.1362000000000001</v>
      </c>
      <c r="BM6" s="228">
        <v>766</v>
      </c>
      <c r="BN6" s="228">
        <v>628</v>
      </c>
      <c r="BO6" s="228">
        <v>137</v>
      </c>
      <c r="BP6" s="229">
        <v>0.21870000000000001</v>
      </c>
      <c r="BQ6" s="230">
        <v>3928</v>
      </c>
      <c r="BR6" s="230">
        <v>2275</v>
      </c>
      <c r="BS6" s="230">
        <v>1653</v>
      </c>
      <c r="BT6" s="229">
        <v>0.72670000000000001</v>
      </c>
      <c r="BU6" s="230">
        <v>1082551</v>
      </c>
      <c r="BV6" s="230">
        <v>861403</v>
      </c>
      <c r="BW6" s="230">
        <v>221148</v>
      </c>
      <c r="BX6" s="229">
        <v>0.25669999999999998</v>
      </c>
      <c r="BY6" s="230">
        <v>4912</v>
      </c>
      <c r="BZ6" s="230">
        <v>4945</v>
      </c>
      <c r="CA6" s="228">
        <v>-33</v>
      </c>
      <c r="CB6" s="229">
        <v>-6.7000000000000002E-3</v>
      </c>
      <c r="CC6" s="230">
        <v>4733</v>
      </c>
      <c r="CD6" s="230">
        <v>4773</v>
      </c>
      <c r="CE6" s="228">
        <v>-40</v>
      </c>
      <c r="CF6" s="229">
        <v>-8.3999999999999995E-3</v>
      </c>
      <c r="CG6" s="228">
        <v>175</v>
      </c>
      <c r="CH6" s="228">
        <v>171</v>
      </c>
      <c r="CI6" s="228">
        <v>4</v>
      </c>
      <c r="CJ6" s="229">
        <v>2.5899999999999999E-2</v>
      </c>
      <c r="CK6" s="228">
        <v>4</v>
      </c>
      <c r="CL6" s="228">
        <v>1</v>
      </c>
      <c r="CM6" s="228">
        <v>3</v>
      </c>
      <c r="CN6" s="229">
        <v>2.625</v>
      </c>
      <c r="CO6" s="230">
        <v>1383</v>
      </c>
      <c r="CP6" s="230">
        <v>1220</v>
      </c>
      <c r="CQ6" s="228">
        <v>164</v>
      </c>
      <c r="CR6" s="229">
        <v>0.1341</v>
      </c>
      <c r="CS6" s="230">
        <v>1215</v>
      </c>
      <c r="CT6" s="230">
        <v>1158</v>
      </c>
      <c r="CU6" s="228">
        <v>57</v>
      </c>
      <c r="CV6" s="229">
        <v>4.8899999999999999E-2</v>
      </c>
      <c r="CW6" s="230">
        <v>7510</v>
      </c>
      <c r="CX6" s="230">
        <v>7323</v>
      </c>
      <c r="CY6" s="228">
        <v>187</v>
      </c>
      <c r="CZ6" s="229">
        <v>2.5600000000000001E-2</v>
      </c>
      <c r="DA6" s="228">
        <v>24.31</v>
      </c>
      <c r="DB6" s="228">
        <v>25.05</v>
      </c>
      <c r="DC6" s="228">
        <v>-0.74</v>
      </c>
      <c r="DD6" s="228">
        <v>-0.74</v>
      </c>
      <c r="DE6" s="228">
        <v>45.66</v>
      </c>
      <c r="DF6" s="228">
        <v>45.76</v>
      </c>
      <c r="DG6" s="228">
        <v>-21.35</v>
      </c>
      <c r="DH6" s="228">
        <v>-0.1</v>
      </c>
      <c r="DI6" s="228">
        <v>24.15</v>
      </c>
      <c r="DJ6" s="228">
        <v>24.81</v>
      </c>
      <c r="DK6" s="228">
        <v>-0.66</v>
      </c>
      <c r="DL6" s="228">
        <v>-0.66</v>
      </c>
      <c r="DM6" s="228">
        <v>24.83</v>
      </c>
      <c r="DN6" s="228">
        <v>25.51</v>
      </c>
      <c r="DO6" s="228">
        <v>-0.68</v>
      </c>
      <c r="DP6" s="228">
        <v>-0.68</v>
      </c>
      <c r="DQ6" s="228">
        <v>0.88</v>
      </c>
      <c r="DR6" s="228">
        <v>0.95</v>
      </c>
      <c r="DS6" s="228">
        <v>-7.0000000000000007E-2</v>
      </c>
      <c r="DT6" s="229">
        <v>-7.3700000000000002E-2</v>
      </c>
      <c r="DU6" s="231">
        <v>2300</v>
      </c>
      <c r="DV6" s="231">
        <v>2200</v>
      </c>
      <c r="DW6" s="228">
        <v>0.3</v>
      </c>
      <c r="DX6" s="228">
        <v>0.52</v>
      </c>
      <c r="DY6" s="228">
        <v>-0.22</v>
      </c>
      <c r="DZ6" s="229">
        <v>-0.42309999999999998</v>
      </c>
      <c r="EA6" s="229">
        <v>3.6499999999999998E-2</v>
      </c>
      <c r="EB6" s="230">
        <v>757359</v>
      </c>
      <c r="EC6" s="229">
        <v>1.8E-3</v>
      </c>
      <c r="ED6" s="229">
        <v>3.6499999999999998E-2</v>
      </c>
      <c r="EE6" s="228">
        <v>3.64</v>
      </c>
      <c r="EF6" s="229">
        <v>1.6000000000000001E-3</v>
      </c>
      <c r="EG6" s="230">
        <v>277523</v>
      </c>
      <c r="EH6" s="230">
        <v>418209</v>
      </c>
      <c r="EI6" s="229">
        <v>-0.33639999999999998</v>
      </c>
      <c r="EJ6" s="229">
        <v>0.25640000000000002</v>
      </c>
      <c r="EK6" s="231">
        <v>2671.87</v>
      </c>
      <c r="EL6" s="228">
        <v>756.76</v>
      </c>
      <c r="EM6" s="228">
        <v>601.51</v>
      </c>
      <c r="EN6" s="228">
        <v>290.67</v>
      </c>
      <c r="EO6" s="231">
        <v>4030.14</v>
      </c>
      <c r="EP6" s="231">
        <v>2291.98</v>
      </c>
      <c r="EQ6" s="231">
        <v>1738.17</v>
      </c>
      <c r="ER6" s="229">
        <v>0.75839999999999996</v>
      </c>
      <c r="ES6" s="231">
        <v>1415.29</v>
      </c>
      <c r="ET6" s="231">
        <v>1202.9100000000001</v>
      </c>
      <c r="EU6" s="231">
        <v>4912.28</v>
      </c>
      <c r="EV6" s="231">
        <v>49117354</v>
      </c>
      <c r="EW6" s="231">
        <v>7530.49</v>
      </c>
      <c r="EX6" s="231">
        <v>7287.33</v>
      </c>
      <c r="EY6" s="228">
        <v>243.16</v>
      </c>
      <c r="EZ6" s="229">
        <v>3.3399999999999999E-2</v>
      </c>
      <c r="FA6" s="229">
        <v>0.67300000000000004</v>
      </c>
      <c r="FB6" s="227" t="s">
        <v>556</v>
      </c>
      <c r="FC6">
        <f t="shared" si="0"/>
        <v>179</v>
      </c>
    </row>
    <row r="7" spans="1:159" ht="17.25" thickBot="1" x14ac:dyDescent="0.3">
      <c r="A7" s="226">
        <v>46023</v>
      </c>
      <c r="B7" s="227" t="s">
        <v>161</v>
      </c>
      <c r="C7" s="227" t="s">
        <v>606</v>
      </c>
      <c r="D7" s="228">
        <v>600</v>
      </c>
      <c r="E7" s="228">
        <v>26</v>
      </c>
      <c r="F7" s="231">
        <v>1032.8</v>
      </c>
      <c r="G7" s="231">
        <v>1021.6</v>
      </c>
      <c r="H7" s="228">
        <v>11.2</v>
      </c>
      <c r="I7" s="229">
        <v>1.0999999999999999E-2</v>
      </c>
      <c r="J7" s="231">
        <v>1025.9000000000001</v>
      </c>
      <c r="K7" s="231">
        <v>1015.1</v>
      </c>
      <c r="L7" s="228">
        <v>10.8</v>
      </c>
      <c r="M7" s="229">
        <v>1.06E-2</v>
      </c>
      <c r="N7" s="231">
        <v>1032.8</v>
      </c>
      <c r="O7" s="231">
        <v>1021.6</v>
      </c>
      <c r="P7" s="228">
        <v>11.2</v>
      </c>
      <c r="Q7" s="229">
        <v>1.0999999999999999E-2</v>
      </c>
      <c r="R7" s="231">
        <v>1038.5</v>
      </c>
      <c r="S7" s="231">
        <v>1027.8</v>
      </c>
      <c r="T7" s="228">
        <v>10.7</v>
      </c>
      <c r="U7" s="229">
        <v>1.04E-2</v>
      </c>
      <c r="V7" s="231">
        <v>1044.5</v>
      </c>
      <c r="W7" s="231">
        <v>1034.2</v>
      </c>
      <c r="X7" s="228">
        <v>10.3</v>
      </c>
      <c r="Y7" s="229">
        <v>0.01</v>
      </c>
      <c r="Z7" s="228">
        <v>6.9</v>
      </c>
      <c r="AA7" s="228">
        <v>6.5</v>
      </c>
      <c r="AB7" s="228">
        <v>0.4</v>
      </c>
      <c r="AC7" s="229">
        <v>6.7000000000000002E-3</v>
      </c>
      <c r="AD7" s="228">
        <v>6.9</v>
      </c>
      <c r="AE7" s="228">
        <v>6.5</v>
      </c>
      <c r="AF7" s="228">
        <v>0.4</v>
      </c>
      <c r="AG7" s="229">
        <v>6.7000000000000002E-3</v>
      </c>
      <c r="AH7" s="228">
        <v>12.6</v>
      </c>
      <c r="AI7" s="228">
        <v>12.7</v>
      </c>
      <c r="AJ7" s="228">
        <v>-0.1</v>
      </c>
      <c r="AK7" s="229">
        <v>1.23E-2</v>
      </c>
      <c r="AL7" s="228">
        <v>18.600000000000001</v>
      </c>
      <c r="AM7" s="228">
        <v>19.100000000000001</v>
      </c>
      <c r="AN7" s="228">
        <v>-0.5</v>
      </c>
      <c r="AO7" s="229">
        <v>1.8100000000000002E-2</v>
      </c>
      <c r="AP7" s="231">
        <v>1036</v>
      </c>
      <c r="AQ7" s="231">
        <v>1042.46</v>
      </c>
      <c r="AR7" s="228">
        <v>0</v>
      </c>
      <c r="AS7" s="228">
        <v>343</v>
      </c>
      <c r="AT7" s="228">
        <v>143</v>
      </c>
      <c r="AU7" s="228">
        <v>200</v>
      </c>
      <c r="AV7" s="229">
        <v>1.3952</v>
      </c>
      <c r="AW7" s="228">
        <v>327</v>
      </c>
      <c r="AX7" s="228">
        <v>138</v>
      </c>
      <c r="AY7" s="228">
        <v>188</v>
      </c>
      <c r="AZ7" s="229">
        <v>1.3628</v>
      </c>
      <c r="BA7" s="228">
        <v>14</v>
      </c>
      <c r="BB7" s="228">
        <v>5</v>
      </c>
      <c r="BC7" s="228">
        <v>9</v>
      </c>
      <c r="BD7" s="229">
        <v>2.0548000000000002</v>
      </c>
      <c r="BE7" s="228">
        <v>3</v>
      </c>
      <c r="BF7" s="228">
        <v>1</v>
      </c>
      <c r="BG7" s="228">
        <v>2</v>
      </c>
      <c r="BH7" s="229">
        <v>3.8</v>
      </c>
      <c r="BI7" s="230">
        <v>1668</v>
      </c>
      <c r="BJ7" s="228">
        <v>327</v>
      </c>
      <c r="BK7" s="230">
        <v>1341</v>
      </c>
      <c r="BL7" s="229">
        <v>4.0983000000000001</v>
      </c>
      <c r="BM7" s="228">
        <v>306</v>
      </c>
      <c r="BN7" s="228">
        <v>140</v>
      </c>
      <c r="BO7" s="228">
        <v>166</v>
      </c>
      <c r="BP7" s="229">
        <v>1.1811</v>
      </c>
      <c r="BQ7" s="230">
        <v>2317</v>
      </c>
      <c r="BR7" s="228">
        <v>611</v>
      </c>
      <c r="BS7" s="230">
        <v>1707</v>
      </c>
      <c r="BT7" s="229">
        <v>2.794</v>
      </c>
      <c r="BU7" s="230">
        <v>2439533</v>
      </c>
      <c r="BV7" s="230">
        <v>745571</v>
      </c>
      <c r="BW7" s="230">
        <v>1693962</v>
      </c>
      <c r="BX7" s="229">
        <v>2.2719999999999998</v>
      </c>
      <c r="BY7" s="230">
        <v>2502</v>
      </c>
      <c r="BZ7" s="230">
        <v>2489</v>
      </c>
      <c r="CA7" s="228">
        <v>14</v>
      </c>
      <c r="CB7" s="229">
        <v>5.4000000000000003E-3</v>
      </c>
      <c r="CC7" s="230">
        <v>2456</v>
      </c>
      <c r="CD7" s="230">
        <v>2448</v>
      </c>
      <c r="CE7" s="228">
        <v>8</v>
      </c>
      <c r="CF7" s="229">
        <v>3.2000000000000002E-3</v>
      </c>
      <c r="CG7" s="228">
        <v>44</v>
      </c>
      <c r="CH7" s="228">
        <v>40</v>
      </c>
      <c r="CI7" s="228">
        <v>3</v>
      </c>
      <c r="CJ7" s="229">
        <v>8.6300000000000002E-2</v>
      </c>
      <c r="CK7" s="228">
        <v>3</v>
      </c>
      <c r="CL7" s="228">
        <v>0</v>
      </c>
      <c r="CM7" s="228">
        <v>2</v>
      </c>
      <c r="CN7" s="229">
        <v>4.625</v>
      </c>
      <c r="CO7" s="228">
        <v>661</v>
      </c>
      <c r="CP7" s="228">
        <v>491</v>
      </c>
      <c r="CQ7" s="228">
        <v>170</v>
      </c>
      <c r="CR7" s="229">
        <v>0.3463</v>
      </c>
      <c r="CS7" s="228">
        <v>393</v>
      </c>
      <c r="CT7" s="228">
        <v>332</v>
      </c>
      <c r="CU7" s="228">
        <v>60</v>
      </c>
      <c r="CV7" s="229">
        <v>0.18190000000000001</v>
      </c>
      <c r="CW7" s="230">
        <v>3555</v>
      </c>
      <c r="CX7" s="230">
        <v>3312</v>
      </c>
      <c r="CY7" s="228">
        <v>244</v>
      </c>
      <c r="CZ7" s="229">
        <v>7.3599999999999999E-2</v>
      </c>
      <c r="DA7" s="228">
        <v>31.86</v>
      </c>
      <c r="DB7" s="228">
        <v>31.13</v>
      </c>
      <c r="DC7" s="228">
        <v>0.73</v>
      </c>
      <c r="DD7" s="228">
        <v>0.73</v>
      </c>
      <c r="DE7" s="228">
        <v>54.49</v>
      </c>
      <c r="DF7" s="228">
        <v>54.61</v>
      </c>
      <c r="DG7" s="228">
        <v>-22.63</v>
      </c>
      <c r="DH7" s="228">
        <v>-0.12</v>
      </c>
      <c r="DI7" s="228">
        <v>31.91</v>
      </c>
      <c r="DJ7" s="228">
        <v>31.14</v>
      </c>
      <c r="DK7" s="228">
        <v>0.77</v>
      </c>
      <c r="DL7" s="228">
        <v>0.77</v>
      </c>
      <c r="DM7" s="228">
        <v>31.56</v>
      </c>
      <c r="DN7" s="228">
        <v>31.11</v>
      </c>
      <c r="DO7" s="228">
        <v>0.45</v>
      </c>
      <c r="DP7" s="228">
        <v>0.45</v>
      </c>
      <c r="DQ7" s="228">
        <v>0.59</v>
      </c>
      <c r="DR7" s="228">
        <v>0.68</v>
      </c>
      <c r="DS7" s="228">
        <v>-0.09</v>
      </c>
      <c r="DT7" s="229">
        <v>-0.13239999999999999</v>
      </c>
      <c r="DU7" s="231">
        <v>1100</v>
      </c>
      <c r="DV7" s="231">
        <v>1000</v>
      </c>
      <c r="DW7" s="228">
        <v>0.18</v>
      </c>
      <c r="DX7" s="228">
        <v>0.43</v>
      </c>
      <c r="DY7" s="228">
        <v>-0.25</v>
      </c>
      <c r="DZ7" s="229">
        <v>-0.58140000000000003</v>
      </c>
      <c r="EA7" s="229">
        <v>1.8599999999999998E-2</v>
      </c>
      <c r="EB7" s="230">
        <v>394200</v>
      </c>
      <c r="EC7" s="229">
        <v>5.4999999999999997E-3</v>
      </c>
      <c r="ED7" s="229">
        <v>1.8599999999999998E-2</v>
      </c>
      <c r="EE7" s="228">
        <v>6.46</v>
      </c>
      <c r="EF7" s="229">
        <v>6.1999999999999998E-3</v>
      </c>
      <c r="EG7" s="230">
        <v>512952</v>
      </c>
      <c r="EH7" s="230">
        <v>282246</v>
      </c>
      <c r="EI7" s="229">
        <v>0.81740000000000002</v>
      </c>
      <c r="EJ7" s="229">
        <v>0.21029999999999999</v>
      </c>
      <c r="EK7" s="231">
        <v>1772.08</v>
      </c>
      <c r="EL7" s="228">
        <v>305.35000000000002</v>
      </c>
      <c r="EM7" s="228">
        <v>344.49</v>
      </c>
      <c r="EN7" s="228">
        <v>170.07</v>
      </c>
      <c r="EO7" s="231">
        <v>2421.91</v>
      </c>
      <c r="EP7" s="228">
        <v>622.42999999999995</v>
      </c>
      <c r="EQ7" s="231">
        <v>1799.48</v>
      </c>
      <c r="ER7" s="229">
        <v>2.891</v>
      </c>
      <c r="ES7" s="228">
        <v>692.92</v>
      </c>
      <c r="ET7" s="228">
        <v>379.75</v>
      </c>
      <c r="EU7" s="231">
        <v>2502.42</v>
      </c>
      <c r="EV7" s="231">
        <v>92816927</v>
      </c>
      <c r="EW7" s="231">
        <v>3575.09</v>
      </c>
      <c r="EX7" s="231">
        <v>3297.65</v>
      </c>
      <c r="EY7" s="228">
        <v>277.44</v>
      </c>
      <c r="EZ7" s="229">
        <v>8.4099999999999994E-2</v>
      </c>
      <c r="FA7" s="229">
        <v>0.37090000000000001</v>
      </c>
      <c r="FB7" s="227" t="s">
        <v>555</v>
      </c>
      <c r="FC7">
        <f t="shared" si="0"/>
        <v>46</v>
      </c>
    </row>
    <row r="8" spans="1:159" ht="17.25" thickBot="1" x14ac:dyDescent="0.3">
      <c r="A8" s="226">
        <v>46023</v>
      </c>
      <c r="B8" s="227" t="s">
        <v>215</v>
      </c>
      <c r="C8" s="227" t="s">
        <v>160</v>
      </c>
      <c r="D8" s="228">
        <v>475</v>
      </c>
      <c r="E8" s="228">
        <v>26</v>
      </c>
      <c r="F8" s="231">
        <v>1488.5</v>
      </c>
      <c r="G8" s="231">
        <v>1478.6</v>
      </c>
      <c r="H8" s="228">
        <v>9.9</v>
      </c>
      <c r="I8" s="229">
        <v>6.7000000000000002E-3</v>
      </c>
      <c r="J8" s="231">
        <v>1481.1</v>
      </c>
      <c r="K8" s="231">
        <v>1469.8</v>
      </c>
      <c r="L8" s="228">
        <v>11.3</v>
      </c>
      <c r="M8" s="229">
        <v>7.7000000000000002E-3</v>
      </c>
      <c r="N8" s="231">
        <v>1488.5</v>
      </c>
      <c r="O8" s="231">
        <v>1478.6</v>
      </c>
      <c r="P8" s="228">
        <v>9.9</v>
      </c>
      <c r="Q8" s="229">
        <v>6.7000000000000002E-3</v>
      </c>
      <c r="R8" s="231">
        <v>1498.6</v>
      </c>
      <c r="S8" s="231">
        <v>1487.3</v>
      </c>
      <c r="T8" s="228">
        <v>11.3</v>
      </c>
      <c r="U8" s="229">
        <v>7.6E-3</v>
      </c>
      <c r="V8" s="231">
        <v>1507.8</v>
      </c>
      <c r="W8" s="231">
        <v>1497.3</v>
      </c>
      <c r="X8" s="228">
        <v>10.5</v>
      </c>
      <c r="Y8" s="229">
        <v>7.0000000000000001E-3</v>
      </c>
      <c r="Z8" s="228">
        <v>7.4</v>
      </c>
      <c r="AA8" s="228">
        <v>8.8000000000000007</v>
      </c>
      <c r="AB8" s="228">
        <v>-1.4</v>
      </c>
      <c r="AC8" s="229">
        <v>5.0000000000000001E-3</v>
      </c>
      <c r="AD8" s="228">
        <v>7.4</v>
      </c>
      <c r="AE8" s="228">
        <v>8.8000000000000007</v>
      </c>
      <c r="AF8" s="228">
        <v>-1.4</v>
      </c>
      <c r="AG8" s="229">
        <v>5.0000000000000001E-3</v>
      </c>
      <c r="AH8" s="228">
        <v>17.5</v>
      </c>
      <c r="AI8" s="228">
        <v>17.5</v>
      </c>
      <c r="AJ8" s="228">
        <v>0</v>
      </c>
      <c r="AK8" s="229">
        <v>1.18E-2</v>
      </c>
      <c r="AL8" s="228">
        <v>26.7</v>
      </c>
      <c r="AM8" s="228">
        <v>27.5</v>
      </c>
      <c r="AN8" s="228">
        <v>-0.8</v>
      </c>
      <c r="AO8" s="229">
        <v>1.7999999999999999E-2</v>
      </c>
      <c r="AP8" s="231">
        <v>1490.05</v>
      </c>
      <c r="AQ8" s="231">
        <v>1499.01</v>
      </c>
      <c r="AR8" s="228">
        <v>0</v>
      </c>
      <c r="AS8" s="228">
        <v>250</v>
      </c>
      <c r="AT8" s="228">
        <v>240</v>
      </c>
      <c r="AU8" s="228">
        <v>10</v>
      </c>
      <c r="AV8" s="229">
        <v>4.19E-2</v>
      </c>
      <c r="AW8" s="228">
        <v>236</v>
      </c>
      <c r="AX8" s="228">
        <v>231</v>
      </c>
      <c r="AY8" s="228">
        <v>5</v>
      </c>
      <c r="AZ8" s="229">
        <v>2.0199999999999999E-2</v>
      </c>
      <c r="BA8" s="228">
        <v>12</v>
      </c>
      <c r="BB8" s="228">
        <v>8</v>
      </c>
      <c r="BC8" s="228">
        <v>4</v>
      </c>
      <c r="BD8" s="229">
        <v>0.5413</v>
      </c>
      <c r="BE8" s="228">
        <v>2</v>
      </c>
      <c r="BF8" s="228">
        <v>1</v>
      </c>
      <c r="BG8" s="228">
        <v>1</v>
      </c>
      <c r="BH8" s="229">
        <v>1.0625</v>
      </c>
      <c r="BI8" s="230">
        <v>1109</v>
      </c>
      <c r="BJ8" s="228">
        <v>894</v>
      </c>
      <c r="BK8" s="228">
        <v>215</v>
      </c>
      <c r="BL8" s="229">
        <v>0.2399</v>
      </c>
      <c r="BM8" s="228">
        <v>415</v>
      </c>
      <c r="BN8" s="228">
        <v>469</v>
      </c>
      <c r="BO8" s="228">
        <v>-54</v>
      </c>
      <c r="BP8" s="229">
        <v>-0.11550000000000001</v>
      </c>
      <c r="BQ8" s="230">
        <v>1774</v>
      </c>
      <c r="BR8" s="230">
        <v>1603</v>
      </c>
      <c r="BS8" s="228">
        <v>170</v>
      </c>
      <c r="BT8" s="229">
        <v>0.10630000000000001</v>
      </c>
      <c r="BU8" s="230">
        <v>1011752</v>
      </c>
      <c r="BV8" s="230">
        <v>730157</v>
      </c>
      <c r="BW8" s="230">
        <v>281595</v>
      </c>
      <c r="BX8" s="229">
        <v>0.38569999999999999</v>
      </c>
      <c r="BY8" s="230">
        <v>3747</v>
      </c>
      <c r="BZ8" s="230">
        <v>3739</v>
      </c>
      <c r="CA8" s="228">
        <v>8</v>
      </c>
      <c r="CB8" s="229">
        <v>2.0999999999999999E-3</v>
      </c>
      <c r="CC8" s="230">
        <v>3638</v>
      </c>
      <c r="CD8" s="230">
        <v>3634</v>
      </c>
      <c r="CE8" s="228">
        <v>4</v>
      </c>
      <c r="CF8" s="229">
        <v>1E-3</v>
      </c>
      <c r="CG8" s="228">
        <v>105</v>
      </c>
      <c r="CH8" s="228">
        <v>104</v>
      </c>
      <c r="CI8" s="228">
        <v>2</v>
      </c>
      <c r="CJ8" s="229">
        <v>1.84E-2</v>
      </c>
      <c r="CK8" s="228">
        <v>3</v>
      </c>
      <c r="CL8" s="228">
        <v>1</v>
      </c>
      <c r="CM8" s="228">
        <v>2</v>
      </c>
      <c r="CN8" s="229">
        <v>2.2000000000000002</v>
      </c>
      <c r="CO8" s="228">
        <v>773</v>
      </c>
      <c r="CP8" s="228">
        <v>709</v>
      </c>
      <c r="CQ8" s="228">
        <v>64</v>
      </c>
      <c r="CR8" s="229">
        <v>9.0999999999999998E-2</v>
      </c>
      <c r="CS8" s="228">
        <v>560</v>
      </c>
      <c r="CT8" s="228">
        <v>521</v>
      </c>
      <c r="CU8" s="228">
        <v>40</v>
      </c>
      <c r="CV8" s="229">
        <v>7.5899999999999995E-2</v>
      </c>
      <c r="CW8" s="230">
        <v>5080</v>
      </c>
      <c r="CX8" s="230">
        <v>4968</v>
      </c>
      <c r="CY8" s="228">
        <v>112</v>
      </c>
      <c r="CZ8" s="229">
        <v>2.2499999999999999E-2</v>
      </c>
      <c r="DA8" s="228">
        <v>19.989999999999998</v>
      </c>
      <c r="DB8" s="228">
        <v>19.73</v>
      </c>
      <c r="DC8" s="228">
        <v>0.26</v>
      </c>
      <c r="DD8" s="228">
        <v>0.26</v>
      </c>
      <c r="DE8" s="228">
        <v>35.42</v>
      </c>
      <c r="DF8" s="228">
        <v>35.49</v>
      </c>
      <c r="DG8" s="228">
        <v>-15.43</v>
      </c>
      <c r="DH8" s="228">
        <v>-7.0000000000000007E-2</v>
      </c>
      <c r="DI8" s="228">
        <v>20.05</v>
      </c>
      <c r="DJ8" s="228">
        <v>19.760000000000002</v>
      </c>
      <c r="DK8" s="228">
        <v>0.28999999999999998</v>
      </c>
      <c r="DL8" s="228">
        <v>0.28999999999999998</v>
      </c>
      <c r="DM8" s="228">
        <v>19.84</v>
      </c>
      <c r="DN8" s="228">
        <v>19.66</v>
      </c>
      <c r="DO8" s="228">
        <v>0.18</v>
      </c>
      <c r="DP8" s="228">
        <v>0.18</v>
      </c>
      <c r="DQ8" s="228">
        <v>0.72</v>
      </c>
      <c r="DR8" s="228">
        <v>0.73</v>
      </c>
      <c r="DS8" s="228">
        <v>-0.01</v>
      </c>
      <c r="DT8" s="229">
        <v>-1.37E-2</v>
      </c>
      <c r="DU8" s="231">
        <v>1500</v>
      </c>
      <c r="DV8" s="231">
        <v>1480</v>
      </c>
      <c r="DW8" s="228">
        <v>0.37</v>
      </c>
      <c r="DX8" s="228">
        <v>0.52</v>
      </c>
      <c r="DY8" s="228">
        <v>-0.15</v>
      </c>
      <c r="DZ8" s="229">
        <v>-0.28849999999999998</v>
      </c>
      <c r="EA8" s="229">
        <v>2.9000000000000001E-2</v>
      </c>
      <c r="EB8" s="230">
        <v>702525</v>
      </c>
      <c r="EC8" s="229">
        <v>6.7999999999999996E-3</v>
      </c>
      <c r="ED8" s="229">
        <v>2.9000000000000001E-2</v>
      </c>
      <c r="EE8" s="228">
        <v>8.9600000000000009</v>
      </c>
      <c r="EF8" s="229">
        <v>6.0000000000000001E-3</v>
      </c>
      <c r="EG8" s="230">
        <v>350016</v>
      </c>
      <c r="EH8" s="230">
        <v>309541</v>
      </c>
      <c r="EI8" s="229">
        <v>0.1308</v>
      </c>
      <c r="EJ8" s="229">
        <v>0.34599999999999997</v>
      </c>
      <c r="EK8" s="231">
        <v>1156.8</v>
      </c>
      <c r="EL8" s="228">
        <v>407.98</v>
      </c>
      <c r="EM8" s="228">
        <v>250.23</v>
      </c>
      <c r="EN8" s="228">
        <v>197.29</v>
      </c>
      <c r="EO8" s="231">
        <v>1815.01</v>
      </c>
      <c r="EP8" s="231">
        <v>1622.51</v>
      </c>
      <c r="EQ8" s="228">
        <v>192.51</v>
      </c>
      <c r="ER8" s="229">
        <v>0.1186</v>
      </c>
      <c r="ES8" s="228">
        <v>796.68</v>
      </c>
      <c r="ET8" s="228">
        <v>543.83000000000004</v>
      </c>
      <c r="EU8" s="231">
        <v>3747.28</v>
      </c>
      <c r="EV8" s="231">
        <v>84394936</v>
      </c>
      <c r="EW8" s="231">
        <v>5087.79</v>
      </c>
      <c r="EX8" s="231">
        <v>4947.7</v>
      </c>
      <c r="EY8" s="228">
        <v>140.09</v>
      </c>
      <c r="EZ8" s="229">
        <v>2.8299999999999999E-2</v>
      </c>
      <c r="FA8" s="229">
        <v>0.40439999999999998</v>
      </c>
      <c r="FB8" s="227" t="s">
        <v>555</v>
      </c>
      <c r="FC8">
        <f t="shared" si="0"/>
        <v>109</v>
      </c>
    </row>
    <row r="9" spans="1:159" ht="17.25" thickBot="1" x14ac:dyDescent="0.3">
      <c r="A9" s="226">
        <v>46023</v>
      </c>
      <c r="B9" s="227" t="s">
        <v>170</v>
      </c>
      <c r="C9" s="227" t="s">
        <v>497</v>
      </c>
      <c r="D9" s="228">
        <v>125</v>
      </c>
      <c r="E9" s="228">
        <v>26</v>
      </c>
      <c r="F9" s="231">
        <v>5487</v>
      </c>
      <c r="G9" s="231">
        <v>5527</v>
      </c>
      <c r="H9" s="228">
        <v>-40</v>
      </c>
      <c r="I9" s="229">
        <v>-7.1999999999999998E-3</v>
      </c>
      <c r="J9" s="231">
        <v>5463.5</v>
      </c>
      <c r="K9" s="231">
        <v>5506.5</v>
      </c>
      <c r="L9" s="228">
        <v>-43</v>
      </c>
      <c r="M9" s="229">
        <v>-7.7999999999999996E-3</v>
      </c>
      <c r="N9" s="231">
        <v>5487</v>
      </c>
      <c r="O9" s="231">
        <v>5527</v>
      </c>
      <c r="P9" s="228">
        <v>-40</v>
      </c>
      <c r="Q9" s="229">
        <v>-7.1999999999999998E-3</v>
      </c>
      <c r="R9" s="231">
        <v>5495.5</v>
      </c>
      <c r="S9" s="231">
        <v>5528</v>
      </c>
      <c r="T9" s="228">
        <v>-32.5</v>
      </c>
      <c r="U9" s="229">
        <v>-5.8999999999999999E-3</v>
      </c>
      <c r="V9" s="228">
        <v>0</v>
      </c>
      <c r="W9" s="228">
        <v>0</v>
      </c>
      <c r="X9" s="228">
        <v>0</v>
      </c>
      <c r="Y9" s="229">
        <v>0</v>
      </c>
      <c r="Z9" s="228">
        <v>23.5</v>
      </c>
      <c r="AA9" s="228">
        <v>20.5</v>
      </c>
      <c r="AB9" s="228">
        <v>3</v>
      </c>
      <c r="AC9" s="229">
        <v>4.3E-3</v>
      </c>
      <c r="AD9" s="228">
        <v>23.5</v>
      </c>
      <c r="AE9" s="228">
        <v>20.5</v>
      </c>
      <c r="AF9" s="228">
        <v>3</v>
      </c>
      <c r="AG9" s="229">
        <v>4.3E-3</v>
      </c>
      <c r="AH9" s="228">
        <v>32</v>
      </c>
      <c r="AI9" s="228">
        <v>21.5</v>
      </c>
      <c r="AJ9" s="228">
        <v>10.5</v>
      </c>
      <c r="AK9" s="229">
        <v>5.8999999999999999E-3</v>
      </c>
      <c r="AL9" s="228">
        <v>0</v>
      </c>
      <c r="AM9" s="228">
        <v>0</v>
      </c>
      <c r="AN9" s="228">
        <v>0</v>
      </c>
      <c r="AO9" s="229">
        <v>0</v>
      </c>
      <c r="AP9" s="231">
        <v>5460.95</v>
      </c>
      <c r="AQ9" s="231">
        <v>5460.8</v>
      </c>
      <c r="AR9" s="228">
        <v>0</v>
      </c>
      <c r="AS9" s="228">
        <v>76</v>
      </c>
      <c r="AT9" s="228">
        <v>55</v>
      </c>
      <c r="AU9" s="228">
        <v>21</v>
      </c>
      <c r="AV9" s="229">
        <v>0.3836</v>
      </c>
      <c r="AW9" s="228">
        <v>74</v>
      </c>
      <c r="AX9" s="228">
        <v>54</v>
      </c>
      <c r="AY9" s="228">
        <v>20</v>
      </c>
      <c r="AZ9" s="229">
        <v>0.37709999999999999</v>
      </c>
      <c r="BA9" s="228">
        <v>2</v>
      </c>
      <c r="BB9" s="228">
        <v>1</v>
      </c>
      <c r="BC9" s="228">
        <v>1</v>
      </c>
      <c r="BD9" s="229">
        <v>0.66669999999999996</v>
      </c>
      <c r="BE9" s="228">
        <v>0</v>
      </c>
      <c r="BF9" s="228">
        <v>0</v>
      </c>
      <c r="BG9" s="228">
        <v>0</v>
      </c>
      <c r="BH9" s="229">
        <v>0</v>
      </c>
      <c r="BI9" s="228">
        <v>86</v>
      </c>
      <c r="BJ9" s="228">
        <v>45</v>
      </c>
      <c r="BK9" s="228">
        <v>41</v>
      </c>
      <c r="BL9" s="229">
        <v>0.91639999999999999</v>
      </c>
      <c r="BM9" s="228">
        <v>178</v>
      </c>
      <c r="BN9" s="228">
        <v>33</v>
      </c>
      <c r="BO9" s="228">
        <v>145</v>
      </c>
      <c r="BP9" s="229">
        <v>4.3326000000000002</v>
      </c>
      <c r="BQ9" s="228">
        <v>341</v>
      </c>
      <c r="BR9" s="228">
        <v>134</v>
      </c>
      <c r="BS9" s="228">
        <v>207</v>
      </c>
      <c r="BT9" s="229">
        <v>1.5508</v>
      </c>
      <c r="BU9" s="230">
        <v>45721</v>
      </c>
      <c r="BV9" s="230">
        <v>38417</v>
      </c>
      <c r="BW9" s="230">
        <v>7304</v>
      </c>
      <c r="BX9" s="229">
        <v>0.19009999999999999</v>
      </c>
      <c r="BY9" s="228">
        <v>829</v>
      </c>
      <c r="BZ9" s="228">
        <v>835</v>
      </c>
      <c r="CA9" s="228">
        <v>-6</v>
      </c>
      <c r="CB9" s="229">
        <v>-7.3000000000000001E-3</v>
      </c>
      <c r="CC9" s="228">
        <v>823</v>
      </c>
      <c r="CD9" s="228">
        <v>830</v>
      </c>
      <c r="CE9" s="228">
        <v>-7</v>
      </c>
      <c r="CF9" s="229">
        <v>-8.2000000000000007E-3</v>
      </c>
      <c r="CG9" s="228">
        <v>5</v>
      </c>
      <c r="CH9" s="228">
        <v>4</v>
      </c>
      <c r="CI9" s="228">
        <v>1</v>
      </c>
      <c r="CJ9" s="229">
        <v>0.15379999999999999</v>
      </c>
      <c r="CK9" s="228">
        <v>0</v>
      </c>
      <c r="CL9" s="228">
        <v>0</v>
      </c>
      <c r="CM9" s="228">
        <v>0</v>
      </c>
      <c r="CN9" s="229">
        <v>0</v>
      </c>
      <c r="CO9" s="228">
        <v>48</v>
      </c>
      <c r="CP9" s="228">
        <v>34</v>
      </c>
      <c r="CQ9" s="228">
        <v>13</v>
      </c>
      <c r="CR9" s="229">
        <v>0.39200000000000002</v>
      </c>
      <c r="CS9" s="228">
        <v>58</v>
      </c>
      <c r="CT9" s="228">
        <v>29</v>
      </c>
      <c r="CU9" s="228">
        <v>29</v>
      </c>
      <c r="CV9" s="229">
        <v>1.0095000000000001</v>
      </c>
      <c r="CW9" s="228">
        <v>934</v>
      </c>
      <c r="CX9" s="228">
        <v>898</v>
      </c>
      <c r="CY9" s="228">
        <v>37</v>
      </c>
      <c r="CZ9" s="229">
        <v>4.07E-2</v>
      </c>
      <c r="DA9" s="228">
        <v>19.600000000000001</v>
      </c>
      <c r="DB9" s="228">
        <v>19.96</v>
      </c>
      <c r="DC9" s="228">
        <v>-0.36</v>
      </c>
      <c r="DD9" s="228">
        <v>-0.36</v>
      </c>
      <c r="DE9" s="228">
        <v>25.67</v>
      </c>
      <c r="DF9" s="228">
        <v>25.72</v>
      </c>
      <c r="DG9" s="228">
        <v>-6.07</v>
      </c>
      <c r="DH9" s="228">
        <v>-0.05</v>
      </c>
      <c r="DI9" s="228">
        <v>19.09</v>
      </c>
      <c r="DJ9" s="228">
        <v>19.079999999999998</v>
      </c>
      <c r="DK9" s="228">
        <v>0.01</v>
      </c>
      <c r="DL9" s="228">
        <v>0.01</v>
      </c>
      <c r="DM9" s="228">
        <v>19.84</v>
      </c>
      <c r="DN9" s="228">
        <v>21.14</v>
      </c>
      <c r="DO9" s="228">
        <v>-1.3</v>
      </c>
      <c r="DP9" s="228">
        <v>-1.3</v>
      </c>
      <c r="DQ9" s="228">
        <v>1.22</v>
      </c>
      <c r="DR9" s="228">
        <v>0.84</v>
      </c>
      <c r="DS9" s="228">
        <v>0.38</v>
      </c>
      <c r="DT9" s="229">
        <v>0.45240000000000002</v>
      </c>
      <c r="DU9" s="231">
        <v>5500</v>
      </c>
      <c r="DV9" s="231">
        <v>5100</v>
      </c>
      <c r="DW9" s="228">
        <v>2.06</v>
      </c>
      <c r="DX9" s="228">
        <v>0.74</v>
      </c>
      <c r="DY9" s="228">
        <v>1.32</v>
      </c>
      <c r="DZ9" s="229">
        <v>1.7838000000000001</v>
      </c>
      <c r="EA9" s="229">
        <v>6.1999999999999998E-3</v>
      </c>
      <c r="EB9" s="230">
        <v>8125</v>
      </c>
      <c r="EC9" s="229">
        <v>1.5E-3</v>
      </c>
      <c r="ED9" s="229">
        <v>6.1999999999999998E-3</v>
      </c>
      <c r="EE9" s="228">
        <v>-0.15</v>
      </c>
      <c r="EF9" s="229">
        <v>0</v>
      </c>
      <c r="EG9" s="230">
        <v>13586</v>
      </c>
      <c r="EH9" s="230">
        <v>22408</v>
      </c>
      <c r="EI9" s="229">
        <v>-0.39369999999999999</v>
      </c>
      <c r="EJ9" s="229">
        <v>0.29720000000000002</v>
      </c>
      <c r="EK9" s="228">
        <v>89.32</v>
      </c>
      <c r="EL9" s="228">
        <v>173.99</v>
      </c>
      <c r="EM9" s="228">
        <v>75.84</v>
      </c>
      <c r="EN9" s="228">
        <v>46.25</v>
      </c>
      <c r="EO9" s="228">
        <v>339.15</v>
      </c>
      <c r="EP9" s="228">
        <v>134.49</v>
      </c>
      <c r="EQ9" s="228">
        <v>204.66</v>
      </c>
      <c r="ER9" s="229">
        <v>1.5218</v>
      </c>
      <c r="ES9" s="228">
        <v>49.22</v>
      </c>
      <c r="ET9" s="228">
        <v>55.58</v>
      </c>
      <c r="EU9" s="228">
        <v>828.54</v>
      </c>
      <c r="EV9" s="231">
        <v>7334235</v>
      </c>
      <c r="EW9" s="228">
        <v>933.34</v>
      </c>
      <c r="EX9" s="228">
        <v>904.19</v>
      </c>
      <c r="EY9" s="228">
        <v>29.15</v>
      </c>
      <c r="EZ9" s="229">
        <v>3.2199999999999999E-2</v>
      </c>
      <c r="FA9" s="229">
        <v>0.23219999999999999</v>
      </c>
      <c r="FB9" s="227" t="s">
        <v>568</v>
      </c>
      <c r="FC9">
        <f t="shared" si="0"/>
        <v>6</v>
      </c>
    </row>
    <row r="10" spans="1:159" ht="17.25" thickBot="1" x14ac:dyDescent="0.3">
      <c r="A10" s="226">
        <v>46023</v>
      </c>
      <c r="B10" s="227" t="s">
        <v>184</v>
      </c>
      <c r="C10" s="227" t="s">
        <v>681</v>
      </c>
      <c r="D10" s="228">
        <v>100</v>
      </c>
      <c r="E10" s="228">
        <v>26</v>
      </c>
      <c r="F10" s="231">
        <v>6443</v>
      </c>
      <c r="G10" s="231">
        <v>6366</v>
      </c>
      <c r="H10" s="228">
        <v>77</v>
      </c>
      <c r="I10" s="229">
        <v>1.21E-2</v>
      </c>
      <c r="J10" s="231">
        <v>6447.5</v>
      </c>
      <c r="K10" s="231">
        <v>6387</v>
      </c>
      <c r="L10" s="228">
        <v>60.5</v>
      </c>
      <c r="M10" s="229">
        <v>9.4999999999999998E-3</v>
      </c>
      <c r="N10" s="231">
        <v>6443</v>
      </c>
      <c r="O10" s="231">
        <v>6366</v>
      </c>
      <c r="P10" s="228">
        <v>77</v>
      </c>
      <c r="Q10" s="229">
        <v>1.21E-2</v>
      </c>
      <c r="R10" s="231">
        <v>6341</v>
      </c>
      <c r="S10" s="231">
        <v>6252.5</v>
      </c>
      <c r="T10" s="228">
        <v>88.5</v>
      </c>
      <c r="U10" s="229">
        <v>1.4200000000000001E-2</v>
      </c>
      <c r="V10" s="231">
        <v>6305.5</v>
      </c>
      <c r="W10" s="231">
        <v>6161</v>
      </c>
      <c r="X10" s="228">
        <v>144.5</v>
      </c>
      <c r="Y10" s="229">
        <v>2.35E-2</v>
      </c>
      <c r="Z10" s="228">
        <v>-4.5</v>
      </c>
      <c r="AA10" s="228">
        <v>-21</v>
      </c>
      <c r="AB10" s="228">
        <v>16.5</v>
      </c>
      <c r="AC10" s="229">
        <v>-6.9999999999999999E-4</v>
      </c>
      <c r="AD10" s="228">
        <v>-4.5</v>
      </c>
      <c r="AE10" s="228">
        <v>-21</v>
      </c>
      <c r="AF10" s="228">
        <v>16.5</v>
      </c>
      <c r="AG10" s="229">
        <v>-6.9999999999999999E-4</v>
      </c>
      <c r="AH10" s="228">
        <v>-106.5</v>
      </c>
      <c r="AI10" s="228">
        <v>-134.5</v>
      </c>
      <c r="AJ10" s="228">
        <v>28</v>
      </c>
      <c r="AK10" s="229">
        <v>-1.6500000000000001E-2</v>
      </c>
      <c r="AL10" s="228">
        <v>-142</v>
      </c>
      <c r="AM10" s="228">
        <v>-226</v>
      </c>
      <c r="AN10" s="228">
        <v>84</v>
      </c>
      <c r="AO10" s="229">
        <v>-2.1999999999999999E-2</v>
      </c>
      <c r="AP10" s="231">
        <v>6409.5</v>
      </c>
      <c r="AQ10" s="231">
        <v>6308</v>
      </c>
      <c r="AR10" s="228">
        <v>0</v>
      </c>
      <c r="AS10" s="228">
        <v>71</v>
      </c>
      <c r="AT10" s="228">
        <v>154</v>
      </c>
      <c r="AU10" s="228">
        <v>-84</v>
      </c>
      <c r="AV10" s="229">
        <v>-0.54279999999999995</v>
      </c>
      <c r="AW10" s="228">
        <v>64</v>
      </c>
      <c r="AX10" s="228">
        <v>143</v>
      </c>
      <c r="AY10" s="228">
        <v>-79</v>
      </c>
      <c r="AZ10" s="229">
        <v>-0.55300000000000005</v>
      </c>
      <c r="BA10" s="228">
        <v>6</v>
      </c>
      <c r="BB10" s="228">
        <v>11</v>
      </c>
      <c r="BC10" s="228">
        <v>-5</v>
      </c>
      <c r="BD10" s="229">
        <v>-0.42859999999999998</v>
      </c>
      <c r="BE10" s="228">
        <v>0</v>
      </c>
      <c r="BF10" s="228">
        <v>0</v>
      </c>
      <c r="BG10" s="228">
        <v>0</v>
      </c>
      <c r="BH10" s="229">
        <v>2</v>
      </c>
      <c r="BI10" s="228">
        <v>168</v>
      </c>
      <c r="BJ10" s="228">
        <v>377</v>
      </c>
      <c r="BK10" s="228">
        <v>-209</v>
      </c>
      <c r="BL10" s="229">
        <v>-0.55500000000000005</v>
      </c>
      <c r="BM10" s="228">
        <v>80</v>
      </c>
      <c r="BN10" s="228">
        <v>240</v>
      </c>
      <c r="BO10" s="228">
        <v>-159</v>
      </c>
      <c r="BP10" s="229">
        <v>-0.66539999999999999</v>
      </c>
      <c r="BQ10" s="228">
        <v>318</v>
      </c>
      <c r="BR10" s="228">
        <v>771</v>
      </c>
      <c r="BS10" s="228">
        <v>-452</v>
      </c>
      <c r="BT10" s="229">
        <v>-0.58689999999999998</v>
      </c>
      <c r="BU10" s="230">
        <v>90622</v>
      </c>
      <c r="BV10" s="230">
        <v>200172</v>
      </c>
      <c r="BW10" s="230">
        <v>-109550</v>
      </c>
      <c r="BX10" s="229">
        <v>-0.54730000000000001</v>
      </c>
      <c r="BY10" s="228">
        <v>598</v>
      </c>
      <c r="BZ10" s="228">
        <v>595</v>
      </c>
      <c r="CA10" s="228">
        <v>3</v>
      </c>
      <c r="CB10" s="229">
        <v>4.4999999999999997E-3</v>
      </c>
      <c r="CC10" s="228">
        <v>571</v>
      </c>
      <c r="CD10" s="228">
        <v>570</v>
      </c>
      <c r="CE10" s="228">
        <v>1</v>
      </c>
      <c r="CF10" s="229">
        <v>1.1999999999999999E-3</v>
      </c>
      <c r="CG10" s="228">
        <v>27</v>
      </c>
      <c r="CH10" s="228">
        <v>25</v>
      </c>
      <c r="CI10" s="228">
        <v>2</v>
      </c>
      <c r="CJ10" s="229">
        <v>7.2499999999999995E-2</v>
      </c>
      <c r="CK10" s="228">
        <v>0</v>
      </c>
      <c r="CL10" s="228">
        <v>0</v>
      </c>
      <c r="CM10" s="228">
        <v>0</v>
      </c>
      <c r="CN10" s="229">
        <v>3</v>
      </c>
      <c r="CO10" s="228">
        <v>216</v>
      </c>
      <c r="CP10" s="228">
        <v>205</v>
      </c>
      <c r="CQ10" s="228">
        <v>11</v>
      </c>
      <c r="CR10" s="229">
        <v>5.57E-2</v>
      </c>
      <c r="CS10" s="228">
        <v>159</v>
      </c>
      <c r="CT10" s="228">
        <v>148</v>
      </c>
      <c r="CU10" s="228">
        <v>11</v>
      </c>
      <c r="CV10" s="229">
        <v>7.3899999999999993E-2</v>
      </c>
      <c r="CW10" s="228">
        <v>973</v>
      </c>
      <c r="CX10" s="228">
        <v>948</v>
      </c>
      <c r="CY10" s="228">
        <v>25</v>
      </c>
      <c r="CZ10" s="229">
        <v>2.64E-2</v>
      </c>
      <c r="DA10" s="228">
        <v>30.3</v>
      </c>
      <c r="DB10" s="228">
        <v>31.37</v>
      </c>
      <c r="DC10" s="228">
        <v>-1.07</v>
      </c>
      <c r="DD10" s="228">
        <v>-1.07</v>
      </c>
      <c r="DE10" s="228">
        <v>51.68</v>
      </c>
      <c r="DF10" s="228">
        <v>51.78</v>
      </c>
      <c r="DG10" s="228">
        <v>-21.38</v>
      </c>
      <c r="DH10" s="228">
        <v>-0.1</v>
      </c>
      <c r="DI10" s="228">
        <v>29.75</v>
      </c>
      <c r="DJ10" s="228">
        <v>31</v>
      </c>
      <c r="DK10" s="228">
        <v>-1.25</v>
      </c>
      <c r="DL10" s="228">
        <v>-1.25</v>
      </c>
      <c r="DM10" s="228">
        <v>31.44</v>
      </c>
      <c r="DN10" s="228">
        <v>31.97</v>
      </c>
      <c r="DO10" s="228">
        <v>-0.53</v>
      </c>
      <c r="DP10" s="228">
        <v>-0.53</v>
      </c>
      <c r="DQ10" s="228">
        <v>0.74</v>
      </c>
      <c r="DR10" s="228">
        <v>0.72</v>
      </c>
      <c r="DS10" s="228">
        <v>0.02</v>
      </c>
      <c r="DT10" s="229">
        <v>2.7799999999999998E-2</v>
      </c>
      <c r="DU10" s="231">
        <v>7000</v>
      </c>
      <c r="DV10" s="231">
        <v>6000</v>
      </c>
      <c r="DW10" s="228">
        <v>0.48</v>
      </c>
      <c r="DX10" s="228">
        <v>0.64</v>
      </c>
      <c r="DY10" s="228">
        <v>-0.16</v>
      </c>
      <c r="DZ10" s="229">
        <v>-0.25</v>
      </c>
      <c r="EA10" s="229">
        <v>4.4999999999999998E-2</v>
      </c>
      <c r="EB10" s="230">
        <v>38700</v>
      </c>
      <c r="EC10" s="229">
        <v>-1.5800000000000002E-2</v>
      </c>
      <c r="ED10" s="229">
        <v>4.4999999999999998E-2</v>
      </c>
      <c r="EE10" s="228">
        <v>-101.5</v>
      </c>
      <c r="EF10" s="229">
        <v>-1.5800000000000002E-2</v>
      </c>
      <c r="EG10" s="230">
        <v>22187</v>
      </c>
      <c r="EH10" s="230">
        <v>54005</v>
      </c>
      <c r="EI10" s="229">
        <v>-0.58919999999999995</v>
      </c>
      <c r="EJ10" s="229">
        <v>0.24479999999999999</v>
      </c>
      <c r="EK10" s="228">
        <v>177.27</v>
      </c>
      <c r="EL10" s="228">
        <v>77.52</v>
      </c>
      <c r="EM10" s="228">
        <v>70.08</v>
      </c>
      <c r="EN10" s="228">
        <v>89.09</v>
      </c>
      <c r="EO10" s="228">
        <v>324.86</v>
      </c>
      <c r="EP10" s="228">
        <v>777.59</v>
      </c>
      <c r="EQ10" s="228">
        <v>-452.73</v>
      </c>
      <c r="ER10" s="229">
        <v>-0.58220000000000005</v>
      </c>
      <c r="ES10" s="228">
        <v>226.69</v>
      </c>
      <c r="ET10" s="228">
        <v>157.58000000000001</v>
      </c>
      <c r="EU10" s="228">
        <v>597.48</v>
      </c>
      <c r="EV10" s="231">
        <v>3257355</v>
      </c>
      <c r="EW10" s="228">
        <v>981.75</v>
      </c>
      <c r="EX10" s="228">
        <v>949.29</v>
      </c>
      <c r="EY10" s="228">
        <v>32.46</v>
      </c>
      <c r="EZ10" s="229">
        <v>3.4200000000000001E-2</v>
      </c>
      <c r="FA10" s="229">
        <v>0.4637</v>
      </c>
      <c r="FB10" s="227" t="s">
        <v>555</v>
      </c>
      <c r="FC10">
        <f t="shared" si="0"/>
        <v>27</v>
      </c>
    </row>
    <row r="11" spans="1:159" ht="17.25" thickBot="1" x14ac:dyDescent="0.3">
      <c r="A11" s="226">
        <v>46023</v>
      </c>
      <c r="B11" s="227" t="s">
        <v>157</v>
      </c>
      <c r="C11" s="227" t="s">
        <v>164</v>
      </c>
      <c r="D11" s="228">
        <v>1050</v>
      </c>
      <c r="E11" s="228">
        <v>26</v>
      </c>
      <c r="F11" s="228">
        <v>563.25</v>
      </c>
      <c r="G11" s="228">
        <v>559</v>
      </c>
      <c r="H11" s="228">
        <v>4.25</v>
      </c>
      <c r="I11" s="229">
        <v>7.6E-3</v>
      </c>
      <c r="J11" s="228">
        <v>559.65</v>
      </c>
      <c r="K11" s="228">
        <v>556.35</v>
      </c>
      <c r="L11" s="228">
        <v>3.3</v>
      </c>
      <c r="M11" s="229">
        <v>5.8999999999999999E-3</v>
      </c>
      <c r="N11" s="228">
        <v>563.25</v>
      </c>
      <c r="O11" s="228">
        <v>559</v>
      </c>
      <c r="P11" s="228">
        <v>4.25</v>
      </c>
      <c r="Q11" s="229">
        <v>7.6E-3</v>
      </c>
      <c r="R11" s="228">
        <v>566.20000000000005</v>
      </c>
      <c r="S11" s="228">
        <v>561.9</v>
      </c>
      <c r="T11" s="228">
        <v>4.3</v>
      </c>
      <c r="U11" s="229">
        <v>7.7000000000000002E-3</v>
      </c>
      <c r="V11" s="228">
        <v>569</v>
      </c>
      <c r="W11" s="228">
        <v>566.79999999999995</v>
      </c>
      <c r="X11" s="228">
        <v>2.2000000000000002</v>
      </c>
      <c r="Y11" s="229">
        <v>3.8999999999999998E-3</v>
      </c>
      <c r="Z11" s="228">
        <v>3.6</v>
      </c>
      <c r="AA11" s="228">
        <v>2.65</v>
      </c>
      <c r="AB11" s="228">
        <v>0.95</v>
      </c>
      <c r="AC11" s="229">
        <v>6.4000000000000003E-3</v>
      </c>
      <c r="AD11" s="228">
        <v>3.6</v>
      </c>
      <c r="AE11" s="228">
        <v>2.65</v>
      </c>
      <c r="AF11" s="228">
        <v>0.95</v>
      </c>
      <c r="AG11" s="229">
        <v>6.4000000000000003E-3</v>
      </c>
      <c r="AH11" s="228">
        <v>6.55</v>
      </c>
      <c r="AI11" s="228">
        <v>5.55</v>
      </c>
      <c r="AJ11" s="228">
        <v>1</v>
      </c>
      <c r="AK11" s="229">
        <v>1.17E-2</v>
      </c>
      <c r="AL11" s="228">
        <v>9.35</v>
      </c>
      <c r="AM11" s="228">
        <v>10.45</v>
      </c>
      <c r="AN11" s="228">
        <v>-1.1000000000000001</v>
      </c>
      <c r="AO11" s="229">
        <v>1.67E-2</v>
      </c>
      <c r="AP11" s="228">
        <v>562.37</v>
      </c>
      <c r="AQ11" s="228">
        <v>565.37</v>
      </c>
      <c r="AR11" s="228">
        <v>0</v>
      </c>
      <c r="AS11" s="228">
        <v>184</v>
      </c>
      <c r="AT11" s="228">
        <v>172</v>
      </c>
      <c r="AU11" s="228">
        <v>12</v>
      </c>
      <c r="AV11" s="229">
        <v>6.9099999999999995E-2</v>
      </c>
      <c r="AW11" s="228">
        <v>177</v>
      </c>
      <c r="AX11" s="228">
        <v>162</v>
      </c>
      <c r="AY11" s="228">
        <v>15</v>
      </c>
      <c r="AZ11" s="229">
        <v>9.2700000000000005E-2</v>
      </c>
      <c r="BA11" s="228">
        <v>6</v>
      </c>
      <c r="BB11" s="228">
        <v>9</v>
      </c>
      <c r="BC11" s="228">
        <v>-3</v>
      </c>
      <c r="BD11" s="229">
        <v>-0.34379999999999999</v>
      </c>
      <c r="BE11" s="228">
        <v>1</v>
      </c>
      <c r="BF11" s="228">
        <v>1</v>
      </c>
      <c r="BG11" s="228">
        <v>0</v>
      </c>
      <c r="BH11" s="229">
        <v>0.18179999999999999</v>
      </c>
      <c r="BI11" s="228">
        <v>533</v>
      </c>
      <c r="BJ11" s="228">
        <v>343</v>
      </c>
      <c r="BK11" s="228">
        <v>189</v>
      </c>
      <c r="BL11" s="229">
        <v>0.55179999999999996</v>
      </c>
      <c r="BM11" s="228">
        <v>170</v>
      </c>
      <c r="BN11" s="228">
        <v>205</v>
      </c>
      <c r="BO11" s="228">
        <v>-35</v>
      </c>
      <c r="BP11" s="229">
        <v>-0.17219999999999999</v>
      </c>
      <c r="BQ11" s="228">
        <v>887</v>
      </c>
      <c r="BR11" s="228">
        <v>721</v>
      </c>
      <c r="BS11" s="228">
        <v>166</v>
      </c>
      <c r="BT11" s="229">
        <v>0.23019999999999999</v>
      </c>
      <c r="BU11" s="230">
        <v>1644466</v>
      </c>
      <c r="BV11" s="230">
        <v>1106107</v>
      </c>
      <c r="BW11" s="230">
        <v>538359</v>
      </c>
      <c r="BX11" s="229">
        <v>0.48670000000000002</v>
      </c>
      <c r="BY11" s="230">
        <v>2930</v>
      </c>
      <c r="BZ11" s="230">
        <v>2918</v>
      </c>
      <c r="CA11" s="228">
        <v>12</v>
      </c>
      <c r="CB11" s="229">
        <v>4.1000000000000003E-3</v>
      </c>
      <c r="CC11" s="230">
        <v>2884</v>
      </c>
      <c r="CD11" s="230">
        <v>2873</v>
      </c>
      <c r="CE11" s="228">
        <v>11</v>
      </c>
      <c r="CF11" s="229">
        <v>3.8E-3</v>
      </c>
      <c r="CG11" s="228">
        <v>45</v>
      </c>
      <c r="CH11" s="228">
        <v>44</v>
      </c>
      <c r="CI11" s="228">
        <v>1</v>
      </c>
      <c r="CJ11" s="229">
        <v>1.3299999999999999E-2</v>
      </c>
      <c r="CK11" s="228">
        <v>1</v>
      </c>
      <c r="CL11" s="228">
        <v>1</v>
      </c>
      <c r="CM11" s="228">
        <v>0</v>
      </c>
      <c r="CN11" s="229">
        <v>0.63639999999999997</v>
      </c>
      <c r="CO11" s="228">
        <v>556</v>
      </c>
      <c r="CP11" s="228">
        <v>523</v>
      </c>
      <c r="CQ11" s="228">
        <v>33</v>
      </c>
      <c r="CR11" s="229">
        <v>6.2100000000000002E-2</v>
      </c>
      <c r="CS11" s="228">
        <v>538</v>
      </c>
      <c r="CT11" s="228">
        <v>508</v>
      </c>
      <c r="CU11" s="228">
        <v>30</v>
      </c>
      <c r="CV11" s="229">
        <v>5.8900000000000001E-2</v>
      </c>
      <c r="CW11" s="230">
        <v>4025</v>
      </c>
      <c r="CX11" s="230">
        <v>3950</v>
      </c>
      <c r="CY11" s="228">
        <v>74</v>
      </c>
      <c r="CZ11" s="229">
        <v>1.8800000000000001E-2</v>
      </c>
      <c r="DA11" s="228">
        <v>19.07</v>
      </c>
      <c r="DB11" s="228">
        <v>19.04</v>
      </c>
      <c r="DC11" s="228">
        <v>0.03</v>
      </c>
      <c r="DD11" s="228">
        <v>0.03</v>
      </c>
      <c r="DE11" s="228">
        <v>31.14</v>
      </c>
      <c r="DF11" s="228">
        <v>31.2</v>
      </c>
      <c r="DG11" s="228">
        <v>-12.07</v>
      </c>
      <c r="DH11" s="228">
        <v>-0.06</v>
      </c>
      <c r="DI11" s="228">
        <v>19.04</v>
      </c>
      <c r="DJ11" s="228">
        <v>18.739999999999998</v>
      </c>
      <c r="DK11" s="228">
        <v>0.3</v>
      </c>
      <c r="DL11" s="228">
        <v>0.3</v>
      </c>
      <c r="DM11" s="228">
        <v>19.14</v>
      </c>
      <c r="DN11" s="228">
        <v>19.54</v>
      </c>
      <c r="DO11" s="228">
        <v>-0.4</v>
      </c>
      <c r="DP11" s="228">
        <v>-0.4</v>
      </c>
      <c r="DQ11" s="228">
        <v>0.97</v>
      </c>
      <c r="DR11" s="228">
        <v>0.97</v>
      </c>
      <c r="DS11" s="228">
        <v>0</v>
      </c>
      <c r="DT11" s="229">
        <v>0</v>
      </c>
      <c r="DU11" s="228">
        <v>550</v>
      </c>
      <c r="DV11" s="228">
        <v>550</v>
      </c>
      <c r="DW11" s="228">
        <v>0.32</v>
      </c>
      <c r="DX11" s="228">
        <v>0.6</v>
      </c>
      <c r="DY11" s="228">
        <v>-0.28000000000000003</v>
      </c>
      <c r="DZ11" s="229">
        <v>-0.4667</v>
      </c>
      <c r="EA11" s="229">
        <v>1.5699999999999999E-2</v>
      </c>
      <c r="EB11" s="230">
        <v>801150</v>
      </c>
      <c r="EC11" s="229">
        <v>5.1999999999999998E-3</v>
      </c>
      <c r="ED11" s="229">
        <v>1.5699999999999999E-2</v>
      </c>
      <c r="EE11" s="228">
        <v>3</v>
      </c>
      <c r="EF11" s="229">
        <v>5.3E-3</v>
      </c>
      <c r="EG11" s="230">
        <v>676893</v>
      </c>
      <c r="EH11" s="230">
        <v>542714</v>
      </c>
      <c r="EI11" s="229">
        <v>0.2472</v>
      </c>
      <c r="EJ11" s="229">
        <v>0.41160000000000002</v>
      </c>
      <c r="EK11" s="228">
        <v>546.5</v>
      </c>
      <c r="EL11" s="228">
        <v>168.16</v>
      </c>
      <c r="EM11" s="228">
        <v>183.74</v>
      </c>
      <c r="EN11" s="228">
        <v>186.2</v>
      </c>
      <c r="EO11" s="228">
        <v>898.4</v>
      </c>
      <c r="EP11" s="228">
        <v>722.86</v>
      </c>
      <c r="EQ11" s="228">
        <v>175.54</v>
      </c>
      <c r="ER11" s="229">
        <v>0.24279999999999999</v>
      </c>
      <c r="ES11" s="228">
        <v>563.38</v>
      </c>
      <c r="ET11" s="228">
        <v>532.72</v>
      </c>
      <c r="EU11" s="231">
        <v>2930.46</v>
      </c>
      <c r="EV11" s="231">
        <v>79841849</v>
      </c>
      <c r="EW11" s="231">
        <v>4026.56</v>
      </c>
      <c r="EX11" s="231">
        <v>3929.17</v>
      </c>
      <c r="EY11" s="228">
        <v>97.39</v>
      </c>
      <c r="EZ11" s="229">
        <v>2.4799999999999999E-2</v>
      </c>
      <c r="FA11" s="229">
        <v>0.89490000000000003</v>
      </c>
      <c r="FB11" s="227" t="s">
        <v>555</v>
      </c>
      <c r="FC11">
        <f t="shared" si="0"/>
        <v>46</v>
      </c>
    </row>
    <row r="12" spans="1:159" ht="17.25" thickBot="1" x14ac:dyDescent="0.3">
      <c r="A12" s="226">
        <v>46023</v>
      </c>
      <c r="B12" s="227" t="s">
        <v>175</v>
      </c>
      <c r="C12" s="227" t="s">
        <v>609</v>
      </c>
      <c r="D12" s="228">
        <v>250</v>
      </c>
      <c r="E12" s="228">
        <v>26</v>
      </c>
      <c r="F12" s="231">
        <v>2366.6</v>
      </c>
      <c r="G12" s="231">
        <v>2348.1</v>
      </c>
      <c r="H12" s="228">
        <v>18.5</v>
      </c>
      <c r="I12" s="229">
        <v>7.9000000000000008E-3</v>
      </c>
      <c r="J12" s="231">
        <v>2362.8000000000002</v>
      </c>
      <c r="K12" s="231">
        <v>2344</v>
      </c>
      <c r="L12" s="228">
        <v>18.8</v>
      </c>
      <c r="M12" s="229">
        <v>8.0000000000000002E-3</v>
      </c>
      <c r="N12" s="231">
        <v>2366.6</v>
      </c>
      <c r="O12" s="231">
        <v>2348.1</v>
      </c>
      <c r="P12" s="228">
        <v>18.5</v>
      </c>
      <c r="Q12" s="229">
        <v>7.9000000000000008E-3</v>
      </c>
      <c r="R12" s="231">
        <v>2355.1999999999998</v>
      </c>
      <c r="S12" s="231">
        <v>2335.5</v>
      </c>
      <c r="T12" s="228">
        <v>19.7</v>
      </c>
      <c r="U12" s="229">
        <v>8.3999999999999995E-3</v>
      </c>
      <c r="V12" s="231">
        <v>2350.8000000000002</v>
      </c>
      <c r="W12" s="231">
        <v>2330.6</v>
      </c>
      <c r="X12" s="228">
        <v>20.2</v>
      </c>
      <c r="Y12" s="229">
        <v>8.6999999999999994E-3</v>
      </c>
      <c r="Z12" s="228">
        <v>3.8</v>
      </c>
      <c r="AA12" s="228">
        <v>4.0999999999999996</v>
      </c>
      <c r="AB12" s="228">
        <v>-0.3</v>
      </c>
      <c r="AC12" s="229">
        <v>1.6000000000000001E-3</v>
      </c>
      <c r="AD12" s="228">
        <v>3.8</v>
      </c>
      <c r="AE12" s="228">
        <v>4.0999999999999996</v>
      </c>
      <c r="AF12" s="228">
        <v>-0.3</v>
      </c>
      <c r="AG12" s="229">
        <v>1.6000000000000001E-3</v>
      </c>
      <c r="AH12" s="228">
        <v>-7.6</v>
      </c>
      <c r="AI12" s="228">
        <v>-8.5</v>
      </c>
      <c r="AJ12" s="228">
        <v>0.9</v>
      </c>
      <c r="AK12" s="229">
        <v>-3.2000000000000002E-3</v>
      </c>
      <c r="AL12" s="228">
        <v>-12</v>
      </c>
      <c r="AM12" s="228">
        <v>-13.4</v>
      </c>
      <c r="AN12" s="228">
        <v>1.4</v>
      </c>
      <c r="AO12" s="229">
        <v>-5.1000000000000004E-3</v>
      </c>
      <c r="AP12" s="231">
        <v>2349.89</v>
      </c>
      <c r="AQ12" s="231">
        <v>2330.87</v>
      </c>
      <c r="AR12" s="228">
        <v>0</v>
      </c>
      <c r="AS12" s="228">
        <v>161</v>
      </c>
      <c r="AT12" s="228">
        <v>260</v>
      </c>
      <c r="AU12" s="228">
        <v>-99</v>
      </c>
      <c r="AV12" s="229">
        <v>-0.38140000000000002</v>
      </c>
      <c r="AW12" s="228">
        <v>152</v>
      </c>
      <c r="AX12" s="228">
        <v>244</v>
      </c>
      <c r="AY12" s="228">
        <v>-92</v>
      </c>
      <c r="AZ12" s="229">
        <v>-0.37759999999999999</v>
      </c>
      <c r="BA12" s="228">
        <v>7</v>
      </c>
      <c r="BB12" s="228">
        <v>14</v>
      </c>
      <c r="BC12" s="228">
        <v>-7</v>
      </c>
      <c r="BD12" s="229">
        <v>-0.48759999999999998</v>
      </c>
      <c r="BE12" s="228">
        <v>1</v>
      </c>
      <c r="BF12" s="228">
        <v>1</v>
      </c>
      <c r="BG12" s="228">
        <v>0</v>
      </c>
      <c r="BH12" s="229">
        <v>0.25</v>
      </c>
      <c r="BI12" s="228">
        <v>490</v>
      </c>
      <c r="BJ12" s="228">
        <v>831</v>
      </c>
      <c r="BK12" s="228">
        <v>-341</v>
      </c>
      <c r="BL12" s="229">
        <v>-0.41060000000000002</v>
      </c>
      <c r="BM12" s="228">
        <v>261</v>
      </c>
      <c r="BN12" s="228">
        <v>332</v>
      </c>
      <c r="BO12" s="228">
        <v>-71</v>
      </c>
      <c r="BP12" s="229">
        <v>-0.21290000000000001</v>
      </c>
      <c r="BQ12" s="228">
        <v>911</v>
      </c>
      <c r="BR12" s="230">
        <v>1422</v>
      </c>
      <c r="BS12" s="228">
        <v>-511</v>
      </c>
      <c r="BT12" s="229">
        <v>-0.35909999999999997</v>
      </c>
      <c r="BU12" s="230">
        <v>508946</v>
      </c>
      <c r="BV12" s="230">
        <v>963339</v>
      </c>
      <c r="BW12" s="230">
        <v>-454393</v>
      </c>
      <c r="BX12" s="229">
        <v>-0.47170000000000001</v>
      </c>
      <c r="BY12" s="228">
        <v>872</v>
      </c>
      <c r="BZ12" s="228">
        <v>861</v>
      </c>
      <c r="CA12" s="228">
        <v>11</v>
      </c>
      <c r="CB12" s="229">
        <v>1.29E-2</v>
      </c>
      <c r="CC12" s="228">
        <v>829</v>
      </c>
      <c r="CD12" s="228">
        <v>819</v>
      </c>
      <c r="CE12" s="228">
        <v>10</v>
      </c>
      <c r="CF12" s="229">
        <v>1.23E-2</v>
      </c>
      <c r="CG12" s="228">
        <v>41</v>
      </c>
      <c r="CH12" s="228">
        <v>41</v>
      </c>
      <c r="CI12" s="228">
        <v>1</v>
      </c>
      <c r="CJ12" s="229">
        <v>1.3100000000000001E-2</v>
      </c>
      <c r="CK12" s="228">
        <v>1</v>
      </c>
      <c r="CL12" s="228">
        <v>1</v>
      </c>
      <c r="CM12" s="228">
        <v>0</v>
      </c>
      <c r="CN12" s="229">
        <v>0.5</v>
      </c>
      <c r="CO12" s="228">
        <v>472</v>
      </c>
      <c r="CP12" s="228">
        <v>442</v>
      </c>
      <c r="CQ12" s="228">
        <v>29</v>
      </c>
      <c r="CR12" s="229">
        <v>6.6199999999999995E-2</v>
      </c>
      <c r="CS12" s="228">
        <v>414</v>
      </c>
      <c r="CT12" s="228">
        <v>393</v>
      </c>
      <c r="CU12" s="228">
        <v>21</v>
      </c>
      <c r="CV12" s="229">
        <v>5.2999999999999999E-2</v>
      </c>
      <c r="CW12" s="230">
        <v>1757</v>
      </c>
      <c r="CX12" s="230">
        <v>1696</v>
      </c>
      <c r="CY12" s="228">
        <v>61</v>
      </c>
      <c r="CZ12" s="229">
        <v>3.61E-2</v>
      </c>
      <c r="DA12" s="228">
        <v>37.72</v>
      </c>
      <c r="DB12" s="228">
        <v>37.78</v>
      </c>
      <c r="DC12" s="228">
        <v>-0.06</v>
      </c>
      <c r="DD12" s="228">
        <v>-0.06</v>
      </c>
      <c r="DE12" s="228">
        <v>52.05</v>
      </c>
      <c r="DF12" s="228">
        <v>52.17</v>
      </c>
      <c r="DG12" s="228">
        <v>-14.33</v>
      </c>
      <c r="DH12" s="228">
        <v>-0.12</v>
      </c>
      <c r="DI12" s="228">
        <v>37.28</v>
      </c>
      <c r="DJ12" s="228">
        <v>37.75</v>
      </c>
      <c r="DK12" s="228">
        <v>-0.47</v>
      </c>
      <c r="DL12" s="228">
        <v>-0.47</v>
      </c>
      <c r="DM12" s="228">
        <v>38.549999999999997</v>
      </c>
      <c r="DN12" s="228">
        <v>37.86</v>
      </c>
      <c r="DO12" s="228">
        <v>0.69</v>
      </c>
      <c r="DP12" s="228">
        <v>0.69</v>
      </c>
      <c r="DQ12" s="228">
        <v>0.88</v>
      </c>
      <c r="DR12" s="228">
        <v>0.89</v>
      </c>
      <c r="DS12" s="228">
        <v>-0.01</v>
      </c>
      <c r="DT12" s="229">
        <v>-1.12E-2</v>
      </c>
      <c r="DU12" s="231">
        <v>2600</v>
      </c>
      <c r="DV12" s="231">
        <v>2200</v>
      </c>
      <c r="DW12" s="228">
        <v>0.53</v>
      </c>
      <c r="DX12" s="228">
        <v>0.4</v>
      </c>
      <c r="DY12" s="228">
        <v>0.13</v>
      </c>
      <c r="DZ12" s="229">
        <v>0.32500000000000001</v>
      </c>
      <c r="EA12" s="229">
        <v>4.87E-2</v>
      </c>
      <c r="EB12" s="230">
        <v>175250</v>
      </c>
      <c r="EC12" s="229">
        <v>-4.7999999999999996E-3</v>
      </c>
      <c r="ED12" s="229">
        <v>4.87E-2</v>
      </c>
      <c r="EE12" s="228">
        <v>-19.02</v>
      </c>
      <c r="EF12" s="229">
        <v>-8.0999999999999996E-3</v>
      </c>
      <c r="EG12" s="230">
        <v>177390</v>
      </c>
      <c r="EH12" s="230">
        <v>363130</v>
      </c>
      <c r="EI12" s="229">
        <v>-0.51149999999999995</v>
      </c>
      <c r="EJ12" s="229">
        <v>0.34849999999999998</v>
      </c>
      <c r="EK12" s="228">
        <v>525.08000000000004</v>
      </c>
      <c r="EL12" s="228">
        <v>255.24</v>
      </c>
      <c r="EM12" s="228">
        <v>159.37</v>
      </c>
      <c r="EN12" s="228">
        <v>124.6</v>
      </c>
      <c r="EO12" s="228">
        <v>939.7</v>
      </c>
      <c r="EP12" s="231">
        <v>1479.56</v>
      </c>
      <c r="EQ12" s="228">
        <v>-539.87</v>
      </c>
      <c r="ER12" s="229">
        <v>-0.3649</v>
      </c>
      <c r="ES12" s="228">
        <v>514.37</v>
      </c>
      <c r="ET12" s="228">
        <v>401.6</v>
      </c>
      <c r="EU12" s="228">
        <v>871.53</v>
      </c>
      <c r="EV12" s="231">
        <v>9673308</v>
      </c>
      <c r="EW12" s="231">
        <v>1787.5</v>
      </c>
      <c r="EX12" s="231">
        <v>1719.85</v>
      </c>
      <c r="EY12" s="228">
        <v>67.650000000000006</v>
      </c>
      <c r="EZ12" s="229">
        <v>3.9300000000000002E-2</v>
      </c>
      <c r="FA12" s="229">
        <v>0.76770000000000005</v>
      </c>
      <c r="FB12" s="227" t="s">
        <v>555</v>
      </c>
      <c r="FC12">
        <f t="shared" si="0"/>
        <v>43</v>
      </c>
    </row>
    <row r="13" spans="1:159" ht="17.25" thickBot="1" x14ac:dyDescent="0.3">
      <c r="A13" s="226">
        <v>46023</v>
      </c>
      <c r="B13" s="227" t="s">
        <v>227</v>
      </c>
      <c r="C13" s="227" t="s">
        <v>598</v>
      </c>
      <c r="D13" s="228">
        <v>350</v>
      </c>
      <c r="E13" s="228">
        <v>26</v>
      </c>
      <c r="F13" s="231">
        <v>1983</v>
      </c>
      <c r="G13" s="231">
        <v>1925.7</v>
      </c>
      <c r="H13" s="228">
        <v>57.3</v>
      </c>
      <c r="I13" s="229">
        <v>2.98E-2</v>
      </c>
      <c r="J13" s="231">
        <v>1970</v>
      </c>
      <c r="K13" s="231">
        <v>1914</v>
      </c>
      <c r="L13" s="228">
        <v>56</v>
      </c>
      <c r="M13" s="229">
        <v>2.93E-2</v>
      </c>
      <c r="N13" s="231">
        <v>1983</v>
      </c>
      <c r="O13" s="231">
        <v>1925.7</v>
      </c>
      <c r="P13" s="228">
        <v>57.3</v>
      </c>
      <c r="Q13" s="229">
        <v>2.98E-2</v>
      </c>
      <c r="R13" s="231">
        <v>1994.8</v>
      </c>
      <c r="S13" s="231">
        <v>1938.5</v>
      </c>
      <c r="T13" s="228">
        <v>56.3</v>
      </c>
      <c r="U13" s="229">
        <v>2.9000000000000001E-2</v>
      </c>
      <c r="V13" s="231">
        <v>2007.6</v>
      </c>
      <c r="W13" s="231">
        <v>1949.2</v>
      </c>
      <c r="X13" s="228">
        <v>58.4</v>
      </c>
      <c r="Y13" s="229">
        <v>0.03</v>
      </c>
      <c r="Z13" s="228">
        <v>13</v>
      </c>
      <c r="AA13" s="228">
        <v>11.7</v>
      </c>
      <c r="AB13" s="228">
        <v>1.3</v>
      </c>
      <c r="AC13" s="229">
        <v>6.6E-3</v>
      </c>
      <c r="AD13" s="228">
        <v>13</v>
      </c>
      <c r="AE13" s="228">
        <v>11.7</v>
      </c>
      <c r="AF13" s="228">
        <v>1.3</v>
      </c>
      <c r="AG13" s="229">
        <v>6.6E-3</v>
      </c>
      <c r="AH13" s="228">
        <v>24.8</v>
      </c>
      <c r="AI13" s="228">
        <v>24.5</v>
      </c>
      <c r="AJ13" s="228">
        <v>0.3</v>
      </c>
      <c r="AK13" s="229">
        <v>1.26E-2</v>
      </c>
      <c r="AL13" s="228">
        <v>37.6</v>
      </c>
      <c r="AM13" s="228">
        <v>35.200000000000003</v>
      </c>
      <c r="AN13" s="228">
        <v>2.4</v>
      </c>
      <c r="AO13" s="229">
        <v>1.9099999999999999E-2</v>
      </c>
      <c r="AP13" s="231">
        <v>1981.07</v>
      </c>
      <c r="AQ13" s="231">
        <v>1981.88</v>
      </c>
      <c r="AR13" s="228">
        <v>0</v>
      </c>
      <c r="AS13" s="228">
        <v>572</v>
      </c>
      <c r="AT13" s="228">
        <v>198</v>
      </c>
      <c r="AU13" s="228">
        <v>374</v>
      </c>
      <c r="AV13" s="229">
        <v>1.8946000000000001</v>
      </c>
      <c r="AW13" s="228">
        <v>565</v>
      </c>
      <c r="AX13" s="228">
        <v>196</v>
      </c>
      <c r="AY13" s="228">
        <v>369</v>
      </c>
      <c r="AZ13" s="229">
        <v>1.8866000000000001</v>
      </c>
      <c r="BA13" s="228">
        <v>5</v>
      </c>
      <c r="BB13" s="228">
        <v>2</v>
      </c>
      <c r="BC13" s="228">
        <v>4</v>
      </c>
      <c r="BD13" s="229">
        <v>2.4348000000000001</v>
      </c>
      <c r="BE13" s="228">
        <v>1</v>
      </c>
      <c r="BF13" s="228">
        <v>0</v>
      </c>
      <c r="BG13" s="228">
        <v>1</v>
      </c>
      <c r="BH13" s="229">
        <v>7</v>
      </c>
      <c r="BI13" s="230">
        <v>1399</v>
      </c>
      <c r="BJ13" s="228">
        <v>258</v>
      </c>
      <c r="BK13" s="230">
        <v>1141</v>
      </c>
      <c r="BL13" s="229">
        <v>4.4176000000000002</v>
      </c>
      <c r="BM13" s="228">
        <v>422</v>
      </c>
      <c r="BN13" s="228">
        <v>84</v>
      </c>
      <c r="BO13" s="228">
        <v>338</v>
      </c>
      <c r="BP13" s="229">
        <v>4.0239000000000003</v>
      </c>
      <c r="BQ13" s="230">
        <v>2393</v>
      </c>
      <c r="BR13" s="228">
        <v>540</v>
      </c>
      <c r="BS13" s="230">
        <v>1853</v>
      </c>
      <c r="BT13" s="229">
        <v>3.4331</v>
      </c>
      <c r="BU13" s="230">
        <v>1920767</v>
      </c>
      <c r="BV13" s="230">
        <v>366321</v>
      </c>
      <c r="BW13" s="230">
        <v>1554446</v>
      </c>
      <c r="BX13" s="229">
        <v>4.2434000000000003</v>
      </c>
      <c r="BY13" s="230">
        <v>1980</v>
      </c>
      <c r="BZ13" s="230">
        <v>1787</v>
      </c>
      <c r="CA13" s="228">
        <v>193</v>
      </c>
      <c r="CB13" s="229">
        <v>0.108</v>
      </c>
      <c r="CC13" s="230">
        <v>1967</v>
      </c>
      <c r="CD13" s="230">
        <v>1776</v>
      </c>
      <c r="CE13" s="228">
        <v>191</v>
      </c>
      <c r="CF13" s="229">
        <v>0.1076</v>
      </c>
      <c r="CG13" s="228">
        <v>12</v>
      </c>
      <c r="CH13" s="228">
        <v>11</v>
      </c>
      <c r="CI13" s="228">
        <v>1</v>
      </c>
      <c r="CJ13" s="229">
        <v>0.1242</v>
      </c>
      <c r="CK13" s="228">
        <v>1</v>
      </c>
      <c r="CL13" s="228">
        <v>0</v>
      </c>
      <c r="CM13" s="228">
        <v>1</v>
      </c>
      <c r="CN13" s="229">
        <v>5</v>
      </c>
      <c r="CO13" s="228">
        <v>202</v>
      </c>
      <c r="CP13" s="228">
        <v>119</v>
      </c>
      <c r="CQ13" s="228">
        <v>83</v>
      </c>
      <c r="CR13" s="229">
        <v>0.69279999999999997</v>
      </c>
      <c r="CS13" s="228">
        <v>109</v>
      </c>
      <c r="CT13" s="228">
        <v>66</v>
      </c>
      <c r="CU13" s="228">
        <v>44</v>
      </c>
      <c r="CV13" s="229">
        <v>0.66379999999999995</v>
      </c>
      <c r="CW13" s="230">
        <v>2291</v>
      </c>
      <c r="CX13" s="230">
        <v>1972</v>
      </c>
      <c r="CY13" s="228">
        <v>319</v>
      </c>
      <c r="CZ13" s="229">
        <v>0.16189999999999999</v>
      </c>
      <c r="DA13" s="228">
        <v>23.45</v>
      </c>
      <c r="DB13" s="228">
        <v>23.14</v>
      </c>
      <c r="DC13" s="228">
        <v>0.31</v>
      </c>
      <c r="DD13" s="228">
        <v>0.31</v>
      </c>
      <c r="DE13" s="228">
        <v>32.119999999999997</v>
      </c>
      <c r="DF13" s="228">
        <v>31.97</v>
      </c>
      <c r="DG13" s="228">
        <v>-8.67</v>
      </c>
      <c r="DH13" s="228">
        <v>0.15</v>
      </c>
      <c r="DI13" s="228">
        <v>23.32</v>
      </c>
      <c r="DJ13" s="228">
        <v>23.18</v>
      </c>
      <c r="DK13" s="228">
        <v>0.14000000000000001</v>
      </c>
      <c r="DL13" s="228">
        <v>0.14000000000000001</v>
      </c>
      <c r="DM13" s="228">
        <v>23.88</v>
      </c>
      <c r="DN13" s="228">
        <v>23.04</v>
      </c>
      <c r="DO13" s="228">
        <v>0.84</v>
      </c>
      <c r="DP13" s="228">
        <v>0.84</v>
      </c>
      <c r="DQ13" s="228">
        <v>0.54</v>
      </c>
      <c r="DR13" s="228">
        <v>0.55000000000000004</v>
      </c>
      <c r="DS13" s="228">
        <v>-0.01</v>
      </c>
      <c r="DT13" s="229">
        <v>-1.8200000000000001E-2</v>
      </c>
      <c r="DU13" s="231">
        <v>2000</v>
      </c>
      <c r="DV13" s="231">
        <v>1900</v>
      </c>
      <c r="DW13" s="228">
        <v>0.3</v>
      </c>
      <c r="DX13" s="228">
        <v>0.33</v>
      </c>
      <c r="DY13" s="228">
        <v>-0.03</v>
      </c>
      <c r="DZ13" s="229">
        <v>-9.0899999999999995E-2</v>
      </c>
      <c r="EA13" s="229">
        <v>6.4999999999999997E-3</v>
      </c>
      <c r="EB13" s="230">
        <v>54250</v>
      </c>
      <c r="EC13" s="229">
        <v>6.0000000000000001E-3</v>
      </c>
      <c r="ED13" s="229">
        <v>6.4999999999999997E-3</v>
      </c>
      <c r="EE13" s="228">
        <v>0.81</v>
      </c>
      <c r="EF13" s="229">
        <v>4.0000000000000002E-4</v>
      </c>
      <c r="EG13" s="230">
        <v>974180</v>
      </c>
      <c r="EH13" s="230">
        <v>204985</v>
      </c>
      <c r="EI13" s="229">
        <v>3.7524000000000002</v>
      </c>
      <c r="EJ13" s="229">
        <v>0.50719999999999998</v>
      </c>
      <c r="EK13" s="231">
        <v>1441.41</v>
      </c>
      <c r="EL13" s="228">
        <v>411.44</v>
      </c>
      <c r="EM13" s="228">
        <v>571.22</v>
      </c>
      <c r="EN13" s="228">
        <v>78.02</v>
      </c>
      <c r="EO13" s="231">
        <v>2424.06</v>
      </c>
      <c r="EP13" s="228">
        <v>532.11</v>
      </c>
      <c r="EQ13" s="231">
        <v>1891.96</v>
      </c>
      <c r="ER13" s="229">
        <v>3.5556000000000001</v>
      </c>
      <c r="ES13" s="228">
        <v>203.61</v>
      </c>
      <c r="ET13" s="228">
        <v>102.93</v>
      </c>
      <c r="EU13" s="231">
        <v>1979.72</v>
      </c>
      <c r="EV13" s="231">
        <v>23068453</v>
      </c>
      <c r="EW13" s="231">
        <v>2286.2600000000002</v>
      </c>
      <c r="EX13" s="231">
        <v>1912.83</v>
      </c>
      <c r="EY13" s="228">
        <v>373.43</v>
      </c>
      <c r="EZ13" s="229">
        <v>0.19520000000000001</v>
      </c>
      <c r="FA13" s="229">
        <v>0.50080000000000002</v>
      </c>
      <c r="FB13" s="227" t="s">
        <v>555</v>
      </c>
      <c r="FC13">
        <f t="shared" si="0"/>
        <v>13</v>
      </c>
    </row>
    <row r="14" spans="1:159" ht="17.25" thickBot="1" x14ac:dyDescent="0.3">
      <c r="A14" s="226">
        <v>46023</v>
      </c>
      <c r="B14" s="227" t="s">
        <v>170</v>
      </c>
      <c r="C14" s="227" t="s">
        <v>165</v>
      </c>
      <c r="D14" s="228">
        <v>125</v>
      </c>
      <c r="E14" s="228">
        <v>26</v>
      </c>
      <c r="F14" s="231">
        <v>7140</v>
      </c>
      <c r="G14" s="231">
        <v>7088.5</v>
      </c>
      <c r="H14" s="228">
        <v>51.5</v>
      </c>
      <c r="I14" s="229">
        <v>7.3000000000000001E-3</v>
      </c>
      <c r="J14" s="231">
        <v>7111.5</v>
      </c>
      <c r="K14" s="231">
        <v>7042.5</v>
      </c>
      <c r="L14" s="228">
        <v>69</v>
      </c>
      <c r="M14" s="229">
        <v>9.7999999999999997E-3</v>
      </c>
      <c r="N14" s="231">
        <v>7140</v>
      </c>
      <c r="O14" s="231">
        <v>7088.5</v>
      </c>
      <c r="P14" s="228">
        <v>51.5</v>
      </c>
      <c r="Q14" s="229">
        <v>7.3000000000000001E-3</v>
      </c>
      <c r="R14" s="231">
        <v>7173</v>
      </c>
      <c r="S14" s="231">
        <v>7120</v>
      </c>
      <c r="T14" s="228">
        <v>53</v>
      </c>
      <c r="U14" s="229">
        <v>7.4000000000000003E-3</v>
      </c>
      <c r="V14" s="231">
        <v>7219</v>
      </c>
      <c r="W14" s="231">
        <v>7151</v>
      </c>
      <c r="X14" s="228">
        <v>68</v>
      </c>
      <c r="Y14" s="229">
        <v>9.4999999999999998E-3</v>
      </c>
      <c r="Z14" s="228">
        <v>28.5</v>
      </c>
      <c r="AA14" s="228">
        <v>46</v>
      </c>
      <c r="AB14" s="228">
        <v>-17.5</v>
      </c>
      <c r="AC14" s="229">
        <v>4.0000000000000001E-3</v>
      </c>
      <c r="AD14" s="228">
        <v>28.5</v>
      </c>
      <c r="AE14" s="228">
        <v>46</v>
      </c>
      <c r="AF14" s="228">
        <v>-17.5</v>
      </c>
      <c r="AG14" s="229">
        <v>4.0000000000000001E-3</v>
      </c>
      <c r="AH14" s="228">
        <v>61.5</v>
      </c>
      <c r="AI14" s="228">
        <v>77.5</v>
      </c>
      <c r="AJ14" s="228">
        <v>-16</v>
      </c>
      <c r="AK14" s="229">
        <v>8.6E-3</v>
      </c>
      <c r="AL14" s="228">
        <v>107.5</v>
      </c>
      <c r="AM14" s="228">
        <v>108.5</v>
      </c>
      <c r="AN14" s="228">
        <v>-1</v>
      </c>
      <c r="AO14" s="229">
        <v>1.5100000000000001E-2</v>
      </c>
      <c r="AP14" s="231">
        <v>7110.33</v>
      </c>
      <c r="AQ14" s="231">
        <v>7139.4</v>
      </c>
      <c r="AR14" s="228">
        <v>0</v>
      </c>
      <c r="AS14" s="228">
        <v>140</v>
      </c>
      <c r="AT14" s="228">
        <v>193</v>
      </c>
      <c r="AU14" s="228">
        <v>-53</v>
      </c>
      <c r="AV14" s="229">
        <v>-0.27379999999999999</v>
      </c>
      <c r="AW14" s="228">
        <v>129</v>
      </c>
      <c r="AX14" s="228">
        <v>187</v>
      </c>
      <c r="AY14" s="228">
        <v>-58</v>
      </c>
      <c r="AZ14" s="229">
        <v>-0.30959999999999999</v>
      </c>
      <c r="BA14" s="228">
        <v>10</v>
      </c>
      <c r="BB14" s="228">
        <v>6</v>
      </c>
      <c r="BC14" s="228">
        <v>4</v>
      </c>
      <c r="BD14" s="229">
        <v>0.68659999999999999</v>
      </c>
      <c r="BE14" s="228">
        <v>1</v>
      </c>
      <c r="BF14" s="228">
        <v>0</v>
      </c>
      <c r="BG14" s="228">
        <v>1</v>
      </c>
      <c r="BH14" s="229">
        <v>5</v>
      </c>
      <c r="BI14" s="228">
        <v>766</v>
      </c>
      <c r="BJ14" s="230">
        <v>1093</v>
      </c>
      <c r="BK14" s="228">
        <v>-327</v>
      </c>
      <c r="BL14" s="229">
        <v>-0.29899999999999999</v>
      </c>
      <c r="BM14" s="228">
        <v>430</v>
      </c>
      <c r="BN14" s="228">
        <v>386</v>
      </c>
      <c r="BO14" s="228">
        <v>44</v>
      </c>
      <c r="BP14" s="229">
        <v>0.1144</v>
      </c>
      <c r="BQ14" s="230">
        <v>1337</v>
      </c>
      <c r="BR14" s="230">
        <v>1672</v>
      </c>
      <c r="BS14" s="228">
        <v>-336</v>
      </c>
      <c r="BT14" s="229">
        <v>-0.20069999999999999</v>
      </c>
      <c r="BU14" s="230">
        <v>87026</v>
      </c>
      <c r="BV14" s="230">
        <v>228651</v>
      </c>
      <c r="BW14" s="230">
        <v>-141625</v>
      </c>
      <c r="BX14" s="229">
        <v>-0.61939999999999995</v>
      </c>
      <c r="BY14" s="230">
        <v>2156</v>
      </c>
      <c r="BZ14" s="230">
        <v>2156</v>
      </c>
      <c r="CA14" s="228">
        <v>-1</v>
      </c>
      <c r="CB14" s="229">
        <v>-4.0000000000000002E-4</v>
      </c>
      <c r="CC14" s="230">
        <v>2118</v>
      </c>
      <c r="CD14" s="230">
        <v>2121</v>
      </c>
      <c r="CE14" s="228">
        <v>-4</v>
      </c>
      <c r="CF14" s="229">
        <v>-1.6999999999999999E-3</v>
      </c>
      <c r="CG14" s="228">
        <v>37</v>
      </c>
      <c r="CH14" s="228">
        <v>35</v>
      </c>
      <c r="CI14" s="228">
        <v>2</v>
      </c>
      <c r="CJ14" s="229">
        <v>4.8599999999999997E-2</v>
      </c>
      <c r="CK14" s="228">
        <v>1</v>
      </c>
      <c r="CL14" s="228">
        <v>0</v>
      </c>
      <c r="CM14" s="228">
        <v>1</v>
      </c>
      <c r="CN14" s="229">
        <v>6</v>
      </c>
      <c r="CO14" s="228">
        <v>664</v>
      </c>
      <c r="CP14" s="228">
        <v>675</v>
      </c>
      <c r="CQ14" s="228">
        <v>-11</v>
      </c>
      <c r="CR14" s="229">
        <v>-1.6500000000000001E-2</v>
      </c>
      <c r="CS14" s="228">
        <v>483</v>
      </c>
      <c r="CT14" s="228">
        <v>398</v>
      </c>
      <c r="CU14" s="228">
        <v>86</v>
      </c>
      <c r="CV14" s="229">
        <v>0.21529999999999999</v>
      </c>
      <c r="CW14" s="230">
        <v>3303</v>
      </c>
      <c r="CX14" s="230">
        <v>3229</v>
      </c>
      <c r="CY14" s="228">
        <v>74</v>
      </c>
      <c r="CZ14" s="229">
        <v>2.2800000000000001E-2</v>
      </c>
      <c r="DA14" s="228">
        <v>15.94</v>
      </c>
      <c r="DB14" s="228">
        <v>16.899999999999999</v>
      </c>
      <c r="DC14" s="228">
        <v>-0.96</v>
      </c>
      <c r="DD14" s="228">
        <v>-0.96</v>
      </c>
      <c r="DE14" s="228">
        <v>24.66</v>
      </c>
      <c r="DF14" s="228">
        <v>24.69</v>
      </c>
      <c r="DG14" s="228">
        <v>-8.7200000000000006</v>
      </c>
      <c r="DH14" s="228">
        <v>-0.03</v>
      </c>
      <c r="DI14" s="228">
        <v>15.56</v>
      </c>
      <c r="DJ14" s="228">
        <v>16.850000000000001</v>
      </c>
      <c r="DK14" s="228">
        <v>-1.29</v>
      </c>
      <c r="DL14" s="228">
        <v>-1.29</v>
      </c>
      <c r="DM14" s="228">
        <v>16.61</v>
      </c>
      <c r="DN14" s="228">
        <v>17.04</v>
      </c>
      <c r="DO14" s="228">
        <v>-0.43</v>
      </c>
      <c r="DP14" s="228">
        <v>-0.43</v>
      </c>
      <c r="DQ14" s="228">
        <v>0.73</v>
      </c>
      <c r="DR14" s="228">
        <v>0.59</v>
      </c>
      <c r="DS14" s="228">
        <v>0.14000000000000001</v>
      </c>
      <c r="DT14" s="229">
        <v>0.23730000000000001</v>
      </c>
      <c r="DU14" s="231">
        <v>7300</v>
      </c>
      <c r="DV14" s="231">
        <v>7000</v>
      </c>
      <c r="DW14" s="228">
        <v>0.56000000000000005</v>
      </c>
      <c r="DX14" s="228">
        <v>0.35</v>
      </c>
      <c r="DY14" s="228">
        <v>0.21</v>
      </c>
      <c r="DZ14" s="229">
        <v>0.6</v>
      </c>
      <c r="EA14" s="229">
        <v>1.7600000000000001E-2</v>
      </c>
      <c r="EB14" s="230">
        <v>49125</v>
      </c>
      <c r="EC14" s="229">
        <v>4.5999999999999999E-3</v>
      </c>
      <c r="ED14" s="229">
        <v>1.7600000000000001E-2</v>
      </c>
      <c r="EE14" s="228">
        <v>29.07</v>
      </c>
      <c r="EF14" s="229">
        <v>4.1000000000000003E-3</v>
      </c>
      <c r="EG14" s="230">
        <v>33488</v>
      </c>
      <c r="EH14" s="230">
        <v>162475</v>
      </c>
      <c r="EI14" s="229">
        <v>-0.79390000000000005</v>
      </c>
      <c r="EJ14" s="229">
        <v>0.38479999999999998</v>
      </c>
      <c r="EK14" s="228">
        <v>783.75</v>
      </c>
      <c r="EL14" s="228">
        <v>416.23</v>
      </c>
      <c r="EM14" s="228">
        <v>139.59</v>
      </c>
      <c r="EN14" s="228">
        <v>105.13</v>
      </c>
      <c r="EO14" s="231">
        <v>1339.57</v>
      </c>
      <c r="EP14" s="231">
        <v>1686.16</v>
      </c>
      <c r="EQ14" s="228">
        <v>-346.59</v>
      </c>
      <c r="ER14" s="229">
        <v>-0.2056</v>
      </c>
      <c r="ES14" s="228">
        <v>682.61</v>
      </c>
      <c r="ET14" s="228">
        <v>469.67</v>
      </c>
      <c r="EU14" s="231">
        <v>2155.84</v>
      </c>
      <c r="EV14" s="231">
        <v>15524629</v>
      </c>
      <c r="EW14" s="231">
        <v>3308.11</v>
      </c>
      <c r="EX14" s="231">
        <v>3223.08</v>
      </c>
      <c r="EY14" s="228">
        <v>85.03</v>
      </c>
      <c r="EZ14" s="229">
        <v>2.64E-2</v>
      </c>
      <c r="FA14" s="229">
        <v>0.2979</v>
      </c>
      <c r="FB14" s="227" t="s">
        <v>556</v>
      </c>
      <c r="FC14">
        <f t="shared" si="0"/>
        <v>38</v>
      </c>
    </row>
    <row r="15" spans="1:159" ht="17.25" thickBot="1" x14ac:dyDescent="0.3">
      <c r="A15" s="226">
        <v>46023</v>
      </c>
      <c r="B15" s="227" t="s">
        <v>162</v>
      </c>
      <c r="C15" s="227" t="s">
        <v>167</v>
      </c>
      <c r="D15" s="228">
        <v>5000</v>
      </c>
      <c r="E15" s="228">
        <v>26</v>
      </c>
      <c r="F15" s="228">
        <v>182.04</v>
      </c>
      <c r="G15" s="228">
        <v>177.04</v>
      </c>
      <c r="H15" s="228">
        <v>5</v>
      </c>
      <c r="I15" s="229">
        <v>2.8199999999999999E-2</v>
      </c>
      <c r="J15" s="228">
        <v>184.88</v>
      </c>
      <c r="K15" s="228">
        <v>179.19</v>
      </c>
      <c r="L15" s="228">
        <v>5.69</v>
      </c>
      <c r="M15" s="229">
        <v>3.1800000000000002E-2</v>
      </c>
      <c r="N15" s="228">
        <v>182.04</v>
      </c>
      <c r="O15" s="228">
        <v>177.04</v>
      </c>
      <c r="P15" s="228">
        <v>5</v>
      </c>
      <c r="Q15" s="229">
        <v>2.8199999999999999E-2</v>
      </c>
      <c r="R15" s="228">
        <v>180.22</v>
      </c>
      <c r="S15" s="228">
        <v>175.37</v>
      </c>
      <c r="T15" s="228">
        <v>4.8499999999999996</v>
      </c>
      <c r="U15" s="229">
        <v>2.7699999999999999E-2</v>
      </c>
      <c r="V15" s="228">
        <v>179.31</v>
      </c>
      <c r="W15" s="228">
        <v>175</v>
      </c>
      <c r="X15" s="228">
        <v>4.3099999999999996</v>
      </c>
      <c r="Y15" s="229">
        <v>2.46E-2</v>
      </c>
      <c r="Z15" s="228">
        <v>-2.84</v>
      </c>
      <c r="AA15" s="228">
        <v>-2.15</v>
      </c>
      <c r="AB15" s="228">
        <v>-0.69</v>
      </c>
      <c r="AC15" s="229">
        <v>-1.54E-2</v>
      </c>
      <c r="AD15" s="228">
        <v>-2.84</v>
      </c>
      <c r="AE15" s="228">
        <v>-2.15</v>
      </c>
      <c r="AF15" s="228">
        <v>-0.69</v>
      </c>
      <c r="AG15" s="229">
        <v>-1.54E-2</v>
      </c>
      <c r="AH15" s="228">
        <v>-4.66</v>
      </c>
      <c r="AI15" s="228">
        <v>-3.82</v>
      </c>
      <c r="AJ15" s="228">
        <v>-0.84</v>
      </c>
      <c r="AK15" s="229">
        <v>-2.52E-2</v>
      </c>
      <c r="AL15" s="228">
        <v>-5.57</v>
      </c>
      <c r="AM15" s="228">
        <v>-4.1900000000000004</v>
      </c>
      <c r="AN15" s="228">
        <v>-1.38</v>
      </c>
      <c r="AO15" s="229">
        <v>-3.0099999999999998E-2</v>
      </c>
      <c r="AP15" s="228">
        <v>180.95</v>
      </c>
      <c r="AQ15" s="228">
        <v>178.42</v>
      </c>
      <c r="AR15" s="228">
        <v>0</v>
      </c>
      <c r="AS15" s="228">
        <v>732</v>
      </c>
      <c r="AT15" s="228">
        <v>397</v>
      </c>
      <c r="AU15" s="228">
        <v>335</v>
      </c>
      <c r="AV15" s="229">
        <v>0.84550000000000003</v>
      </c>
      <c r="AW15" s="228">
        <v>689</v>
      </c>
      <c r="AX15" s="228">
        <v>374</v>
      </c>
      <c r="AY15" s="228">
        <v>314</v>
      </c>
      <c r="AZ15" s="229">
        <v>0.84019999999999995</v>
      </c>
      <c r="BA15" s="228">
        <v>36</v>
      </c>
      <c r="BB15" s="228">
        <v>22</v>
      </c>
      <c r="BC15" s="228">
        <v>14</v>
      </c>
      <c r="BD15" s="229">
        <v>0.64459999999999995</v>
      </c>
      <c r="BE15" s="228">
        <v>7</v>
      </c>
      <c r="BF15" s="228">
        <v>0</v>
      </c>
      <c r="BG15" s="228">
        <v>7</v>
      </c>
      <c r="BH15" s="229">
        <v>18.5</v>
      </c>
      <c r="BI15" s="230">
        <v>4760</v>
      </c>
      <c r="BJ15" s="230">
        <v>1228</v>
      </c>
      <c r="BK15" s="230">
        <v>3533</v>
      </c>
      <c r="BL15" s="229">
        <v>2.8773</v>
      </c>
      <c r="BM15" s="230">
        <v>1148</v>
      </c>
      <c r="BN15" s="228">
        <v>407</v>
      </c>
      <c r="BO15" s="228">
        <v>741</v>
      </c>
      <c r="BP15" s="229">
        <v>1.8172999999999999</v>
      </c>
      <c r="BQ15" s="230">
        <v>6640</v>
      </c>
      <c r="BR15" s="230">
        <v>2032</v>
      </c>
      <c r="BS15" s="230">
        <v>4609</v>
      </c>
      <c r="BT15" s="229">
        <v>2.2682000000000002</v>
      </c>
      <c r="BU15" s="230">
        <v>27497943</v>
      </c>
      <c r="BV15" s="230">
        <v>13239821</v>
      </c>
      <c r="BW15" s="230">
        <v>14258122</v>
      </c>
      <c r="BX15" s="229">
        <v>1.0769</v>
      </c>
      <c r="BY15" s="230">
        <v>3244</v>
      </c>
      <c r="BZ15" s="230">
        <v>3125</v>
      </c>
      <c r="CA15" s="228">
        <v>118</v>
      </c>
      <c r="CB15" s="229">
        <v>3.7900000000000003E-2</v>
      </c>
      <c r="CC15" s="230">
        <v>3186</v>
      </c>
      <c r="CD15" s="230">
        <v>3081</v>
      </c>
      <c r="CE15" s="228">
        <v>106</v>
      </c>
      <c r="CF15" s="229">
        <v>3.4299999999999997E-2</v>
      </c>
      <c r="CG15" s="228">
        <v>53</v>
      </c>
      <c r="CH15" s="228">
        <v>44</v>
      </c>
      <c r="CI15" s="228">
        <v>9</v>
      </c>
      <c r="CJ15" s="229">
        <v>0.20330000000000001</v>
      </c>
      <c r="CK15" s="228">
        <v>4</v>
      </c>
      <c r="CL15" s="228">
        <v>0</v>
      </c>
      <c r="CM15" s="228">
        <v>4</v>
      </c>
      <c r="CN15" s="229">
        <v>10.25</v>
      </c>
      <c r="CO15" s="230">
        <v>1044</v>
      </c>
      <c r="CP15" s="228">
        <v>690</v>
      </c>
      <c r="CQ15" s="228">
        <v>354</v>
      </c>
      <c r="CR15" s="229">
        <v>0.51270000000000004</v>
      </c>
      <c r="CS15" s="228">
        <v>615</v>
      </c>
      <c r="CT15" s="228">
        <v>418</v>
      </c>
      <c r="CU15" s="228">
        <v>198</v>
      </c>
      <c r="CV15" s="229">
        <v>0.4733</v>
      </c>
      <c r="CW15" s="230">
        <v>4903</v>
      </c>
      <c r="CX15" s="230">
        <v>4233</v>
      </c>
      <c r="CY15" s="228">
        <v>670</v>
      </c>
      <c r="CZ15" s="229">
        <v>0.15820000000000001</v>
      </c>
      <c r="DA15" s="228">
        <v>26.41</v>
      </c>
      <c r="DB15" s="228">
        <v>26.45</v>
      </c>
      <c r="DC15" s="228">
        <v>-0.04</v>
      </c>
      <c r="DD15" s="228">
        <v>-0.04</v>
      </c>
      <c r="DE15" s="228">
        <v>35.06</v>
      </c>
      <c r="DF15" s="228">
        <v>34.9</v>
      </c>
      <c r="DG15" s="228">
        <v>-8.65</v>
      </c>
      <c r="DH15" s="228">
        <v>0.16</v>
      </c>
      <c r="DI15" s="228">
        <v>26.36</v>
      </c>
      <c r="DJ15" s="228">
        <v>26.28</v>
      </c>
      <c r="DK15" s="228">
        <v>0.08</v>
      </c>
      <c r="DL15" s="228">
        <v>0.08</v>
      </c>
      <c r="DM15" s="228">
        <v>26.62</v>
      </c>
      <c r="DN15" s="228">
        <v>26.95</v>
      </c>
      <c r="DO15" s="228">
        <v>-0.33</v>
      </c>
      <c r="DP15" s="228">
        <v>-0.33</v>
      </c>
      <c r="DQ15" s="228">
        <v>0.59</v>
      </c>
      <c r="DR15" s="228">
        <v>0.6</v>
      </c>
      <c r="DS15" s="228">
        <v>-0.01</v>
      </c>
      <c r="DT15" s="229">
        <v>-1.67E-2</v>
      </c>
      <c r="DU15" s="228">
        <v>190</v>
      </c>
      <c r="DV15" s="228">
        <v>180</v>
      </c>
      <c r="DW15" s="228">
        <v>0.24</v>
      </c>
      <c r="DX15" s="228">
        <v>0.33</v>
      </c>
      <c r="DY15" s="228">
        <v>-0.09</v>
      </c>
      <c r="DZ15" s="229">
        <v>-0.2727</v>
      </c>
      <c r="EA15" s="229">
        <v>1.77E-2</v>
      </c>
      <c r="EB15" s="230">
        <v>2455000</v>
      </c>
      <c r="EC15" s="229">
        <v>-0.01</v>
      </c>
      <c r="ED15" s="229">
        <v>1.77E-2</v>
      </c>
      <c r="EE15" s="228">
        <v>-2.5299999999999998</v>
      </c>
      <c r="EF15" s="229">
        <v>-1.4E-2</v>
      </c>
      <c r="EG15" s="230">
        <v>8830473</v>
      </c>
      <c r="EH15" s="230">
        <v>5251614</v>
      </c>
      <c r="EI15" s="229">
        <v>0.68149999999999999</v>
      </c>
      <c r="EJ15" s="229">
        <v>0.3211</v>
      </c>
      <c r="EK15" s="231">
        <v>4958.5600000000004</v>
      </c>
      <c r="EL15" s="231">
        <v>1123.45</v>
      </c>
      <c r="EM15" s="228">
        <v>726.86</v>
      </c>
      <c r="EN15" s="228">
        <v>163</v>
      </c>
      <c r="EO15" s="231">
        <v>6808.87</v>
      </c>
      <c r="EP15" s="231">
        <v>2021.61</v>
      </c>
      <c r="EQ15" s="231">
        <v>4787.26</v>
      </c>
      <c r="ER15" s="229">
        <v>2.3679999999999999</v>
      </c>
      <c r="ES15" s="231">
        <v>1067.3499999999999</v>
      </c>
      <c r="ET15" s="228">
        <v>575.88</v>
      </c>
      <c r="EU15" s="231">
        <v>3243.27</v>
      </c>
      <c r="EV15" s="231">
        <v>423719104</v>
      </c>
      <c r="EW15" s="231">
        <v>4886.5</v>
      </c>
      <c r="EX15" s="231">
        <v>4107.71</v>
      </c>
      <c r="EY15" s="228">
        <v>778.79</v>
      </c>
      <c r="EZ15" s="229">
        <v>0.18959999999999999</v>
      </c>
      <c r="FA15" s="229">
        <v>0.63570000000000004</v>
      </c>
      <c r="FB15" s="227" t="s">
        <v>555</v>
      </c>
      <c r="FC15">
        <f t="shared" si="0"/>
        <v>58</v>
      </c>
    </row>
    <row r="16" spans="1:159" ht="17.25" thickBot="1" x14ac:dyDescent="0.3">
      <c r="A16" s="226">
        <v>46023</v>
      </c>
      <c r="B16" s="227" t="s">
        <v>168</v>
      </c>
      <c r="C16" s="227" t="s">
        <v>169</v>
      </c>
      <c r="D16" s="228">
        <v>250</v>
      </c>
      <c r="E16" s="228">
        <v>26</v>
      </c>
      <c r="F16" s="231">
        <v>2766.6</v>
      </c>
      <c r="G16" s="231">
        <v>2781.9</v>
      </c>
      <c r="H16" s="228">
        <v>-15.3</v>
      </c>
      <c r="I16" s="229">
        <v>-5.4999999999999997E-3</v>
      </c>
      <c r="J16" s="231">
        <v>2752</v>
      </c>
      <c r="K16" s="231">
        <v>2769.5</v>
      </c>
      <c r="L16" s="228">
        <v>-17.5</v>
      </c>
      <c r="M16" s="229">
        <v>-6.3E-3</v>
      </c>
      <c r="N16" s="231">
        <v>2766.6</v>
      </c>
      <c r="O16" s="231">
        <v>2781.9</v>
      </c>
      <c r="P16" s="228">
        <v>-15.3</v>
      </c>
      <c r="Q16" s="229">
        <v>-5.4999999999999997E-3</v>
      </c>
      <c r="R16" s="231">
        <v>2780</v>
      </c>
      <c r="S16" s="231">
        <v>2794</v>
      </c>
      <c r="T16" s="228">
        <v>-14</v>
      </c>
      <c r="U16" s="229">
        <v>-5.0000000000000001E-3</v>
      </c>
      <c r="V16" s="231">
        <v>2792.6</v>
      </c>
      <c r="W16" s="231">
        <v>2807.8</v>
      </c>
      <c r="X16" s="228">
        <v>-15.2</v>
      </c>
      <c r="Y16" s="229">
        <v>-5.4000000000000003E-3</v>
      </c>
      <c r="Z16" s="228">
        <v>14.6</v>
      </c>
      <c r="AA16" s="228">
        <v>12.4</v>
      </c>
      <c r="AB16" s="228">
        <v>2.2000000000000002</v>
      </c>
      <c r="AC16" s="229">
        <v>5.3E-3</v>
      </c>
      <c r="AD16" s="228">
        <v>14.6</v>
      </c>
      <c r="AE16" s="228">
        <v>12.4</v>
      </c>
      <c r="AF16" s="228">
        <v>2.2000000000000002</v>
      </c>
      <c r="AG16" s="229">
        <v>5.3E-3</v>
      </c>
      <c r="AH16" s="228">
        <v>28</v>
      </c>
      <c r="AI16" s="228">
        <v>24.5</v>
      </c>
      <c r="AJ16" s="228">
        <v>3.5</v>
      </c>
      <c r="AK16" s="229">
        <v>1.0200000000000001E-2</v>
      </c>
      <c r="AL16" s="228">
        <v>40.6</v>
      </c>
      <c r="AM16" s="228">
        <v>38.299999999999997</v>
      </c>
      <c r="AN16" s="228">
        <v>2.2999999999999998</v>
      </c>
      <c r="AO16" s="229">
        <v>1.4800000000000001E-2</v>
      </c>
      <c r="AP16" s="231">
        <v>2776.11</v>
      </c>
      <c r="AQ16" s="231">
        <v>2792.82</v>
      </c>
      <c r="AR16" s="228">
        <v>0</v>
      </c>
      <c r="AS16" s="228">
        <v>96</v>
      </c>
      <c r="AT16" s="228">
        <v>329</v>
      </c>
      <c r="AU16" s="228">
        <v>-233</v>
      </c>
      <c r="AV16" s="229">
        <v>-0.70679999999999998</v>
      </c>
      <c r="AW16" s="228">
        <v>90</v>
      </c>
      <c r="AX16" s="228">
        <v>317</v>
      </c>
      <c r="AY16" s="228">
        <v>-228</v>
      </c>
      <c r="AZ16" s="229">
        <v>-0.71760000000000002</v>
      </c>
      <c r="BA16" s="228">
        <v>5</v>
      </c>
      <c r="BB16" s="228">
        <v>12</v>
      </c>
      <c r="BC16" s="228">
        <v>-7</v>
      </c>
      <c r="BD16" s="229">
        <v>-0.5655</v>
      </c>
      <c r="BE16" s="228">
        <v>2</v>
      </c>
      <c r="BF16" s="228">
        <v>0</v>
      </c>
      <c r="BG16" s="228">
        <v>2</v>
      </c>
      <c r="BH16" s="229">
        <v>25</v>
      </c>
      <c r="BI16" s="228">
        <v>667</v>
      </c>
      <c r="BJ16" s="230">
        <v>1210</v>
      </c>
      <c r="BK16" s="228">
        <v>-543</v>
      </c>
      <c r="BL16" s="229">
        <v>-0.44900000000000001</v>
      </c>
      <c r="BM16" s="228">
        <v>416</v>
      </c>
      <c r="BN16" s="228">
        <v>738</v>
      </c>
      <c r="BO16" s="228">
        <v>-323</v>
      </c>
      <c r="BP16" s="229">
        <v>-0.43719999999999998</v>
      </c>
      <c r="BQ16" s="230">
        <v>1179</v>
      </c>
      <c r="BR16" s="230">
        <v>2277</v>
      </c>
      <c r="BS16" s="230">
        <v>-1099</v>
      </c>
      <c r="BT16" s="229">
        <v>-0.4824</v>
      </c>
      <c r="BU16" s="230">
        <v>379168</v>
      </c>
      <c r="BV16" s="230">
        <v>1346196</v>
      </c>
      <c r="BW16" s="230">
        <v>-967028</v>
      </c>
      <c r="BX16" s="229">
        <v>-0.71830000000000005</v>
      </c>
      <c r="BY16" s="230">
        <v>3683</v>
      </c>
      <c r="BZ16" s="230">
        <v>3684</v>
      </c>
      <c r="CA16" s="228">
        <v>-2</v>
      </c>
      <c r="CB16" s="229">
        <v>-5.0000000000000001E-4</v>
      </c>
      <c r="CC16" s="230">
        <v>3611</v>
      </c>
      <c r="CD16" s="230">
        <v>3615</v>
      </c>
      <c r="CE16" s="228">
        <v>-5</v>
      </c>
      <c r="CF16" s="229">
        <v>-1.2999999999999999E-3</v>
      </c>
      <c r="CG16" s="228">
        <v>70</v>
      </c>
      <c r="CH16" s="228">
        <v>69</v>
      </c>
      <c r="CI16" s="228">
        <v>1</v>
      </c>
      <c r="CJ16" s="229">
        <v>2.1100000000000001E-2</v>
      </c>
      <c r="CK16" s="228">
        <v>2</v>
      </c>
      <c r="CL16" s="228">
        <v>0</v>
      </c>
      <c r="CM16" s="228">
        <v>2</v>
      </c>
      <c r="CN16" s="229">
        <v>23</v>
      </c>
      <c r="CO16" s="228">
        <v>916</v>
      </c>
      <c r="CP16" s="228">
        <v>809</v>
      </c>
      <c r="CQ16" s="228">
        <v>106</v>
      </c>
      <c r="CR16" s="229">
        <v>0.1313</v>
      </c>
      <c r="CS16" s="228">
        <v>651</v>
      </c>
      <c r="CT16" s="228">
        <v>559</v>
      </c>
      <c r="CU16" s="228">
        <v>92</v>
      </c>
      <c r="CV16" s="229">
        <v>0.16439999999999999</v>
      </c>
      <c r="CW16" s="230">
        <v>5249</v>
      </c>
      <c r="CX16" s="230">
        <v>5053</v>
      </c>
      <c r="CY16" s="228">
        <v>197</v>
      </c>
      <c r="CZ16" s="229">
        <v>3.8899999999999997E-2</v>
      </c>
      <c r="DA16" s="228">
        <v>18.87</v>
      </c>
      <c r="DB16" s="228">
        <v>18.77</v>
      </c>
      <c r="DC16" s="228">
        <v>0.1</v>
      </c>
      <c r="DD16" s="228">
        <v>0.1</v>
      </c>
      <c r="DE16" s="228">
        <v>24.85</v>
      </c>
      <c r="DF16" s="228">
        <v>24.89</v>
      </c>
      <c r="DG16" s="228">
        <v>-5.98</v>
      </c>
      <c r="DH16" s="228">
        <v>-0.04</v>
      </c>
      <c r="DI16" s="228">
        <v>18.600000000000001</v>
      </c>
      <c r="DJ16" s="228">
        <v>18.36</v>
      </c>
      <c r="DK16" s="228">
        <v>0.24</v>
      </c>
      <c r="DL16" s="228">
        <v>0.24</v>
      </c>
      <c r="DM16" s="228">
        <v>19.309999999999999</v>
      </c>
      <c r="DN16" s="228">
        <v>19.43</v>
      </c>
      <c r="DO16" s="228">
        <v>-0.12</v>
      </c>
      <c r="DP16" s="228">
        <v>-0.12</v>
      </c>
      <c r="DQ16" s="228">
        <v>0.71</v>
      </c>
      <c r="DR16" s="228">
        <v>0.69</v>
      </c>
      <c r="DS16" s="228">
        <v>0.02</v>
      </c>
      <c r="DT16" s="229">
        <v>2.9000000000000001E-2</v>
      </c>
      <c r="DU16" s="231">
        <v>2860</v>
      </c>
      <c r="DV16" s="231">
        <v>2520</v>
      </c>
      <c r="DW16" s="228">
        <v>0.62</v>
      </c>
      <c r="DX16" s="228">
        <v>0.61</v>
      </c>
      <c r="DY16" s="228">
        <v>0.01</v>
      </c>
      <c r="DZ16" s="229">
        <v>1.6400000000000001E-2</v>
      </c>
      <c r="EA16" s="229">
        <v>1.9599999999999999E-2</v>
      </c>
      <c r="EB16" s="230">
        <v>249500</v>
      </c>
      <c r="EC16" s="229">
        <v>4.7999999999999996E-3</v>
      </c>
      <c r="ED16" s="229">
        <v>1.9599999999999999E-2</v>
      </c>
      <c r="EE16" s="228">
        <v>16.71</v>
      </c>
      <c r="EF16" s="229">
        <v>6.0000000000000001E-3</v>
      </c>
      <c r="EG16" s="230">
        <v>223032</v>
      </c>
      <c r="EH16" s="230">
        <v>928778</v>
      </c>
      <c r="EI16" s="229">
        <v>-0.75990000000000002</v>
      </c>
      <c r="EJ16" s="229">
        <v>0.58819999999999995</v>
      </c>
      <c r="EK16" s="228">
        <v>701.95</v>
      </c>
      <c r="EL16" s="228">
        <v>404.58</v>
      </c>
      <c r="EM16" s="228">
        <v>96.87</v>
      </c>
      <c r="EN16" s="228">
        <v>238.51</v>
      </c>
      <c r="EO16" s="231">
        <v>1203.4000000000001</v>
      </c>
      <c r="EP16" s="231">
        <v>2326.89</v>
      </c>
      <c r="EQ16" s="231">
        <v>-1123.49</v>
      </c>
      <c r="ER16" s="229">
        <v>-0.48280000000000001</v>
      </c>
      <c r="ES16" s="228">
        <v>965.41</v>
      </c>
      <c r="ET16" s="228">
        <v>626.59</v>
      </c>
      <c r="EU16" s="231">
        <v>3682.98</v>
      </c>
      <c r="EV16" s="231">
        <v>49389162</v>
      </c>
      <c r="EW16" s="231">
        <v>5274.97</v>
      </c>
      <c r="EX16" s="231">
        <v>5098.08</v>
      </c>
      <c r="EY16" s="228">
        <v>176.89</v>
      </c>
      <c r="EZ16" s="229">
        <v>3.4700000000000002E-2</v>
      </c>
      <c r="FA16" s="229">
        <v>0.38419999999999999</v>
      </c>
      <c r="FB16" s="227" t="s">
        <v>568</v>
      </c>
      <c r="FC16">
        <f t="shared" si="0"/>
        <v>72</v>
      </c>
    </row>
    <row r="17" spans="1:159" ht="17.25" thickBot="1" x14ac:dyDescent="0.3">
      <c r="A17" s="226">
        <v>46023</v>
      </c>
      <c r="B17" s="227" t="s">
        <v>184</v>
      </c>
      <c r="C17" s="227" t="s">
        <v>503</v>
      </c>
      <c r="D17" s="228">
        <v>425</v>
      </c>
      <c r="E17" s="228">
        <v>26</v>
      </c>
      <c r="F17" s="231">
        <v>1442.7</v>
      </c>
      <c r="G17" s="231">
        <v>1389.5</v>
      </c>
      <c r="H17" s="228">
        <v>53.2</v>
      </c>
      <c r="I17" s="229">
        <v>3.8300000000000001E-2</v>
      </c>
      <c r="J17" s="231">
        <v>1434.9</v>
      </c>
      <c r="K17" s="231">
        <v>1388.5</v>
      </c>
      <c r="L17" s="228">
        <v>46.4</v>
      </c>
      <c r="M17" s="229">
        <v>3.3399999999999999E-2</v>
      </c>
      <c r="N17" s="231">
        <v>1442.7</v>
      </c>
      <c r="O17" s="231">
        <v>1389.5</v>
      </c>
      <c r="P17" s="228">
        <v>53.2</v>
      </c>
      <c r="Q17" s="229">
        <v>3.8300000000000001E-2</v>
      </c>
      <c r="R17" s="231">
        <v>1438.9</v>
      </c>
      <c r="S17" s="231">
        <v>1388.5</v>
      </c>
      <c r="T17" s="228">
        <v>50.4</v>
      </c>
      <c r="U17" s="229">
        <v>3.6299999999999999E-2</v>
      </c>
      <c r="V17" s="231">
        <v>1434.2</v>
      </c>
      <c r="W17" s="231">
        <v>1396.3</v>
      </c>
      <c r="X17" s="228">
        <v>37.9</v>
      </c>
      <c r="Y17" s="229">
        <v>2.7099999999999999E-2</v>
      </c>
      <c r="Z17" s="228">
        <v>7.8</v>
      </c>
      <c r="AA17" s="228">
        <v>1</v>
      </c>
      <c r="AB17" s="228">
        <v>6.8</v>
      </c>
      <c r="AC17" s="229">
        <v>5.4000000000000003E-3</v>
      </c>
      <c r="AD17" s="228">
        <v>7.8</v>
      </c>
      <c r="AE17" s="228">
        <v>1</v>
      </c>
      <c r="AF17" s="228">
        <v>6.8</v>
      </c>
      <c r="AG17" s="229">
        <v>5.4000000000000003E-3</v>
      </c>
      <c r="AH17" s="228">
        <v>4</v>
      </c>
      <c r="AI17" s="228">
        <v>0</v>
      </c>
      <c r="AJ17" s="228">
        <v>4</v>
      </c>
      <c r="AK17" s="229">
        <v>2.8E-3</v>
      </c>
      <c r="AL17" s="228">
        <v>-0.7</v>
      </c>
      <c r="AM17" s="228">
        <v>7.8</v>
      </c>
      <c r="AN17" s="228">
        <v>-8.5</v>
      </c>
      <c r="AO17" s="229">
        <v>-5.0000000000000001E-4</v>
      </c>
      <c r="AP17" s="231">
        <v>1423.23</v>
      </c>
      <c r="AQ17" s="231">
        <v>1418.09</v>
      </c>
      <c r="AR17" s="228">
        <v>0</v>
      </c>
      <c r="AS17" s="228">
        <v>307</v>
      </c>
      <c r="AT17" s="228">
        <v>232</v>
      </c>
      <c r="AU17" s="228">
        <v>75</v>
      </c>
      <c r="AV17" s="229">
        <v>0.3241</v>
      </c>
      <c r="AW17" s="228">
        <v>283</v>
      </c>
      <c r="AX17" s="228">
        <v>209</v>
      </c>
      <c r="AY17" s="228">
        <v>74</v>
      </c>
      <c r="AZ17" s="229">
        <v>0.35360000000000003</v>
      </c>
      <c r="BA17" s="228">
        <v>23</v>
      </c>
      <c r="BB17" s="228">
        <v>23</v>
      </c>
      <c r="BC17" s="228">
        <v>1</v>
      </c>
      <c r="BD17" s="229">
        <v>2.4500000000000001E-2</v>
      </c>
      <c r="BE17" s="228">
        <v>1</v>
      </c>
      <c r="BF17" s="228">
        <v>0</v>
      </c>
      <c r="BG17" s="228">
        <v>1</v>
      </c>
      <c r="BH17" s="229">
        <v>1.7142999999999999</v>
      </c>
      <c r="BI17" s="228">
        <v>809</v>
      </c>
      <c r="BJ17" s="228">
        <v>424</v>
      </c>
      <c r="BK17" s="228">
        <v>385</v>
      </c>
      <c r="BL17" s="229">
        <v>0.90969999999999995</v>
      </c>
      <c r="BM17" s="228">
        <v>333</v>
      </c>
      <c r="BN17" s="228">
        <v>178</v>
      </c>
      <c r="BO17" s="228">
        <v>155</v>
      </c>
      <c r="BP17" s="229">
        <v>0.86980000000000002</v>
      </c>
      <c r="BQ17" s="230">
        <v>1449</v>
      </c>
      <c r="BR17" s="228">
        <v>834</v>
      </c>
      <c r="BS17" s="228">
        <v>615</v>
      </c>
      <c r="BT17" s="229">
        <v>0.73809999999999998</v>
      </c>
      <c r="BU17" s="230">
        <v>633565</v>
      </c>
      <c r="BV17" s="230">
        <v>333335</v>
      </c>
      <c r="BW17" s="230">
        <v>300230</v>
      </c>
      <c r="BX17" s="229">
        <v>0.90069999999999995</v>
      </c>
      <c r="BY17" s="230">
        <v>1093</v>
      </c>
      <c r="BZ17" s="230">
        <v>1095</v>
      </c>
      <c r="CA17" s="228">
        <v>-1</v>
      </c>
      <c r="CB17" s="229">
        <v>-1.2999999999999999E-3</v>
      </c>
      <c r="CC17" s="230">
        <v>1037</v>
      </c>
      <c r="CD17" s="230">
        <v>1041</v>
      </c>
      <c r="CE17" s="228">
        <v>-4</v>
      </c>
      <c r="CF17" s="229">
        <v>-3.8E-3</v>
      </c>
      <c r="CG17" s="228">
        <v>56</v>
      </c>
      <c r="CH17" s="228">
        <v>54</v>
      </c>
      <c r="CI17" s="228">
        <v>2</v>
      </c>
      <c r="CJ17" s="229">
        <v>0.04</v>
      </c>
      <c r="CK17" s="228">
        <v>1</v>
      </c>
      <c r="CL17" s="228">
        <v>0</v>
      </c>
      <c r="CM17" s="228">
        <v>0</v>
      </c>
      <c r="CN17" s="229">
        <v>1</v>
      </c>
      <c r="CO17" s="228">
        <v>315</v>
      </c>
      <c r="CP17" s="228">
        <v>285</v>
      </c>
      <c r="CQ17" s="228">
        <v>30</v>
      </c>
      <c r="CR17" s="229">
        <v>0.10589999999999999</v>
      </c>
      <c r="CS17" s="228">
        <v>219</v>
      </c>
      <c r="CT17" s="228">
        <v>230</v>
      </c>
      <c r="CU17" s="228">
        <v>-12</v>
      </c>
      <c r="CV17" s="229">
        <v>-5.16E-2</v>
      </c>
      <c r="CW17" s="230">
        <v>1627</v>
      </c>
      <c r="CX17" s="230">
        <v>1610</v>
      </c>
      <c r="CY17" s="228">
        <v>17</v>
      </c>
      <c r="CZ17" s="229">
        <v>1.04E-2</v>
      </c>
      <c r="DA17" s="228">
        <v>23.84</v>
      </c>
      <c r="DB17" s="228">
        <v>23.85</v>
      </c>
      <c r="DC17" s="228">
        <v>-0.01</v>
      </c>
      <c r="DD17" s="228">
        <v>-0.01</v>
      </c>
      <c r="DE17" s="228">
        <v>33.61</v>
      </c>
      <c r="DF17" s="228">
        <v>33.31</v>
      </c>
      <c r="DG17" s="228">
        <v>-9.77</v>
      </c>
      <c r="DH17" s="228">
        <v>0.3</v>
      </c>
      <c r="DI17" s="228">
        <v>23.51</v>
      </c>
      <c r="DJ17" s="228">
        <v>23.61</v>
      </c>
      <c r="DK17" s="228">
        <v>-0.1</v>
      </c>
      <c r="DL17" s="228">
        <v>-0.1</v>
      </c>
      <c r="DM17" s="228">
        <v>24.64</v>
      </c>
      <c r="DN17" s="228">
        <v>24.42</v>
      </c>
      <c r="DO17" s="228">
        <v>0.22</v>
      </c>
      <c r="DP17" s="228">
        <v>0.22</v>
      </c>
      <c r="DQ17" s="228">
        <v>0.69</v>
      </c>
      <c r="DR17" s="228">
        <v>0.81</v>
      </c>
      <c r="DS17" s="228">
        <v>-0.12</v>
      </c>
      <c r="DT17" s="229">
        <v>-0.14810000000000001</v>
      </c>
      <c r="DU17" s="231">
        <v>1400</v>
      </c>
      <c r="DV17" s="231">
        <v>1400</v>
      </c>
      <c r="DW17" s="228">
        <v>0.41</v>
      </c>
      <c r="DX17" s="228">
        <v>0.42</v>
      </c>
      <c r="DY17" s="228">
        <v>-0.01</v>
      </c>
      <c r="DZ17" s="229">
        <v>-2.3800000000000002E-2</v>
      </c>
      <c r="EA17" s="229">
        <v>5.1799999999999999E-2</v>
      </c>
      <c r="EB17" s="230">
        <v>374850</v>
      </c>
      <c r="EC17" s="229">
        <v>-2.5999999999999999E-3</v>
      </c>
      <c r="ED17" s="229">
        <v>5.1799999999999999E-2</v>
      </c>
      <c r="EE17" s="228">
        <v>-5.14</v>
      </c>
      <c r="EF17" s="229">
        <v>-3.5999999999999999E-3</v>
      </c>
      <c r="EG17" s="230">
        <v>245074</v>
      </c>
      <c r="EH17" s="230">
        <v>192355</v>
      </c>
      <c r="EI17" s="229">
        <v>0.27410000000000001</v>
      </c>
      <c r="EJ17" s="229">
        <v>0.38679999999999998</v>
      </c>
      <c r="EK17" s="228">
        <v>829.01</v>
      </c>
      <c r="EL17" s="228">
        <v>321.35000000000002</v>
      </c>
      <c r="EM17" s="228">
        <v>303.14</v>
      </c>
      <c r="EN17" s="228">
        <v>103.54</v>
      </c>
      <c r="EO17" s="231">
        <v>1453.5</v>
      </c>
      <c r="EP17" s="228">
        <v>813.82</v>
      </c>
      <c r="EQ17" s="228">
        <v>639.66999999999996</v>
      </c>
      <c r="ER17" s="229">
        <v>0.78600000000000003</v>
      </c>
      <c r="ES17" s="228">
        <v>319.25</v>
      </c>
      <c r="ET17" s="228">
        <v>206.87</v>
      </c>
      <c r="EU17" s="231">
        <v>1093.0899999999999</v>
      </c>
      <c r="EV17" s="231">
        <v>18450534</v>
      </c>
      <c r="EW17" s="231">
        <v>1619.21</v>
      </c>
      <c r="EX17" s="231">
        <v>1556.85</v>
      </c>
      <c r="EY17" s="228">
        <v>62.36</v>
      </c>
      <c r="EZ17" s="229">
        <v>4.0099999999999997E-2</v>
      </c>
      <c r="FA17" s="229">
        <v>0.61119999999999997</v>
      </c>
      <c r="FB17" s="227" t="s">
        <v>556</v>
      </c>
      <c r="FC17">
        <f t="shared" si="0"/>
        <v>56</v>
      </c>
    </row>
    <row r="18" spans="1:159" ht="17.25" thickBot="1" x14ac:dyDescent="0.3">
      <c r="A18" s="226">
        <v>46023</v>
      </c>
      <c r="B18" s="227" t="s">
        <v>172</v>
      </c>
      <c r="C18" s="227" t="s">
        <v>495</v>
      </c>
      <c r="D18" s="228">
        <v>1000</v>
      </c>
      <c r="E18" s="228">
        <v>26</v>
      </c>
      <c r="F18" s="231">
        <v>1002.85</v>
      </c>
      <c r="G18" s="231">
        <v>1000.15</v>
      </c>
      <c r="H18" s="228">
        <v>2.7</v>
      </c>
      <c r="I18" s="229">
        <v>2.7000000000000001E-3</v>
      </c>
      <c r="J18" s="228">
        <v>999.45</v>
      </c>
      <c r="K18" s="228">
        <v>994.5</v>
      </c>
      <c r="L18" s="228">
        <v>4.95</v>
      </c>
      <c r="M18" s="229">
        <v>5.0000000000000001E-3</v>
      </c>
      <c r="N18" s="231">
        <v>1002.85</v>
      </c>
      <c r="O18" s="231">
        <v>1000.15</v>
      </c>
      <c r="P18" s="228">
        <v>2.7</v>
      </c>
      <c r="Q18" s="229">
        <v>2.7000000000000001E-3</v>
      </c>
      <c r="R18" s="231">
        <v>1006.4</v>
      </c>
      <c r="S18" s="231">
        <v>1003.2</v>
      </c>
      <c r="T18" s="228">
        <v>3.2</v>
      </c>
      <c r="U18" s="229">
        <v>3.2000000000000002E-3</v>
      </c>
      <c r="V18" s="231">
        <v>1004</v>
      </c>
      <c r="W18" s="231">
        <v>1005.7</v>
      </c>
      <c r="X18" s="228">
        <v>-1.7</v>
      </c>
      <c r="Y18" s="229">
        <v>-1.6999999999999999E-3</v>
      </c>
      <c r="Z18" s="228">
        <v>3.4</v>
      </c>
      <c r="AA18" s="228">
        <v>5.65</v>
      </c>
      <c r="AB18" s="228">
        <v>-2.25</v>
      </c>
      <c r="AC18" s="229">
        <v>3.3999999999999998E-3</v>
      </c>
      <c r="AD18" s="228">
        <v>3.4</v>
      </c>
      <c r="AE18" s="228">
        <v>5.65</v>
      </c>
      <c r="AF18" s="228">
        <v>-2.25</v>
      </c>
      <c r="AG18" s="229">
        <v>3.3999999999999998E-3</v>
      </c>
      <c r="AH18" s="228">
        <v>6.95</v>
      </c>
      <c r="AI18" s="228">
        <v>8.6999999999999993</v>
      </c>
      <c r="AJ18" s="228">
        <v>-1.75</v>
      </c>
      <c r="AK18" s="229">
        <v>7.0000000000000001E-3</v>
      </c>
      <c r="AL18" s="228">
        <v>4.55</v>
      </c>
      <c r="AM18" s="228">
        <v>11.2</v>
      </c>
      <c r="AN18" s="228">
        <v>-6.65</v>
      </c>
      <c r="AO18" s="229">
        <v>4.5999999999999999E-3</v>
      </c>
      <c r="AP18" s="231">
        <v>1000.86</v>
      </c>
      <c r="AQ18" s="231">
        <v>1002.87</v>
      </c>
      <c r="AR18" s="228">
        <v>0</v>
      </c>
      <c r="AS18" s="228">
        <v>183</v>
      </c>
      <c r="AT18" s="228">
        <v>350</v>
      </c>
      <c r="AU18" s="228">
        <v>-167</v>
      </c>
      <c r="AV18" s="229">
        <v>-0.47710000000000002</v>
      </c>
      <c r="AW18" s="228">
        <v>178</v>
      </c>
      <c r="AX18" s="228">
        <v>332</v>
      </c>
      <c r="AY18" s="228">
        <v>-154</v>
      </c>
      <c r="AZ18" s="229">
        <v>-0.4647</v>
      </c>
      <c r="BA18" s="228">
        <v>5</v>
      </c>
      <c r="BB18" s="228">
        <v>17</v>
      </c>
      <c r="BC18" s="228">
        <v>-12</v>
      </c>
      <c r="BD18" s="229">
        <v>-0.72119999999999995</v>
      </c>
      <c r="BE18" s="228">
        <v>0</v>
      </c>
      <c r="BF18" s="228">
        <v>1</v>
      </c>
      <c r="BG18" s="228">
        <v>0</v>
      </c>
      <c r="BH18" s="229">
        <v>-0.57140000000000002</v>
      </c>
      <c r="BI18" s="228">
        <v>273</v>
      </c>
      <c r="BJ18" s="228">
        <v>568</v>
      </c>
      <c r="BK18" s="228">
        <v>-296</v>
      </c>
      <c r="BL18" s="229">
        <v>-0.52010000000000001</v>
      </c>
      <c r="BM18" s="228">
        <v>130</v>
      </c>
      <c r="BN18" s="228">
        <v>313</v>
      </c>
      <c r="BO18" s="228">
        <v>-183</v>
      </c>
      <c r="BP18" s="229">
        <v>-0.5857</v>
      </c>
      <c r="BQ18" s="228">
        <v>585</v>
      </c>
      <c r="BR18" s="230">
        <v>1231</v>
      </c>
      <c r="BS18" s="228">
        <v>-646</v>
      </c>
      <c r="BT18" s="229">
        <v>-0.52459999999999996</v>
      </c>
      <c r="BU18" s="230">
        <v>698646</v>
      </c>
      <c r="BV18" s="230">
        <v>1545830</v>
      </c>
      <c r="BW18" s="230">
        <v>-847184</v>
      </c>
      <c r="BX18" s="229">
        <v>-0.54800000000000004</v>
      </c>
      <c r="BY18" s="230">
        <v>2050</v>
      </c>
      <c r="BZ18" s="230">
        <v>2054</v>
      </c>
      <c r="CA18" s="228">
        <v>-4</v>
      </c>
      <c r="CB18" s="229">
        <v>-1.8E-3</v>
      </c>
      <c r="CC18" s="230">
        <v>2010</v>
      </c>
      <c r="CD18" s="230">
        <v>2015</v>
      </c>
      <c r="CE18" s="228">
        <v>-5</v>
      </c>
      <c r="CF18" s="229">
        <v>-2.5000000000000001E-3</v>
      </c>
      <c r="CG18" s="228">
        <v>40</v>
      </c>
      <c r="CH18" s="228">
        <v>39</v>
      </c>
      <c r="CI18" s="228">
        <v>1</v>
      </c>
      <c r="CJ18" s="229">
        <v>2.5899999999999999E-2</v>
      </c>
      <c r="CK18" s="228">
        <v>1</v>
      </c>
      <c r="CL18" s="228">
        <v>1</v>
      </c>
      <c r="CM18" s="228">
        <v>0</v>
      </c>
      <c r="CN18" s="229">
        <v>0.6</v>
      </c>
      <c r="CO18" s="228">
        <v>404</v>
      </c>
      <c r="CP18" s="228">
        <v>356</v>
      </c>
      <c r="CQ18" s="228">
        <v>48</v>
      </c>
      <c r="CR18" s="229">
        <v>0.13489999999999999</v>
      </c>
      <c r="CS18" s="228">
        <v>314</v>
      </c>
      <c r="CT18" s="228">
        <v>292</v>
      </c>
      <c r="CU18" s="228">
        <v>22</v>
      </c>
      <c r="CV18" s="229">
        <v>7.6999999999999999E-2</v>
      </c>
      <c r="CW18" s="230">
        <v>2769</v>
      </c>
      <c r="CX18" s="230">
        <v>2702</v>
      </c>
      <c r="CY18" s="228">
        <v>67</v>
      </c>
      <c r="CZ18" s="229">
        <v>2.47E-2</v>
      </c>
      <c r="DA18" s="228">
        <v>25.97</v>
      </c>
      <c r="DB18" s="228">
        <v>25.35</v>
      </c>
      <c r="DC18" s="228">
        <v>0.62</v>
      </c>
      <c r="DD18" s="228">
        <v>0.62</v>
      </c>
      <c r="DE18" s="228">
        <v>34.9</v>
      </c>
      <c r="DF18" s="228">
        <v>34.979999999999997</v>
      </c>
      <c r="DG18" s="228">
        <v>-8.93</v>
      </c>
      <c r="DH18" s="228">
        <v>-0.08</v>
      </c>
      <c r="DI18" s="228">
        <v>25.76</v>
      </c>
      <c r="DJ18" s="228">
        <v>25.09</v>
      </c>
      <c r="DK18" s="228">
        <v>0.67</v>
      </c>
      <c r="DL18" s="228">
        <v>0.67</v>
      </c>
      <c r="DM18" s="228">
        <v>26.4</v>
      </c>
      <c r="DN18" s="228">
        <v>25.82</v>
      </c>
      <c r="DO18" s="228">
        <v>0.57999999999999996</v>
      </c>
      <c r="DP18" s="228">
        <v>0.57999999999999996</v>
      </c>
      <c r="DQ18" s="228">
        <v>0.78</v>
      </c>
      <c r="DR18" s="228">
        <v>0.82</v>
      </c>
      <c r="DS18" s="228">
        <v>-0.04</v>
      </c>
      <c r="DT18" s="229">
        <v>-4.8800000000000003E-2</v>
      </c>
      <c r="DU18" s="231">
        <v>1000</v>
      </c>
      <c r="DV18" s="231">
        <v>1000</v>
      </c>
      <c r="DW18" s="228">
        <v>0.48</v>
      </c>
      <c r="DX18" s="228">
        <v>0.55000000000000004</v>
      </c>
      <c r="DY18" s="228">
        <v>-7.0000000000000007E-2</v>
      </c>
      <c r="DZ18" s="229">
        <v>-0.1273</v>
      </c>
      <c r="EA18" s="229">
        <v>1.9800000000000002E-2</v>
      </c>
      <c r="EB18" s="230">
        <v>391000</v>
      </c>
      <c r="EC18" s="229">
        <v>3.5000000000000001E-3</v>
      </c>
      <c r="ED18" s="229">
        <v>1.9800000000000002E-2</v>
      </c>
      <c r="EE18" s="228">
        <v>2.0099999999999998</v>
      </c>
      <c r="EF18" s="229">
        <v>2E-3</v>
      </c>
      <c r="EG18" s="230">
        <v>404932</v>
      </c>
      <c r="EH18" s="230">
        <v>836525</v>
      </c>
      <c r="EI18" s="229">
        <v>-0.51590000000000003</v>
      </c>
      <c r="EJ18" s="229">
        <v>0.5796</v>
      </c>
      <c r="EK18" s="228">
        <v>286.77999999999997</v>
      </c>
      <c r="EL18" s="228">
        <v>128.91</v>
      </c>
      <c r="EM18" s="228">
        <v>182.47</v>
      </c>
      <c r="EN18" s="228">
        <v>120.83</v>
      </c>
      <c r="EO18" s="228">
        <v>598.16</v>
      </c>
      <c r="EP18" s="231">
        <v>1251.3699999999999</v>
      </c>
      <c r="EQ18" s="228">
        <v>-653.21</v>
      </c>
      <c r="ER18" s="229">
        <v>-0.52200000000000002</v>
      </c>
      <c r="ES18" s="228">
        <v>408.53</v>
      </c>
      <c r="ET18" s="228">
        <v>299.91000000000003</v>
      </c>
      <c r="EU18" s="231">
        <v>2050.4699999999998</v>
      </c>
      <c r="EV18" s="231">
        <v>86371921</v>
      </c>
      <c r="EW18" s="231">
        <v>2758.9</v>
      </c>
      <c r="EX18" s="231">
        <v>2684.04</v>
      </c>
      <c r="EY18" s="228">
        <v>74.86</v>
      </c>
      <c r="EZ18" s="229">
        <v>2.7900000000000001E-2</v>
      </c>
      <c r="FA18" s="229">
        <v>0.3196</v>
      </c>
      <c r="FB18" s="227" t="s">
        <v>556</v>
      </c>
      <c r="FC18">
        <f t="shared" si="0"/>
        <v>40</v>
      </c>
    </row>
    <row r="19" spans="1:159" ht="17.25" thickBot="1" x14ac:dyDescent="0.3">
      <c r="A19" s="226">
        <v>46023</v>
      </c>
      <c r="B19" s="227" t="s">
        <v>170</v>
      </c>
      <c r="C19" s="227" t="s">
        <v>171</v>
      </c>
      <c r="D19" s="228">
        <v>550</v>
      </c>
      <c r="E19" s="228">
        <v>26</v>
      </c>
      <c r="F19" s="231">
        <v>1199.7</v>
      </c>
      <c r="G19" s="231">
        <v>1189.5</v>
      </c>
      <c r="H19" s="228">
        <v>10.199999999999999</v>
      </c>
      <c r="I19" s="229">
        <v>8.6E-3</v>
      </c>
      <c r="J19" s="231">
        <v>1193</v>
      </c>
      <c r="K19" s="231">
        <v>1183</v>
      </c>
      <c r="L19" s="228">
        <v>10</v>
      </c>
      <c r="M19" s="229">
        <v>8.5000000000000006E-3</v>
      </c>
      <c r="N19" s="231">
        <v>1199.7</v>
      </c>
      <c r="O19" s="231">
        <v>1189.5</v>
      </c>
      <c r="P19" s="228">
        <v>10.199999999999999</v>
      </c>
      <c r="Q19" s="229">
        <v>8.6E-3</v>
      </c>
      <c r="R19" s="231">
        <v>1206.7</v>
      </c>
      <c r="S19" s="231">
        <v>1196.5</v>
      </c>
      <c r="T19" s="228">
        <v>10.199999999999999</v>
      </c>
      <c r="U19" s="229">
        <v>8.5000000000000006E-3</v>
      </c>
      <c r="V19" s="231">
        <v>1192.7</v>
      </c>
      <c r="W19" s="231">
        <v>1209.0999999999999</v>
      </c>
      <c r="X19" s="228">
        <v>-16.399999999999999</v>
      </c>
      <c r="Y19" s="229">
        <v>-1.3599999999999999E-2</v>
      </c>
      <c r="Z19" s="228">
        <v>6.7</v>
      </c>
      <c r="AA19" s="228">
        <v>6.5</v>
      </c>
      <c r="AB19" s="228">
        <v>0.2</v>
      </c>
      <c r="AC19" s="229">
        <v>5.5999999999999999E-3</v>
      </c>
      <c r="AD19" s="228">
        <v>6.7</v>
      </c>
      <c r="AE19" s="228">
        <v>6.5</v>
      </c>
      <c r="AF19" s="228">
        <v>0.2</v>
      </c>
      <c r="AG19" s="229">
        <v>5.5999999999999999E-3</v>
      </c>
      <c r="AH19" s="228">
        <v>13.7</v>
      </c>
      <c r="AI19" s="228">
        <v>13.5</v>
      </c>
      <c r="AJ19" s="228">
        <v>0.2</v>
      </c>
      <c r="AK19" s="229">
        <v>1.15E-2</v>
      </c>
      <c r="AL19" s="228">
        <v>-0.3</v>
      </c>
      <c r="AM19" s="228">
        <v>26.1</v>
      </c>
      <c r="AN19" s="228">
        <v>-26.4</v>
      </c>
      <c r="AO19" s="229">
        <v>-2.9999999999999997E-4</v>
      </c>
      <c r="AP19" s="231">
        <v>1188.75</v>
      </c>
      <c r="AQ19" s="231">
        <v>1189.1400000000001</v>
      </c>
      <c r="AR19" s="228">
        <v>0</v>
      </c>
      <c r="AS19" s="228">
        <v>162</v>
      </c>
      <c r="AT19" s="228">
        <v>277</v>
      </c>
      <c r="AU19" s="228">
        <v>-115</v>
      </c>
      <c r="AV19" s="229">
        <v>-0.4158</v>
      </c>
      <c r="AW19" s="228">
        <v>148</v>
      </c>
      <c r="AX19" s="228">
        <v>270</v>
      </c>
      <c r="AY19" s="228">
        <v>-122</v>
      </c>
      <c r="AZ19" s="229">
        <v>-0.45169999999999999</v>
      </c>
      <c r="BA19" s="228">
        <v>13</v>
      </c>
      <c r="BB19" s="228">
        <v>6</v>
      </c>
      <c r="BC19" s="228">
        <v>7</v>
      </c>
      <c r="BD19" s="229">
        <v>1.0815999999999999</v>
      </c>
      <c r="BE19" s="228">
        <v>0</v>
      </c>
      <c r="BF19" s="228">
        <v>0</v>
      </c>
      <c r="BG19" s="228">
        <v>0</v>
      </c>
      <c r="BH19" s="229">
        <v>0</v>
      </c>
      <c r="BI19" s="228">
        <v>416</v>
      </c>
      <c r="BJ19" s="228">
        <v>380</v>
      </c>
      <c r="BK19" s="228">
        <v>36</v>
      </c>
      <c r="BL19" s="229">
        <v>9.4299999999999995E-2</v>
      </c>
      <c r="BM19" s="228">
        <v>156</v>
      </c>
      <c r="BN19" s="228">
        <v>212</v>
      </c>
      <c r="BO19" s="228">
        <v>-55</v>
      </c>
      <c r="BP19" s="229">
        <v>-0.26190000000000002</v>
      </c>
      <c r="BQ19" s="228">
        <v>734</v>
      </c>
      <c r="BR19" s="228">
        <v>868</v>
      </c>
      <c r="BS19" s="228">
        <v>-135</v>
      </c>
      <c r="BT19" s="229">
        <v>-0.15509999999999999</v>
      </c>
      <c r="BU19" s="230">
        <v>421927</v>
      </c>
      <c r="BV19" s="230">
        <v>952999</v>
      </c>
      <c r="BW19" s="230">
        <v>-531072</v>
      </c>
      <c r="BX19" s="229">
        <v>-0.55730000000000002</v>
      </c>
      <c r="BY19" s="230">
        <v>2628</v>
      </c>
      <c r="BZ19" s="230">
        <v>2611</v>
      </c>
      <c r="CA19" s="228">
        <v>17</v>
      </c>
      <c r="CB19" s="229">
        <v>6.6E-3</v>
      </c>
      <c r="CC19" s="230">
        <v>2608</v>
      </c>
      <c r="CD19" s="230">
        <v>2596</v>
      </c>
      <c r="CE19" s="228">
        <v>11</v>
      </c>
      <c r="CF19" s="229">
        <v>4.4000000000000003E-3</v>
      </c>
      <c r="CG19" s="228">
        <v>21</v>
      </c>
      <c r="CH19" s="228">
        <v>15</v>
      </c>
      <c r="CI19" s="228">
        <v>6</v>
      </c>
      <c r="CJ19" s="229">
        <v>0.38159999999999999</v>
      </c>
      <c r="CK19" s="228">
        <v>0</v>
      </c>
      <c r="CL19" s="228">
        <v>0</v>
      </c>
      <c r="CM19" s="228">
        <v>0</v>
      </c>
      <c r="CN19" s="229">
        <v>1</v>
      </c>
      <c r="CO19" s="228">
        <v>362</v>
      </c>
      <c r="CP19" s="228">
        <v>324</v>
      </c>
      <c r="CQ19" s="228">
        <v>39</v>
      </c>
      <c r="CR19" s="229">
        <v>0.11940000000000001</v>
      </c>
      <c r="CS19" s="228">
        <v>209</v>
      </c>
      <c r="CT19" s="228">
        <v>187</v>
      </c>
      <c r="CU19" s="228">
        <v>22</v>
      </c>
      <c r="CV19" s="229">
        <v>0.1181</v>
      </c>
      <c r="CW19" s="230">
        <v>3200</v>
      </c>
      <c r="CX19" s="230">
        <v>3122</v>
      </c>
      <c r="CY19" s="228">
        <v>78</v>
      </c>
      <c r="CZ19" s="229">
        <v>2.5000000000000001E-2</v>
      </c>
      <c r="DA19" s="228">
        <v>24.15</v>
      </c>
      <c r="DB19" s="228">
        <v>24.74</v>
      </c>
      <c r="DC19" s="228">
        <v>-0.59</v>
      </c>
      <c r="DD19" s="228">
        <v>-0.59</v>
      </c>
      <c r="DE19" s="228">
        <v>32.51</v>
      </c>
      <c r="DF19" s="228">
        <v>32.57</v>
      </c>
      <c r="DG19" s="228">
        <v>-8.36</v>
      </c>
      <c r="DH19" s="228">
        <v>-0.06</v>
      </c>
      <c r="DI19" s="228">
        <v>24.16</v>
      </c>
      <c r="DJ19" s="228">
        <v>25.02</v>
      </c>
      <c r="DK19" s="228">
        <v>-0.86</v>
      </c>
      <c r="DL19" s="228">
        <v>-0.86</v>
      </c>
      <c r="DM19" s="228">
        <v>24.12</v>
      </c>
      <c r="DN19" s="228">
        <v>24.26</v>
      </c>
      <c r="DO19" s="228">
        <v>-0.14000000000000001</v>
      </c>
      <c r="DP19" s="228">
        <v>-0.14000000000000001</v>
      </c>
      <c r="DQ19" s="228">
        <v>0.57999999999999996</v>
      </c>
      <c r="DR19" s="228">
        <v>0.57999999999999996</v>
      </c>
      <c r="DS19" s="228">
        <v>0</v>
      </c>
      <c r="DT19" s="229">
        <v>0</v>
      </c>
      <c r="DU19" s="231">
        <v>1260</v>
      </c>
      <c r="DV19" s="231">
        <v>1200</v>
      </c>
      <c r="DW19" s="228">
        <v>0.38</v>
      </c>
      <c r="DX19" s="228">
        <v>0.56000000000000005</v>
      </c>
      <c r="DY19" s="228">
        <v>-0.18</v>
      </c>
      <c r="DZ19" s="229">
        <v>-0.32140000000000002</v>
      </c>
      <c r="EA19" s="229">
        <v>8.0000000000000002E-3</v>
      </c>
      <c r="EB19" s="230">
        <v>125950</v>
      </c>
      <c r="EC19" s="229">
        <v>5.7999999999999996E-3</v>
      </c>
      <c r="ED19" s="229">
        <v>8.0000000000000002E-3</v>
      </c>
      <c r="EE19" s="228">
        <v>0.39</v>
      </c>
      <c r="EF19" s="229">
        <v>2.9999999999999997E-4</v>
      </c>
      <c r="EG19" s="230">
        <v>117388</v>
      </c>
      <c r="EH19" s="230">
        <v>475588</v>
      </c>
      <c r="EI19" s="229">
        <v>-0.75319999999999998</v>
      </c>
      <c r="EJ19" s="229">
        <v>0.2782</v>
      </c>
      <c r="EK19" s="228">
        <v>431.77</v>
      </c>
      <c r="EL19" s="228">
        <v>153.66</v>
      </c>
      <c r="EM19" s="228">
        <v>160.12</v>
      </c>
      <c r="EN19" s="228">
        <v>123.69</v>
      </c>
      <c r="EO19" s="228">
        <v>745.56</v>
      </c>
      <c r="EP19" s="228">
        <v>879.31</v>
      </c>
      <c r="EQ19" s="228">
        <v>-133.75</v>
      </c>
      <c r="ER19" s="229">
        <v>-0.15210000000000001</v>
      </c>
      <c r="ES19" s="228">
        <v>375.85</v>
      </c>
      <c r="ET19" s="228">
        <v>202.07</v>
      </c>
      <c r="EU19" s="231">
        <v>2628.57</v>
      </c>
      <c r="EV19" s="231">
        <v>41977935</v>
      </c>
      <c r="EW19" s="231">
        <v>3206.49</v>
      </c>
      <c r="EX19" s="231">
        <v>3105.93</v>
      </c>
      <c r="EY19" s="228">
        <v>100.56</v>
      </c>
      <c r="EZ19" s="229">
        <v>3.2399999999999998E-2</v>
      </c>
      <c r="FA19" s="229">
        <v>0.63539999999999996</v>
      </c>
      <c r="FB19" s="227" t="s">
        <v>555</v>
      </c>
      <c r="FC19">
        <f t="shared" si="0"/>
        <v>20</v>
      </c>
    </row>
    <row r="20" spans="1:159" ht="17.25" thickBot="1" x14ac:dyDescent="0.3">
      <c r="A20" s="226">
        <v>46023</v>
      </c>
      <c r="B20" s="227" t="s">
        <v>172</v>
      </c>
      <c r="C20" s="227" t="s">
        <v>173</v>
      </c>
      <c r="D20" s="228">
        <v>625</v>
      </c>
      <c r="E20" s="228">
        <v>26</v>
      </c>
      <c r="F20" s="231">
        <v>1279.0999999999999</v>
      </c>
      <c r="G20" s="231">
        <v>1274.2</v>
      </c>
      <c r="H20" s="228">
        <v>4.9000000000000004</v>
      </c>
      <c r="I20" s="229">
        <v>3.8E-3</v>
      </c>
      <c r="J20" s="231">
        <v>1274.4000000000001</v>
      </c>
      <c r="K20" s="231">
        <v>1269.4000000000001</v>
      </c>
      <c r="L20" s="228">
        <v>5</v>
      </c>
      <c r="M20" s="229">
        <v>3.8999999999999998E-3</v>
      </c>
      <c r="N20" s="231">
        <v>1279.0999999999999</v>
      </c>
      <c r="O20" s="231">
        <v>1274.2</v>
      </c>
      <c r="P20" s="228">
        <v>4.9000000000000004</v>
      </c>
      <c r="Q20" s="229">
        <v>3.8E-3</v>
      </c>
      <c r="R20" s="231">
        <v>1286.5</v>
      </c>
      <c r="S20" s="231">
        <v>1280.7</v>
      </c>
      <c r="T20" s="228">
        <v>5.8</v>
      </c>
      <c r="U20" s="229">
        <v>4.4999999999999997E-3</v>
      </c>
      <c r="V20" s="231">
        <v>1295.0999999999999</v>
      </c>
      <c r="W20" s="231">
        <v>1289.2</v>
      </c>
      <c r="X20" s="228">
        <v>5.9</v>
      </c>
      <c r="Y20" s="229">
        <v>4.5999999999999999E-3</v>
      </c>
      <c r="Z20" s="228">
        <v>4.7</v>
      </c>
      <c r="AA20" s="228">
        <v>4.8</v>
      </c>
      <c r="AB20" s="228">
        <v>-0.1</v>
      </c>
      <c r="AC20" s="229">
        <v>3.7000000000000002E-3</v>
      </c>
      <c r="AD20" s="228">
        <v>4.7</v>
      </c>
      <c r="AE20" s="228">
        <v>4.8</v>
      </c>
      <c r="AF20" s="228">
        <v>-0.1</v>
      </c>
      <c r="AG20" s="229">
        <v>3.7000000000000002E-3</v>
      </c>
      <c r="AH20" s="228">
        <v>12.1</v>
      </c>
      <c r="AI20" s="228">
        <v>11.3</v>
      </c>
      <c r="AJ20" s="228">
        <v>0.8</v>
      </c>
      <c r="AK20" s="229">
        <v>9.4999999999999998E-3</v>
      </c>
      <c r="AL20" s="228">
        <v>20.7</v>
      </c>
      <c r="AM20" s="228">
        <v>19.8</v>
      </c>
      <c r="AN20" s="228">
        <v>0.9</v>
      </c>
      <c r="AO20" s="229">
        <v>1.6199999999999999E-2</v>
      </c>
      <c r="AP20" s="231">
        <v>1277.8800000000001</v>
      </c>
      <c r="AQ20" s="231">
        <v>1283.52</v>
      </c>
      <c r="AR20" s="228">
        <v>0</v>
      </c>
      <c r="AS20" s="228">
        <v>549</v>
      </c>
      <c r="AT20" s="230">
        <v>1226</v>
      </c>
      <c r="AU20" s="228">
        <v>-677</v>
      </c>
      <c r="AV20" s="229">
        <v>-0.55210000000000004</v>
      </c>
      <c r="AW20" s="228">
        <v>535</v>
      </c>
      <c r="AX20" s="230">
        <v>1205</v>
      </c>
      <c r="AY20" s="228">
        <v>-670</v>
      </c>
      <c r="AZ20" s="229">
        <v>-0.55579999999999996</v>
      </c>
      <c r="BA20" s="228">
        <v>9</v>
      </c>
      <c r="BB20" s="228">
        <v>20</v>
      </c>
      <c r="BC20" s="228">
        <v>-11</v>
      </c>
      <c r="BD20" s="229">
        <v>-0.54179999999999995</v>
      </c>
      <c r="BE20" s="228">
        <v>5</v>
      </c>
      <c r="BF20" s="228">
        <v>1</v>
      </c>
      <c r="BG20" s="228">
        <v>4</v>
      </c>
      <c r="BH20" s="229">
        <v>3.4615</v>
      </c>
      <c r="BI20" s="230">
        <v>1366</v>
      </c>
      <c r="BJ20" s="230">
        <v>3257</v>
      </c>
      <c r="BK20" s="230">
        <v>-1891</v>
      </c>
      <c r="BL20" s="229">
        <v>-0.5806</v>
      </c>
      <c r="BM20" s="230">
        <v>1105</v>
      </c>
      <c r="BN20" s="230">
        <v>2035</v>
      </c>
      <c r="BO20" s="228">
        <v>-929</v>
      </c>
      <c r="BP20" s="229">
        <v>-0.45679999999999998</v>
      </c>
      <c r="BQ20" s="230">
        <v>3021</v>
      </c>
      <c r="BR20" s="230">
        <v>6518</v>
      </c>
      <c r="BS20" s="230">
        <v>-3497</v>
      </c>
      <c r="BT20" s="229">
        <v>-0.53659999999999997</v>
      </c>
      <c r="BU20" s="230">
        <v>2327531</v>
      </c>
      <c r="BV20" s="230">
        <v>3841416</v>
      </c>
      <c r="BW20" s="230">
        <v>-1513885</v>
      </c>
      <c r="BX20" s="229">
        <v>-0.39410000000000001</v>
      </c>
      <c r="BY20" s="230">
        <v>9921</v>
      </c>
      <c r="BZ20" s="230">
        <v>9922</v>
      </c>
      <c r="CA20" s="228">
        <v>-1</v>
      </c>
      <c r="CB20" s="229">
        <v>-1E-4</v>
      </c>
      <c r="CC20" s="230">
        <v>9859</v>
      </c>
      <c r="CD20" s="230">
        <v>9864</v>
      </c>
      <c r="CE20" s="228">
        <v>-5</v>
      </c>
      <c r="CF20" s="229">
        <v>-5.0000000000000001E-4</v>
      </c>
      <c r="CG20" s="228">
        <v>57</v>
      </c>
      <c r="CH20" s="228">
        <v>56</v>
      </c>
      <c r="CI20" s="228">
        <v>0</v>
      </c>
      <c r="CJ20" s="229">
        <v>7.1000000000000004E-3</v>
      </c>
      <c r="CK20" s="228">
        <v>5</v>
      </c>
      <c r="CL20" s="228">
        <v>1</v>
      </c>
      <c r="CM20" s="228">
        <v>4</v>
      </c>
      <c r="CN20" s="229">
        <v>3.9167000000000001</v>
      </c>
      <c r="CO20" s="230">
        <v>1392</v>
      </c>
      <c r="CP20" s="230">
        <v>1263</v>
      </c>
      <c r="CQ20" s="228">
        <v>129</v>
      </c>
      <c r="CR20" s="229">
        <v>0.10249999999999999</v>
      </c>
      <c r="CS20" s="230">
        <v>1228</v>
      </c>
      <c r="CT20" s="230">
        <v>1089</v>
      </c>
      <c r="CU20" s="228">
        <v>140</v>
      </c>
      <c r="CV20" s="229">
        <v>0.12820000000000001</v>
      </c>
      <c r="CW20" s="230">
        <v>12541</v>
      </c>
      <c r="CX20" s="230">
        <v>12273</v>
      </c>
      <c r="CY20" s="228">
        <v>268</v>
      </c>
      <c r="CZ20" s="229">
        <v>2.18E-2</v>
      </c>
      <c r="DA20" s="228">
        <v>18.77</v>
      </c>
      <c r="DB20" s="228">
        <v>18.170000000000002</v>
      </c>
      <c r="DC20" s="228">
        <v>0.6</v>
      </c>
      <c r="DD20" s="228">
        <v>0.6</v>
      </c>
      <c r="DE20" s="228">
        <v>25.76</v>
      </c>
      <c r="DF20" s="228">
        <v>25.82</v>
      </c>
      <c r="DG20" s="228">
        <v>-6.99</v>
      </c>
      <c r="DH20" s="228">
        <v>-0.06</v>
      </c>
      <c r="DI20" s="228">
        <v>18.36</v>
      </c>
      <c r="DJ20" s="228">
        <v>17.73</v>
      </c>
      <c r="DK20" s="228">
        <v>0.63</v>
      </c>
      <c r="DL20" s="228">
        <v>0.63</v>
      </c>
      <c r="DM20" s="228">
        <v>19.28</v>
      </c>
      <c r="DN20" s="228">
        <v>18.88</v>
      </c>
      <c r="DO20" s="228">
        <v>0.4</v>
      </c>
      <c r="DP20" s="228">
        <v>0.4</v>
      </c>
      <c r="DQ20" s="228">
        <v>0.88</v>
      </c>
      <c r="DR20" s="228">
        <v>0.86</v>
      </c>
      <c r="DS20" s="228">
        <v>0.02</v>
      </c>
      <c r="DT20" s="229">
        <v>2.3300000000000001E-2</v>
      </c>
      <c r="DU20" s="231">
        <v>1300</v>
      </c>
      <c r="DV20" s="231">
        <v>1260</v>
      </c>
      <c r="DW20" s="228">
        <v>0.81</v>
      </c>
      <c r="DX20" s="228">
        <v>0.62</v>
      </c>
      <c r="DY20" s="228">
        <v>0.19</v>
      </c>
      <c r="DZ20" s="229">
        <v>0.30649999999999999</v>
      </c>
      <c r="EA20" s="229">
        <v>6.1999999999999998E-3</v>
      </c>
      <c r="EB20" s="230">
        <v>446875</v>
      </c>
      <c r="EC20" s="229">
        <v>5.7999999999999996E-3</v>
      </c>
      <c r="ED20" s="229">
        <v>6.1999999999999998E-3</v>
      </c>
      <c r="EE20" s="228">
        <v>5.64</v>
      </c>
      <c r="EF20" s="229">
        <v>4.4000000000000003E-3</v>
      </c>
      <c r="EG20" s="230">
        <v>1147025</v>
      </c>
      <c r="EH20" s="230">
        <v>2517633</v>
      </c>
      <c r="EI20" s="229">
        <v>-0.5444</v>
      </c>
      <c r="EJ20" s="229">
        <v>0.49280000000000002</v>
      </c>
      <c r="EK20" s="231">
        <v>1410.83</v>
      </c>
      <c r="EL20" s="231">
        <v>1075.07</v>
      </c>
      <c r="EM20" s="228">
        <v>548.79</v>
      </c>
      <c r="EN20" s="228">
        <v>316.51</v>
      </c>
      <c r="EO20" s="231">
        <v>3034.69</v>
      </c>
      <c r="EP20" s="231">
        <v>6539.31</v>
      </c>
      <c r="EQ20" s="231">
        <v>-3504.62</v>
      </c>
      <c r="ER20" s="229">
        <v>-0.53590000000000004</v>
      </c>
      <c r="ES20" s="231">
        <v>1411.5</v>
      </c>
      <c r="ET20" s="231">
        <v>1173.8499999999999</v>
      </c>
      <c r="EU20" s="231">
        <v>9921.17</v>
      </c>
      <c r="EV20" s="231">
        <v>296371456</v>
      </c>
      <c r="EW20" s="231">
        <v>12506.52</v>
      </c>
      <c r="EX20" s="231">
        <v>12197.23</v>
      </c>
      <c r="EY20" s="228">
        <v>309.29000000000002</v>
      </c>
      <c r="EZ20" s="229">
        <v>2.5399999999999999E-2</v>
      </c>
      <c r="FA20" s="229">
        <v>0.33079999999999998</v>
      </c>
      <c r="FB20" s="227" t="s">
        <v>556</v>
      </c>
      <c r="FC20">
        <f t="shared" si="0"/>
        <v>62</v>
      </c>
    </row>
    <row r="21" spans="1:159" ht="17.25" thickBot="1" x14ac:dyDescent="0.3">
      <c r="A21" s="226">
        <v>46023</v>
      </c>
      <c r="B21" s="227" t="s">
        <v>162</v>
      </c>
      <c r="C21" s="227" t="s">
        <v>174</v>
      </c>
      <c r="D21" s="228">
        <v>75</v>
      </c>
      <c r="E21" s="228">
        <v>26</v>
      </c>
      <c r="F21" s="231">
        <v>9611</v>
      </c>
      <c r="G21" s="231">
        <v>9402</v>
      </c>
      <c r="H21" s="228">
        <v>209</v>
      </c>
      <c r="I21" s="229">
        <v>2.2200000000000001E-2</v>
      </c>
      <c r="J21" s="231">
        <v>9558</v>
      </c>
      <c r="K21" s="231">
        <v>9343</v>
      </c>
      <c r="L21" s="228">
        <v>215</v>
      </c>
      <c r="M21" s="229">
        <v>2.3E-2</v>
      </c>
      <c r="N21" s="231">
        <v>9611</v>
      </c>
      <c r="O21" s="231">
        <v>9402</v>
      </c>
      <c r="P21" s="228">
        <v>209</v>
      </c>
      <c r="Q21" s="229">
        <v>2.2200000000000001E-2</v>
      </c>
      <c r="R21" s="231">
        <v>9651</v>
      </c>
      <c r="S21" s="231">
        <v>9444.5</v>
      </c>
      <c r="T21" s="228">
        <v>206.5</v>
      </c>
      <c r="U21" s="229">
        <v>2.1899999999999999E-2</v>
      </c>
      <c r="V21" s="231">
        <v>9688</v>
      </c>
      <c r="W21" s="231">
        <v>9481</v>
      </c>
      <c r="X21" s="228">
        <v>207</v>
      </c>
      <c r="Y21" s="229">
        <v>2.18E-2</v>
      </c>
      <c r="Z21" s="228">
        <v>53</v>
      </c>
      <c r="AA21" s="228">
        <v>59</v>
      </c>
      <c r="AB21" s="228">
        <v>-6</v>
      </c>
      <c r="AC21" s="229">
        <v>5.4999999999999997E-3</v>
      </c>
      <c r="AD21" s="228">
        <v>53</v>
      </c>
      <c r="AE21" s="228">
        <v>59</v>
      </c>
      <c r="AF21" s="228">
        <v>-6</v>
      </c>
      <c r="AG21" s="229">
        <v>5.4999999999999997E-3</v>
      </c>
      <c r="AH21" s="228">
        <v>93</v>
      </c>
      <c r="AI21" s="228">
        <v>101.5</v>
      </c>
      <c r="AJ21" s="228">
        <v>-8.5</v>
      </c>
      <c r="AK21" s="229">
        <v>9.7000000000000003E-3</v>
      </c>
      <c r="AL21" s="228">
        <v>130</v>
      </c>
      <c r="AM21" s="228">
        <v>138</v>
      </c>
      <c r="AN21" s="228">
        <v>-8</v>
      </c>
      <c r="AO21" s="229">
        <v>1.3599999999999999E-2</v>
      </c>
      <c r="AP21" s="231">
        <v>9519.85</v>
      </c>
      <c r="AQ21" s="231">
        <v>9559.9599999999991</v>
      </c>
      <c r="AR21" s="228">
        <v>0</v>
      </c>
      <c r="AS21" s="228">
        <v>627</v>
      </c>
      <c r="AT21" s="228">
        <v>546</v>
      </c>
      <c r="AU21" s="228">
        <v>81</v>
      </c>
      <c r="AV21" s="229">
        <v>0.1479</v>
      </c>
      <c r="AW21" s="228">
        <v>596</v>
      </c>
      <c r="AX21" s="228">
        <v>524</v>
      </c>
      <c r="AY21" s="228">
        <v>73</v>
      </c>
      <c r="AZ21" s="229">
        <v>0.13869999999999999</v>
      </c>
      <c r="BA21" s="228">
        <v>27</v>
      </c>
      <c r="BB21" s="228">
        <v>20</v>
      </c>
      <c r="BC21" s="228">
        <v>6</v>
      </c>
      <c r="BD21" s="229">
        <v>0.32369999999999999</v>
      </c>
      <c r="BE21" s="228">
        <v>4</v>
      </c>
      <c r="BF21" s="228">
        <v>2</v>
      </c>
      <c r="BG21" s="228">
        <v>2</v>
      </c>
      <c r="BH21" s="229">
        <v>0.75860000000000005</v>
      </c>
      <c r="BI21" s="230">
        <v>4366</v>
      </c>
      <c r="BJ21" s="230">
        <v>3413</v>
      </c>
      <c r="BK21" s="228">
        <v>953</v>
      </c>
      <c r="BL21" s="229">
        <v>0.2792</v>
      </c>
      <c r="BM21" s="230">
        <v>1615</v>
      </c>
      <c r="BN21" s="230">
        <v>1189</v>
      </c>
      <c r="BO21" s="228">
        <v>427</v>
      </c>
      <c r="BP21" s="229">
        <v>0.3589</v>
      </c>
      <c r="BQ21" s="230">
        <v>6608</v>
      </c>
      <c r="BR21" s="230">
        <v>5147</v>
      </c>
      <c r="BS21" s="230">
        <v>1460</v>
      </c>
      <c r="BT21" s="229">
        <v>0.28370000000000001</v>
      </c>
      <c r="BU21" s="230">
        <v>334584</v>
      </c>
      <c r="BV21" s="230">
        <v>337071</v>
      </c>
      <c r="BW21" s="230">
        <v>-2487</v>
      </c>
      <c r="BX21" s="229">
        <v>-7.4000000000000003E-3</v>
      </c>
      <c r="BY21" s="230">
        <v>3013</v>
      </c>
      <c r="BZ21" s="230">
        <v>2940</v>
      </c>
      <c r="CA21" s="228">
        <v>73</v>
      </c>
      <c r="CB21" s="229">
        <v>2.47E-2</v>
      </c>
      <c r="CC21" s="230">
        <v>2970</v>
      </c>
      <c r="CD21" s="230">
        <v>2903</v>
      </c>
      <c r="CE21" s="228">
        <v>67</v>
      </c>
      <c r="CF21" s="229">
        <v>2.3199999999999998E-2</v>
      </c>
      <c r="CG21" s="228">
        <v>40</v>
      </c>
      <c r="CH21" s="228">
        <v>36</v>
      </c>
      <c r="CI21" s="228">
        <v>3</v>
      </c>
      <c r="CJ21" s="229">
        <v>9.2899999999999996E-2</v>
      </c>
      <c r="CK21" s="228">
        <v>3</v>
      </c>
      <c r="CL21" s="228">
        <v>1</v>
      </c>
      <c r="CM21" s="228">
        <v>2</v>
      </c>
      <c r="CN21" s="229">
        <v>1.4443999999999999</v>
      </c>
      <c r="CO21" s="230">
        <v>1039</v>
      </c>
      <c r="CP21" s="228">
        <v>857</v>
      </c>
      <c r="CQ21" s="228">
        <v>182</v>
      </c>
      <c r="CR21" s="229">
        <v>0.21240000000000001</v>
      </c>
      <c r="CS21" s="228">
        <v>852</v>
      </c>
      <c r="CT21" s="228">
        <v>635</v>
      </c>
      <c r="CU21" s="228">
        <v>217</v>
      </c>
      <c r="CV21" s="229">
        <v>0.34110000000000001</v>
      </c>
      <c r="CW21" s="230">
        <v>4904</v>
      </c>
      <c r="CX21" s="230">
        <v>4433</v>
      </c>
      <c r="CY21" s="228">
        <v>471</v>
      </c>
      <c r="CZ21" s="229">
        <v>0.10630000000000001</v>
      </c>
      <c r="DA21" s="228">
        <v>21.91</v>
      </c>
      <c r="DB21" s="228">
        <v>22.41</v>
      </c>
      <c r="DC21" s="228">
        <v>-0.5</v>
      </c>
      <c r="DD21" s="228">
        <v>-0.5</v>
      </c>
      <c r="DE21" s="228">
        <v>28.2</v>
      </c>
      <c r="DF21" s="228">
        <v>28.1</v>
      </c>
      <c r="DG21" s="228">
        <v>-6.29</v>
      </c>
      <c r="DH21" s="228">
        <v>0.1</v>
      </c>
      <c r="DI21" s="228">
        <v>21.49</v>
      </c>
      <c r="DJ21" s="228">
        <v>22.36</v>
      </c>
      <c r="DK21" s="228">
        <v>-0.87</v>
      </c>
      <c r="DL21" s="228">
        <v>-0.87</v>
      </c>
      <c r="DM21" s="228">
        <v>23.05</v>
      </c>
      <c r="DN21" s="228">
        <v>22.54</v>
      </c>
      <c r="DO21" s="228">
        <v>0.51</v>
      </c>
      <c r="DP21" s="228">
        <v>0.51</v>
      </c>
      <c r="DQ21" s="228">
        <v>0.82</v>
      </c>
      <c r="DR21" s="228">
        <v>0.74</v>
      </c>
      <c r="DS21" s="228">
        <v>0.08</v>
      </c>
      <c r="DT21" s="229">
        <v>0.1081</v>
      </c>
      <c r="DU21" s="231">
        <v>10000</v>
      </c>
      <c r="DV21" s="231">
        <v>9000</v>
      </c>
      <c r="DW21" s="228">
        <v>0.37</v>
      </c>
      <c r="DX21" s="228">
        <v>0.35</v>
      </c>
      <c r="DY21" s="228">
        <v>0.02</v>
      </c>
      <c r="DZ21" s="229">
        <v>5.7099999999999998E-2</v>
      </c>
      <c r="EA21" s="229">
        <v>1.43E-2</v>
      </c>
      <c r="EB21" s="230">
        <v>39300</v>
      </c>
      <c r="EC21" s="229">
        <v>4.1999999999999997E-3</v>
      </c>
      <c r="ED21" s="229">
        <v>1.43E-2</v>
      </c>
      <c r="EE21" s="228">
        <v>40.11</v>
      </c>
      <c r="EF21" s="229">
        <v>4.1999999999999997E-3</v>
      </c>
      <c r="EG21" s="230">
        <v>154821</v>
      </c>
      <c r="EH21" s="230">
        <v>162456</v>
      </c>
      <c r="EI21" s="229">
        <v>-4.7E-2</v>
      </c>
      <c r="EJ21" s="229">
        <v>0.4627</v>
      </c>
      <c r="EK21" s="231">
        <v>4498.7700000000004</v>
      </c>
      <c r="EL21" s="231">
        <v>1554.96</v>
      </c>
      <c r="EM21" s="228">
        <v>620.74</v>
      </c>
      <c r="EN21" s="228">
        <v>194.51</v>
      </c>
      <c r="EO21" s="231">
        <v>6674.47</v>
      </c>
      <c r="EP21" s="231">
        <v>5153.9399999999996</v>
      </c>
      <c r="EQ21" s="231">
        <v>1520.53</v>
      </c>
      <c r="ER21" s="229">
        <v>0.29499999999999998</v>
      </c>
      <c r="ES21" s="231">
        <v>1054.1099999999999</v>
      </c>
      <c r="ET21" s="228">
        <v>799.09</v>
      </c>
      <c r="EU21" s="231">
        <v>3013.24</v>
      </c>
      <c r="EV21" s="231">
        <v>15906526</v>
      </c>
      <c r="EW21" s="231">
        <v>4866.45</v>
      </c>
      <c r="EX21" s="231">
        <v>4322.87</v>
      </c>
      <c r="EY21" s="228">
        <v>543.58000000000004</v>
      </c>
      <c r="EZ21" s="229">
        <v>0.12570000000000001</v>
      </c>
      <c r="FA21" s="229">
        <v>0.32079999999999997</v>
      </c>
      <c r="FB21" s="227" t="s">
        <v>555</v>
      </c>
      <c r="FC21">
        <f t="shared" si="0"/>
        <v>43</v>
      </c>
    </row>
    <row r="22" spans="1:159" ht="17.25" thickBot="1" x14ac:dyDescent="0.3">
      <c r="A22" s="226">
        <v>46023</v>
      </c>
      <c r="B22" s="227" t="s">
        <v>175</v>
      </c>
      <c r="C22" s="227" t="s">
        <v>176</v>
      </c>
      <c r="D22" s="228">
        <v>250</v>
      </c>
      <c r="E22" s="228">
        <v>26</v>
      </c>
      <c r="F22" s="231">
        <v>2044.6</v>
      </c>
      <c r="G22" s="231">
        <v>2047</v>
      </c>
      <c r="H22" s="228">
        <v>-2.4</v>
      </c>
      <c r="I22" s="229">
        <v>-1.1999999999999999E-3</v>
      </c>
      <c r="J22" s="231">
        <v>2037</v>
      </c>
      <c r="K22" s="231">
        <v>2039.9</v>
      </c>
      <c r="L22" s="228">
        <v>-2.9</v>
      </c>
      <c r="M22" s="229">
        <v>-1.4E-3</v>
      </c>
      <c r="N22" s="231">
        <v>2044.6</v>
      </c>
      <c r="O22" s="231">
        <v>2047</v>
      </c>
      <c r="P22" s="228">
        <v>-2.4</v>
      </c>
      <c r="Q22" s="229">
        <v>-1.1999999999999999E-3</v>
      </c>
      <c r="R22" s="231">
        <v>2056.1999999999998</v>
      </c>
      <c r="S22" s="231">
        <v>2058.9</v>
      </c>
      <c r="T22" s="228">
        <v>-2.7</v>
      </c>
      <c r="U22" s="229">
        <v>-1.2999999999999999E-3</v>
      </c>
      <c r="V22" s="231">
        <v>2070.4</v>
      </c>
      <c r="W22" s="231">
        <v>2073.5</v>
      </c>
      <c r="X22" s="228">
        <v>-3.1</v>
      </c>
      <c r="Y22" s="229">
        <v>-1.5E-3</v>
      </c>
      <c r="Z22" s="228">
        <v>7.6</v>
      </c>
      <c r="AA22" s="228">
        <v>7.1</v>
      </c>
      <c r="AB22" s="228">
        <v>0.5</v>
      </c>
      <c r="AC22" s="229">
        <v>3.7000000000000002E-3</v>
      </c>
      <c r="AD22" s="228">
        <v>7.6</v>
      </c>
      <c r="AE22" s="228">
        <v>7.1</v>
      </c>
      <c r="AF22" s="228">
        <v>0.5</v>
      </c>
      <c r="AG22" s="229">
        <v>3.7000000000000002E-3</v>
      </c>
      <c r="AH22" s="228">
        <v>19.2</v>
      </c>
      <c r="AI22" s="228">
        <v>19</v>
      </c>
      <c r="AJ22" s="228">
        <v>0.2</v>
      </c>
      <c r="AK22" s="229">
        <v>9.4000000000000004E-3</v>
      </c>
      <c r="AL22" s="228">
        <v>33.4</v>
      </c>
      <c r="AM22" s="228">
        <v>33.6</v>
      </c>
      <c r="AN22" s="228">
        <v>-0.2</v>
      </c>
      <c r="AO22" s="229">
        <v>1.6400000000000001E-2</v>
      </c>
      <c r="AP22" s="231">
        <v>2043.57</v>
      </c>
      <c r="AQ22" s="231">
        <v>2056</v>
      </c>
      <c r="AR22" s="228">
        <v>0</v>
      </c>
      <c r="AS22" s="228">
        <v>117</v>
      </c>
      <c r="AT22" s="228">
        <v>273</v>
      </c>
      <c r="AU22" s="228">
        <v>-156</v>
      </c>
      <c r="AV22" s="229">
        <v>-0.57040000000000002</v>
      </c>
      <c r="AW22" s="228">
        <v>112</v>
      </c>
      <c r="AX22" s="228">
        <v>259</v>
      </c>
      <c r="AY22" s="228">
        <v>-147</v>
      </c>
      <c r="AZ22" s="229">
        <v>-0.56710000000000005</v>
      </c>
      <c r="BA22" s="228">
        <v>4</v>
      </c>
      <c r="BB22" s="228">
        <v>13</v>
      </c>
      <c r="BC22" s="228">
        <v>-9</v>
      </c>
      <c r="BD22" s="229">
        <v>-0.71150000000000002</v>
      </c>
      <c r="BE22" s="228">
        <v>1</v>
      </c>
      <c r="BF22" s="228">
        <v>1</v>
      </c>
      <c r="BG22" s="228">
        <v>0</v>
      </c>
      <c r="BH22" s="229">
        <v>0.33329999999999999</v>
      </c>
      <c r="BI22" s="228">
        <v>377</v>
      </c>
      <c r="BJ22" s="228">
        <v>802</v>
      </c>
      <c r="BK22" s="228">
        <v>-424</v>
      </c>
      <c r="BL22" s="229">
        <v>-0.52939999999999998</v>
      </c>
      <c r="BM22" s="228">
        <v>216</v>
      </c>
      <c r="BN22" s="228">
        <v>398</v>
      </c>
      <c r="BO22" s="228">
        <v>-182</v>
      </c>
      <c r="BP22" s="229">
        <v>-0.45789999999999997</v>
      </c>
      <c r="BQ22" s="228">
        <v>711</v>
      </c>
      <c r="BR22" s="230">
        <v>1473</v>
      </c>
      <c r="BS22" s="228">
        <v>-763</v>
      </c>
      <c r="BT22" s="229">
        <v>-0.51759999999999995</v>
      </c>
      <c r="BU22" s="230">
        <v>280381</v>
      </c>
      <c r="BV22" s="230">
        <v>1411107</v>
      </c>
      <c r="BW22" s="230">
        <v>-1130726</v>
      </c>
      <c r="BX22" s="229">
        <v>-0.80130000000000001</v>
      </c>
      <c r="BY22" s="230">
        <v>3656</v>
      </c>
      <c r="BZ22" s="230">
        <v>3667</v>
      </c>
      <c r="CA22" s="228">
        <v>-11</v>
      </c>
      <c r="CB22" s="229">
        <v>-2.8999999999999998E-3</v>
      </c>
      <c r="CC22" s="230">
        <v>3612</v>
      </c>
      <c r="CD22" s="230">
        <v>3625</v>
      </c>
      <c r="CE22" s="228">
        <v>-13</v>
      </c>
      <c r="CF22" s="229">
        <v>-3.5000000000000001E-3</v>
      </c>
      <c r="CG22" s="228">
        <v>42</v>
      </c>
      <c r="CH22" s="228">
        <v>41</v>
      </c>
      <c r="CI22" s="228">
        <v>1</v>
      </c>
      <c r="CJ22" s="229">
        <v>1.61E-2</v>
      </c>
      <c r="CK22" s="228">
        <v>2</v>
      </c>
      <c r="CL22" s="228">
        <v>1</v>
      </c>
      <c r="CM22" s="228">
        <v>1</v>
      </c>
      <c r="CN22" s="229">
        <v>2.0769000000000002</v>
      </c>
      <c r="CO22" s="228">
        <v>601</v>
      </c>
      <c r="CP22" s="228">
        <v>517</v>
      </c>
      <c r="CQ22" s="228">
        <v>84</v>
      </c>
      <c r="CR22" s="229">
        <v>0.16239999999999999</v>
      </c>
      <c r="CS22" s="228">
        <v>520</v>
      </c>
      <c r="CT22" s="228">
        <v>477</v>
      </c>
      <c r="CU22" s="228">
        <v>43</v>
      </c>
      <c r="CV22" s="229">
        <v>9.0899999999999995E-2</v>
      </c>
      <c r="CW22" s="230">
        <v>4777</v>
      </c>
      <c r="CX22" s="230">
        <v>4660</v>
      </c>
      <c r="CY22" s="228">
        <v>117</v>
      </c>
      <c r="CZ22" s="229">
        <v>2.5000000000000001E-2</v>
      </c>
      <c r="DA22" s="228">
        <v>20.16</v>
      </c>
      <c r="DB22" s="228">
        <v>20.13</v>
      </c>
      <c r="DC22" s="228">
        <v>0.03</v>
      </c>
      <c r="DD22" s="228">
        <v>0.03</v>
      </c>
      <c r="DE22" s="228">
        <v>28.13</v>
      </c>
      <c r="DF22" s="228">
        <v>28.2</v>
      </c>
      <c r="DG22" s="228">
        <v>-7.97</v>
      </c>
      <c r="DH22" s="228">
        <v>-7.0000000000000007E-2</v>
      </c>
      <c r="DI22" s="228">
        <v>19.68</v>
      </c>
      <c r="DJ22" s="228">
        <v>19.8</v>
      </c>
      <c r="DK22" s="228">
        <v>-0.12</v>
      </c>
      <c r="DL22" s="228">
        <v>-0.12</v>
      </c>
      <c r="DM22" s="228">
        <v>21.01</v>
      </c>
      <c r="DN22" s="228">
        <v>20.78</v>
      </c>
      <c r="DO22" s="228">
        <v>0.23</v>
      </c>
      <c r="DP22" s="228">
        <v>0.23</v>
      </c>
      <c r="DQ22" s="228">
        <v>0.87</v>
      </c>
      <c r="DR22" s="228">
        <v>0.92</v>
      </c>
      <c r="DS22" s="228">
        <v>-0.05</v>
      </c>
      <c r="DT22" s="229">
        <v>-5.4300000000000001E-2</v>
      </c>
      <c r="DU22" s="231">
        <v>2100</v>
      </c>
      <c r="DV22" s="231">
        <v>1900</v>
      </c>
      <c r="DW22" s="228">
        <v>0.56999999999999995</v>
      </c>
      <c r="DX22" s="228">
        <v>0.5</v>
      </c>
      <c r="DY22" s="228">
        <v>7.0000000000000007E-2</v>
      </c>
      <c r="DZ22" s="229">
        <v>0.14000000000000001</v>
      </c>
      <c r="EA22" s="229">
        <v>1.2E-2</v>
      </c>
      <c r="EB22" s="230">
        <v>205000</v>
      </c>
      <c r="EC22" s="229">
        <v>5.7000000000000002E-3</v>
      </c>
      <c r="ED22" s="229">
        <v>1.2E-2</v>
      </c>
      <c r="EE22" s="228">
        <v>12.43</v>
      </c>
      <c r="EF22" s="229">
        <v>6.1000000000000004E-3</v>
      </c>
      <c r="EG22" s="230">
        <v>160187</v>
      </c>
      <c r="EH22" s="230">
        <v>920581</v>
      </c>
      <c r="EI22" s="229">
        <v>-0.82599999999999996</v>
      </c>
      <c r="EJ22" s="229">
        <v>0.57130000000000003</v>
      </c>
      <c r="EK22" s="228">
        <v>395.92</v>
      </c>
      <c r="EL22" s="228">
        <v>207.93</v>
      </c>
      <c r="EM22" s="228">
        <v>117.39</v>
      </c>
      <c r="EN22" s="228">
        <v>294.32</v>
      </c>
      <c r="EO22" s="228">
        <v>721.24</v>
      </c>
      <c r="EP22" s="231">
        <v>1492.03</v>
      </c>
      <c r="EQ22" s="228">
        <v>-770.79</v>
      </c>
      <c r="ER22" s="229">
        <v>-0.51659999999999995</v>
      </c>
      <c r="ES22" s="228">
        <v>618.13</v>
      </c>
      <c r="ET22" s="228">
        <v>503.58</v>
      </c>
      <c r="EU22" s="231">
        <v>3656.32</v>
      </c>
      <c r="EV22" s="231">
        <v>65701623</v>
      </c>
      <c r="EW22" s="231">
        <v>4778.0200000000004</v>
      </c>
      <c r="EX22" s="231">
        <v>4662.83</v>
      </c>
      <c r="EY22" s="228">
        <v>115.19</v>
      </c>
      <c r="EZ22" s="229">
        <v>2.47E-2</v>
      </c>
      <c r="FA22" s="229">
        <v>0.35560000000000003</v>
      </c>
      <c r="FB22" s="227" t="s">
        <v>568</v>
      </c>
      <c r="FC22">
        <f t="shared" si="0"/>
        <v>44</v>
      </c>
    </row>
    <row r="23" spans="1:159" ht="17.25" thickBot="1" x14ac:dyDescent="0.3">
      <c r="A23" s="226">
        <v>46023</v>
      </c>
      <c r="B23" s="227" t="s">
        <v>694</v>
      </c>
      <c r="C23" s="227" t="s">
        <v>691</v>
      </c>
      <c r="D23" s="228">
        <v>50</v>
      </c>
      <c r="E23" s="228">
        <v>26</v>
      </c>
      <c r="F23" s="231">
        <v>11420</v>
      </c>
      <c r="G23" s="231">
        <v>11397</v>
      </c>
      <c r="H23" s="228">
        <v>23</v>
      </c>
      <c r="I23" s="229">
        <v>2E-3</v>
      </c>
      <c r="J23" s="231">
        <v>11342</v>
      </c>
      <c r="K23" s="231">
        <v>11328</v>
      </c>
      <c r="L23" s="228">
        <v>14</v>
      </c>
      <c r="M23" s="229">
        <v>1.1999999999999999E-3</v>
      </c>
      <c r="N23" s="231">
        <v>11420</v>
      </c>
      <c r="O23" s="231">
        <v>11397</v>
      </c>
      <c r="P23" s="228">
        <v>23</v>
      </c>
      <c r="Q23" s="229">
        <v>2E-3</v>
      </c>
      <c r="R23" s="231">
        <v>11480</v>
      </c>
      <c r="S23" s="231">
        <v>11469</v>
      </c>
      <c r="T23" s="228">
        <v>11</v>
      </c>
      <c r="U23" s="229">
        <v>1E-3</v>
      </c>
      <c r="V23" s="228">
        <v>0</v>
      </c>
      <c r="W23" s="231">
        <v>11500</v>
      </c>
      <c r="X23" s="228">
        <v>0</v>
      </c>
      <c r="Y23" s="229">
        <v>0</v>
      </c>
      <c r="Z23" s="228">
        <v>78</v>
      </c>
      <c r="AA23" s="228">
        <v>69</v>
      </c>
      <c r="AB23" s="228">
        <v>9</v>
      </c>
      <c r="AC23" s="229">
        <v>6.8999999999999999E-3</v>
      </c>
      <c r="AD23" s="228">
        <v>78</v>
      </c>
      <c r="AE23" s="228">
        <v>69</v>
      </c>
      <c r="AF23" s="228">
        <v>9</v>
      </c>
      <c r="AG23" s="229">
        <v>6.8999999999999999E-3</v>
      </c>
      <c r="AH23" s="228">
        <v>138</v>
      </c>
      <c r="AI23" s="228">
        <v>141</v>
      </c>
      <c r="AJ23" s="228">
        <v>-3</v>
      </c>
      <c r="AK23" s="229">
        <v>1.2200000000000001E-2</v>
      </c>
      <c r="AL23" s="228">
        <v>0</v>
      </c>
      <c r="AM23" s="228">
        <v>172</v>
      </c>
      <c r="AN23" s="228">
        <v>0</v>
      </c>
      <c r="AO23" s="229">
        <v>0</v>
      </c>
      <c r="AP23" s="231">
        <v>11373.53</v>
      </c>
      <c r="AQ23" s="231">
        <v>11436</v>
      </c>
      <c r="AR23" s="228">
        <v>0</v>
      </c>
      <c r="AS23" s="228">
        <v>35</v>
      </c>
      <c r="AT23" s="228">
        <v>93</v>
      </c>
      <c r="AU23" s="228">
        <v>-58</v>
      </c>
      <c r="AV23" s="229">
        <v>-0.62419999999999998</v>
      </c>
      <c r="AW23" s="228">
        <v>35</v>
      </c>
      <c r="AX23" s="228">
        <v>92</v>
      </c>
      <c r="AY23" s="228">
        <v>-58</v>
      </c>
      <c r="AZ23" s="229">
        <v>-0.62570000000000003</v>
      </c>
      <c r="BA23" s="228">
        <v>0</v>
      </c>
      <c r="BB23" s="228">
        <v>0</v>
      </c>
      <c r="BC23" s="228">
        <v>0</v>
      </c>
      <c r="BD23" s="229">
        <v>0</v>
      </c>
      <c r="BE23" s="228">
        <v>0</v>
      </c>
      <c r="BF23" s="228">
        <v>0</v>
      </c>
      <c r="BG23" s="228">
        <v>0</v>
      </c>
      <c r="BH23" s="229">
        <v>0</v>
      </c>
      <c r="BI23" s="228">
        <v>69</v>
      </c>
      <c r="BJ23" s="228">
        <v>183</v>
      </c>
      <c r="BK23" s="228">
        <v>-114</v>
      </c>
      <c r="BL23" s="229">
        <v>-0.62160000000000004</v>
      </c>
      <c r="BM23" s="228">
        <v>13</v>
      </c>
      <c r="BN23" s="228">
        <v>11</v>
      </c>
      <c r="BO23" s="228">
        <v>2</v>
      </c>
      <c r="BP23" s="229">
        <v>0.1804</v>
      </c>
      <c r="BQ23" s="228">
        <v>117</v>
      </c>
      <c r="BR23" s="228">
        <v>287</v>
      </c>
      <c r="BS23" s="228">
        <v>-170</v>
      </c>
      <c r="BT23" s="229">
        <v>-0.59150000000000003</v>
      </c>
      <c r="BU23" s="230">
        <v>39153</v>
      </c>
      <c r="BV23" s="230">
        <v>141755</v>
      </c>
      <c r="BW23" s="230">
        <v>-102602</v>
      </c>
      <c r="BX23" s="229">
        <v>-0.7238</v>
      </c>
      <c r="BY23" s="228">
        <v>70</v>
      </c>
      <c r="BZ23" s="228">
        <v>60</v>
      </c>
      <c r="CA23" s="228">
        <v>10</v>
      </c>
      <c r="CB23" s="229">
        <v>0.16700000000000001</v>
      </c>
      <c r="CC23" s="228">
        <v>69</v>
      </c>
      <c r="CD23" s="228">
        <v>60</v>
      </c>
      <c r="CE23" s="228">
        <v>10</v>
      </c>
      <c r="CF23" s="229">
        <v>0.1648</v>
      </c>
      <c r="CG23" s="228">
        <v>0</v>
      </c>
      <c r="CH23" s="228">
        <v>0</v>
      </c>
      <c r="CI23" s="228">
        <v>0</v>
      </c>
      <c r="CJ23" s="229">
        <v>0.75</v>
      </c>
      <c r="CK23" s="228">
        <v>0</v>
      </c>
      <c r="CL23" s="228">
        <v>0</v>
      </c>
      <c r="CM23" s="228">
        <v>0</v>
      </c>
      <c r="CN23" s="229">
        <v>0</v>
      </c>
      <c r="CO23" s="228">
        <v>45</v>
      </c>
      <c r="CP23" s="228">
        <v>34</v>
      </c>
      <c r="CQ23" s="228">
        <v>12</v>
      </c>
      <c r="CR23" s="229">
        <v>0.3543</v>
      </c>
      <c r="CS23" s="228">
        <v>11</v>
      </c>
      <c r="CT23" s="228">
        <v>5</v>
      </c>
      <c r="CU23" s="228">
        <v>6</v>
      </c>
      <c r="CV23" s="229">
        <v>1.2674000000000001</v>
      </c>
      <c r="CW23" s="228">
        <v>126</v>
      </c>
      <c r="CX23" s="228">
        <v>98</v>
      </c>
      <c r="CY23" s="228">
        <v>28</v>
      </c>
      <c r="CZ23" s="229">
        <v>0.28589999999999999</v>
      </c>
      <c r="DA23" s="228">
        <v>26.8</v>
      </c>
      <c r="DB23" s="228">
        <v>27.7</v>
      </c>
      <c r="DC23" s="228">
        <v>-0.9</v>
      </c>
      <c r="DD23" s="228">
        <v>-0.9</v>
      </c>
      <c r="DE23" s="228">
        <v>39.44</v>
      </c>
      <c r="DF23" s="228">
        <v>39.54</v>
      </c>
      <c r="DG23" s="228">
        <v>-12.64</v>
      </c>
      <c r="DH23" s="228">
        <v>-0.1</v>
      </c>
      <c r="DI23" s="228">
        <v>26.7</v>
      </c>
      <c r="DJ23" s="228">
        <v>27.7</v>
      </c>
      <c r="DK23" s="228">
        <v>-1</v>
      </c>
      <c r="DL23" s="228">
        <v>-1</v>
      </c>
      <c r="DM23" s="228">
        <v>27.33</v>
      </c>
      <c r="DN23" s="228">
        <v>27.66</v>
      </c>
      <c r="DO23" s="228">
        <v>-0.33</v>
      </c>
      <c r="DP23" s="228">
        <v>-0.33</v>
      </c>
      <c r="DQ23" s="228">
        <v>0.25</v>
      </c>
      <c r="DR23" s="228">
        <v>0.15</v>
      </c>
      <c r="DS23" s="228">
        <v>0.1</v>
      </c>
      <c r="DT23" s="229">
        <v>0.66669999999999996</v>
      </c>
      <c r="DU23" s="231">
        <v>11500</v>
      </c>
      <c r="DV23" s="231">
        <v>11000</v>
      </c>
      <c r="DW23" s="228">
        <v>0.19</v>
      </c>
      <c r="DX23" s="228">
        <v>0.06</v>
      </c>
      <c r="DY23" s="228">
        <v>0.13</v>
      </c>
      <c r="DZ23" s="229">
        <v>2.1667000000000001</v>
      </c>
      <c r="EA23" s="229">
        <v>5.7000000000000002E-3</v>
      </c>
      <c r="EB23" s="228">
        <v>200</v>
      </c>
      <c r="EC23" s="229">
        <v>5.3E-3</v>
      </c>
      <c r="ED23" s="229">
        <v>5.7000000000000002E-3</v>
      </c>
      <c r="EE23" s="228">
        <v>62.47</v>
      </c>
      <c r="EF23" s="229">
        <v>5.4999999999999997E-3</v>
      </c>
      <c r="EG23" s="230">
        <v>15029</v>
      </c>
      <c r="EH23" s="230">
        <v>65448</v>
      </c>
      <c r="EI23" s="229">
        <v>-0.77039999999999997</v>
      </c>
      <c r="EJ23" s="229">
        <v>0.38390000000000002</v>
      </c>
      <c r="EK23" s="228">
        <v>72.09</v>
      </c>
      <c r="EL23" s="228">
        <v>12.89</v>
      </c>
      <c r="EM23" s="228">
        <v>34.75</v>
      </c>
      <c r="EN23" s="228">
        <v>16.260000000000002</v>
      </c>
      <c r="EO23" s="228">
        <v>119.72</v>
      </c>
      <c r="EP23" s="228">
        <v>294.93</v>
      </c>
      <c r="EQ23" s="228">
        <v>-175.21</v>
      </c>
      <c r="ER23" s="229">
        <v>-0.59409999999999996</v>
      </c>
      <c r="ES23" s="228">
        <v>46.27</v>
      </c>
      <c r="ET23" s="228">
        <v>10.7</v>
      </c>
      <c r="EU23" s="228">
        <v>69.84</v>
      </c>
      <c r="EV23" s="231">
        <v>5401993</v>
      </c>
      <c r="EW23" s="228">
        <v>126.8</v>
      </c>
      <c r="EX23" s="228">
        <v>98.65</v>
      </c>
      <c r="EY23" s="228">
        <v>28.15</v>
      </c>
      <c r="EZ23" s="229">
        <v>0.28539999999999999</v>
      </c>
      <c r="FA23" s="229">
        <v>2.0500000000000001E-2</v>
      </c>
      <c r="FB23" s="227" t="s">
        <v>555</v>
      </c>
      <c r="FC23">
        <f t="shared" si="0"/>
        <v>1</v>
      </c>
    </row>
    <row r="24" spans="1:159" ht="17.25" thickBot="1" x14ac:dyDescent="0.3">
      <c r="A24" s="226">
        <v>46023</v>
      </c>
      <c r="B24" s="227" t="s">
        <v>175</v>
      </c>
      <c r="C24" s="227" t="s">
        <v>177</v>
      </c>
      <c r="D24" s="228">
        <v>750</v>
      </c>
      <c r="E24" s="228">
        <v>26</v>
      </c>
      <c r="F24" s="228">
        <v>979.9</v>
      </c>
      <c r="G24" s="228">
        <v>993.1</v>
      </c>
      <c r="H24" s="228">
        <v>-13.2</v>
      </c>
      <c r="I24" s="229">
        <v>-1.3299999999999999E-2</v>
      </c>
      <c r="J24" s="228">
        <v>973.1</v>
      </c>
      <c r="K24" s="228">
        <v>986.8</v>
      </c>
      <c r="L24" s="228">
        <v>-13.7</v>
      </c>
      <c r="M24" s="229">
        <v>-1.3899999999999999E-2</v>
      </c>
      <c r="N24" s="228">
        <v>979.9</v>
      </c>
      <c r="O24" s="228">
        <v>993.1</v>
      </c>
      <c r="P24" s="228">
        <v>-13.2</v>
      </c>
      <c r="Q24" s="229">
        <v>-1.3299999999999999E-2</v>
      </c>
      <c r="R24" s="228">
        <v>985.75</v>
      </c>
      <c r="S24" s="228">
        <v>998.7</v>
      </c>
      <c r="T24" s="228">
        <v>-12.95</v>
      </c>
      <c r="U24" s="229">
        <v>-1.2999999999999999E-2</v>
      </c>
      <c r="V24" s="228">
        <v>991.5</v>
      </c>
      <c r="W24" s="231">
        <v>1005</v>
      </c>
      <c r="X24" s="228">
        <v>-13.5</v>
      </c>
      <c r="Y24" s="229">
        <v>-1.34E-2</v>
      </c>
      <c r="Z24" s="228">
        <v>6.8</v>
      </c>
      <c r="AA24" s="228">
        <v>6.3</v>
      </c>
      <c r="AB24" s="228">
        <v>0.5</v>
      </c>
      <c r="AC24" s="229">
        <v>7.0000000000000001E-3</v>
      </c>
      <c r="AD24" s="228">
        <v>6.8</v>
      </c>
      <c r="AE24" s="228">
        <v>6.3</v>
      </c>
      <c r="AF24" s="228">
        <v>0.5</v>
      </c>
      <c r="AG24" s="229">
        <v>7.0000000000000001E-3</v>
      </c>
      <c r="AH24" s="228">
        <v>12.65</v>
      </c>
      <c r="AI24" s="228">
        <v>11.9</v>
      </c>
      <c r="AJ24" s="228">
        <v>0.75</v>
      </c>
      <c r="AK24" s="229">
        <v>1.2999999999999999E-2</v>
      </c>
      <c r="AL24" s="228">
        <v>18.399999999999999</v>
      </c>
      <c r="AM24" s="228">
        <v>18.2</v>
      </c>
      <c r="AN24" s="228">
        <v>0.2</v>
      </c>
      <c r="AO24" s="229">
        <v>1.89E-2</v>
      </c>
      <c r="AP24" s="228">
        <v>981.83</v>
      </c>
      <c r="AQ24" s="228">
        <v>987.43</v>
      </c>
      <c r="AR24" s="228">
        <v>0</v>
      </c>
      <c r="AS24" s="228">
        <v>879</v>
      </c>
      <c r="AT24" s="230">
        <v>1060</v>
      </c>
      <c r="AU24" s="228">
        <v>-181</v>
      </c>
      <c r="AV24" s="229">
        <v>-0.1706</v>
      </c>
      <c r="AW24" s="228">
        <v>831</v>
      </c>
      <c r="AX24" s="230">
        <v>1007</v>
      </c>
      <c r="AY24" s="228">
        <v>-176</v>
      </c>
      <c r="AZ24" s="229">
        <v>-0.1744</v>
      </c>
      <c r="BA24" s="228">
        <v>37</v>
      </c>
      <c r="BB24" s="228">
        <v>47</v>
      </c>
      <c r="BC24" s="228">
        <v>-10</v>
      </c>
      <c r="BD24" s="229">
        <v>-0.2109</v>
      </c>
      <c r="BE24" s="228">
        <v>11</v>
      </c>
      <c r="BF24" s="228">
        <v>6</v>
      </c>
      <c r="BG24" s="228">
        <v>5</v>
      </c>
      <c r="BH24" s="229">
        <v>0.75290000000000001</v>
      </c>
      <c r="BI24" s="230">
        <v>1800</v>
      </c>
      <c r="BJ24" s="230">
        <v>2826</v>
      </c>
      <c r="BK24" s="230">
        <v>-1026</v>
      </c>
      <c r="BL24" s="229">
        <v>-0.3629</v>
      </c>
      <c r="BM24" s="230">
        <v>1021</v>
      </c>
      <c r="BN24" s="230">
        <v>1360</v>
      </c>
      <c r="BO24" s="228">
        <v>-339</v>
      </c>
      <c r="BP24" s="229">
        <v>-0.24929999999999999</v>
      </c>
      <c r="BQ24" s="230">
        <v>3701</v>
      </c>
      <c r="BR24" s="230">
        <v>5246</v>
      </c>
      <c r="BS24" s="230">
        <v>-1546</v>
      </c>
      <c r="BT24" s="229">
        <v>-0.29459999999999997</v>
      </c>
      <c r="BU24" s="230">
        <v>7493261</v>
      </c>
      <c r="BV24" s="230">
        <v>10337005</v>
      </c>
      <c r="BW24" s="230">
        <v>-2843744</v>
      </c>
      <c r="BX24" s="229">
        <v>-0.27510000000000001</v>
      </c>
      <c r="BY24" s="230">
        <v>9188</v>
      </c>
      <c r="BZ24" s="230">
        <v>8996</v>
      </c>
      <c r="CA24" s="228">
        <v>192</v>
      </c>
      <c r="CB24" s="229">
        <v>2.1399999999999999E-2</v>
      </c>
      <c r="CC24" s="230">
        <v>9040</v>
      </c>
      <c r="CD24" s="230">
        <v>8866</v>
      </c>
      <c r="CE24" s="228">
        <v>174</v>
      </c>
      <c r="CF24" s="229">
        <v>1.9599999999999999E-2</v>
      </c>
      <c r="CG24" s="228">
        <v>136</v>
      </c>
      <c r="CH24" s="228">
        <v>126</v>
      </c>
      <c r="CI24" s="228">
        <v>10</v>
      </c>
      <c r="CJ24" s="229">
        <v>7.7399999999999997E-2</v>
      </c>
      <c r="CK24" s="228">
        <v>12</v>
      </c>
      <c r="CL24" s="228">
        <v>4</v>
      </c>
      <c r="CM24" s="228">
        <v>8</v>
      </c>
      <c r="CN24" s="229">
        <v>2.375</v>
      </c>
      <c r="CO24" s="230">
        <v>2289</v>
      </c>
      <c r="CP24" s="230">
        <v>1878</v>
      </c>
      <c r="CQ24" s="228">
        <v>411</v>
      </c>
      <c r="CR24" s="229">
        <v>0.21909999999999999</v>
      </c>
      <c r="CS24" s="230">
        <v>1621</v>
      </c>
      <c r="CT24" s="230">
        <v>1388</v>
      </c>
      <c r="CU24" s="228">
        <v>233</v>
      </c>
      <c r="CV24" s="229">
        <v>0.16830000000000001</v>
      </c>
      <c r="CW24" s="230">
        <v>13099</v>
      </c>
      <c r="CX24" s="230">
        <v>12262</v>
      </c>
      <c r="CY24" s="228">
        <v>837</v>
      </c>
      <c r="CZ24" s="229">
        <v>6.83E-2</v>
      </c>
      <c r="DA24" s="228">
        <v>24.9</v>
      </c>
      <c r="DB24" s="228">
        <v>24.82</v>
      </c>
      <c r="DC24" s="228">
        <v>0.08</v>
      </c>
      <c r="DD24" s="228">
        <v>0.08</v>
      </c>
      <c r="DE24" s="228">
        <v>30.96</v>
      </c>
      <c r="DF24" s="228">
        <v>30.98</v>
      </c>
      <c r="DG24" s="228">
        <v>-6.06</v>
      </c>
      <c r="DH24" s="228">
        <v>-0.02</v>
      </c>
      <c r="DI24" s="228">
        <v>24.98</v>
      </c>
      <c r="DJ24" s="228">
        <v>24.77</v>
      </c>
      <c r="DK24" s="228">
        <v>0.21</v>
      </c>
      <c r="DL24" s="228">
        <v>0.21</v>
      </c>
      <c r="DM24" s="228">
        <v>24.78</v>
      </c>
      <c r="DN24" s="228">
        <v>24.92</v>
      </c>
      <c r="DO24" s="228">
        <v>-0.14000000000000001</v>
      </c>
      <c r="DP24" s="228">
        <v>-0.14000000000000001</v>
      </c>
      <c r="DQ24" s="228">
        <v>0.71</v>
      </c>
      <c r="DR24" s="228">
        <v>0.74</v>
      </c>
      <c r="DS24" s="228">
        <v>-0.03</v>
      </c>
      <c r="DT24" s="229">
        <v>-4.0500000000000001E-2</v>
      </c>
      <c r="DU24" s="231">
        <v>1000</v>
      </c>
      <c r="DV24" s="231">
        <v>1000</v>
      </c>
      <c r="DW24" s="228">
        <v>0.56999999999999995</v>
      </c>
      <c r="DX24" s="228">
        <v>0.48</v>
      </c>
      <c r="DY24" s="228">
        <v>0.09</v>
      </c>
      <c r="DZ24" s="229">
        <v>0.1875</v>
      </c>
      <c r="EA24" s="229">
        <v>1.61E-2</v>
      </c>
      <c r="EB24" s="230">
        <v>1325250</v>
      </c>
      <c r="EC24" s="229">
        <v>6.0000000000000001E-3</v>
      </c>
      <c r="ED24" s="229">
        <v>1.61E-2</v>
      </c>
      <c r="EE24" s="228">
        <v>5.6</v>
      </c>
      <c r="EF24" s="229">
        <v>5.7000000000000002E-3</v>
      </c>
      <c r="EG24" s="230">
        <v>4983297</v>
      </c>
      <c r="EH24" s="230">
        <v>7511680</v>
      </c>
      <c r="EI24" s="229">
        <v>-0.33660000000000001</v>
      </c>
      <c r="EJ24" s="229">
        <v>0.66500000000000004</v>
      </c>
      <c r="EK24" s="231">
        <v>1897.83</v>
      </c>
      <c r="EL24" s="231">
        <v>1007.52</v>
      </c>
      <c r="EM24" s="228">
        <v>881.51</v>
      </c>
      <c r="EN24" s="228">
        <v>363.38</v>
      </c>
      <c r="EO24" s="231">
        <v>3786.86</v>
      </c>
      <c r="EP24" s="231">
        <v>5437.04</v>
      </c>
      <c r="EQ24" s="231">
        <v>-1650.18</v>
      </c>
      <c r="ER24" s="229">
        <v>-0.30349999999999999</v>
      </c>
      <c r="ES24" s="231">
        <v>2411.36</v>
      </c>
      <c r="ET24" s="231">
        <v>1627.17</v>
      </c>
      <c r="EU24" s="231">
        <v>9189.2099999999991</v>
      </c>
      <c r="EV24" s="231">
        <v>317526833</v>
      </c>
      <c r="EW24" s="231">
        <v>13227.73</v>
      </c>
      <c r="EX24" s="231">
        <v>12509.69</v>
      </c>
      <c r="EY24" s="228">
        <v>718.04</v>
      </c>
      <c r="EZ24" s="229">
        <v>5.74E-2</v>
      </c>
      <c r="FA24" s="229">
        <v>0.42099999999999999</v>
      </c>
      <c r="FB24" s="227" t="s">
        <v>567</v>
      </c>
      <c r="FC24">
        <f t="shared" si="0"/>
        <v>148</v>
      </c>
    </row>
    <row r="25" spans="1:159" ht="17.25" thickBot="1" x14ac:dyDescent="0.3">
      <c r="A25" s="226">
        <v>46023</v>
      </c>
      <c r="B25" s="227" t="s">
        <v>172</v>
      </c>
      <c r="C25" s="227" t="s">
        <v>179</v>
      </c>
      <c r="D25" s="228">
        <v>3600</v>
      </c>
      <c r="E25" s="228">
        <v>26</v>
      </c>
      <c r="F25" s="228">
        <v>145.15</v>
      </c>
      <c r="G25" s="228">
        <v>146.72999999999999</v>
      </c>
      <c r="H25" s="228">
        <v>-1.58</v>
      </c>
      <c r="I25" s="229">
        <v>-1.0800000000000001E-2</v>
      </c>
      <c r="J25" s="228">
        <v>144.18</v>
      </c>
      <c r="K25" s="228">
        <v>145.82</v>
      </c>
      <c r="L25" s="228">
        <v>-1.64</v>
      </c>
      <c r="M25" s="229">
        <v>-1.12E-2</v>
      </c>
      <c r="N25" s="228">
        <v>145.15</v>
      </c>
      <c r="O25" s="228">
        <v>146.72999999999999</v>
      </c>
      <c r="P25" s="228">
        <v>-1.58</v>
      </c>
      <c r="Q25" s="229">
        <v>-1.0800000000000001E-2</v>
      </c>
      <c r="R25" s="228">
        <v>145.97999999999999</v>
      </c>
      <c r="S25" s="228">
        <v>147.61000000000001</v>
      </c>
      <c r="T25" s="228">
        <v>-1.63</v>
      </c>
      <c r="U25" s="229">
        <v>-1.0999999999999999E-2</v>
      </c>
      <c r="V25" s="228">
        <v>146.94</v>
      </c>
      <c r="W25" s="228">
        <v>148.68</v>
      </c>
      <c r="X25" s="228">
        <v>-1.74</v>
      </c>
      <c r="Y25" s="229">
        <v>-1.17E-2</v>
      </c>
      <c r="Z25" s="228">
        <v>0.97</v>
      </c>
      <c r="AA25" s="228">
        <v>0.91</v>
      </c>
      <c r="AB25" s="228">
        <v>0.06</v>
      </c>
      <c r="AC25" s="229">
        <v>6.7000000000000002E-3</v>
      </c>
      <c r="AD25" s="228">
        <v>0.97</v>
      </c>
      <c r="AE25" s="228">
        <v>0.91</v>
      </c>
      <c r="AF25" s="228">
        <v>0.06</v>
      </c>
      <c r="AG25" s="229">
        <v>6.7000000000000002E-3</v>
      </c>
      <c r="AH25" s="228">
        <v>1.8</v>
      </c>
      <c r="AI25" s="228">
        <v>1.79</v>
      </c>
      <c r="AJ25" s="228">
        <v>0.01</v>
      </c>
      <c r="AK25" s="229">
        <v>1.2500000000000001E-2</v>
      </c>
      <c r="AL25" s="228">
        <v>2.76</v>
      </c>
      <c r="AM25" s="228">
        <v>2.86</v>
      </c>
      <c r="AN25" s="228">
        <v>-0.1</v>
      </c>
      <c r="AO25" s="229">
        <v>1.9099999999999999E-2</v>
      </c>
      <c r="AP25" s="228">
        <v>145.5</v>
      </c>
      <c r="AQ25" s="228">
        <v>146.18</v>
      </c>
      <c r="AR25" s="228">
        <v>0</v>
      </c>
      <c r="AS25" s="228">
        <v>117</v>
      </c>
      <c r="AT25" s="228">
        <v>149</v>
      </c>
      <c r="AU25" s="228">
        <v>-33</v>
      </c>
      <c r="AV25" s="229">
        <v>-0.21809999999999999</v>
      </c>
      <c r="AW25" s="228">
        <v>103</v>
      </c>
      <c r="AX25" s="228">
        <v>128</v>
      </c>
      <c r="AY25" s="228">
        <v>-25</v>
      </c>
      <c r="AZ25" s="229">
        <v>-0.19850000000000001</v>
      </c>
      <c r="BA25" s="228">
        <v>12</v>
      </c>
      <c r="BB25" s="228">
        <v>19</v>
      </c>
      <c r="BC25" s="228">
        <v>-7</v>
      </c>
      <c r="BD25" s="229">
        <v>-0.36620000000000003</v>
      </c>
      <c r="BE25" s="228">
        <v>2</v>
      </c>
      <c r="BF25" s="228">
        <v>2</v>
      </c>
      <c r="BG25" s="228">
        <v>0</v>
      </c>
      <c r="BH25" s="229">
        <v>-0.1053</v>
      </c>
      <c r="BI25" s="228">
        <v>198</v>
      </c>
      <c r="BJ25" s="228">
        <v>215</v>
      </c>
      <c r="BK25" s="228">
        <v>-17</v>
      </c>
      <c r="BL25" s="229">
        <v>-7.9699999999999993E-2</v>
      </c>
      <c r="BM25" s="228">
        <v>83</v>
      </c>
      <c r="BN25" s="228">
        <v>106</v>
      </c>
      <c r="BO25" s="228">
        <v>-23</v>
      </c>
      <c r="BP25" s="229">
        <v>-0.21759999999999999</v>
      </c>
      <c r="BQ25" s="228">
        <v>398</v>
      </c>
      <c r="BR25" s="228">
        <v>470</v>
      </c>
      <c r="BS25" s="228">
        <v>-73</v>
      </c>
      <c r="BT25" s="229">
        <v>-0.1547</v>
      </c>
      <c r="BU25" s="230">
        <v>4407591</v>
      </c>
      <c r="BV25" s="230">
        <v>3895983</v>
      </c>
      <c r="BW25" s="230">
        <v>511608</v>
      </c>
      <c r="BX25" s="229">
        <v>0.1313</v>
      </c>
      <c r="BY25" s="230">
        <v>1737</v>
      </c>
      <c r="BZ25" s="230">
        <v>1720</v>
      </c>
      <c r="CA25" s="228">
        <v>17</v>
      </c>
      <c r="CB25" s="229">
        <v>9.9000000000000008E-3</v>
      </c>
      <c r="CC25" s="230">
        <v>1655</v>
      </c>
      <c r="CD25" s="230">
        <v>1646</v>
      </c>
      <c r="CE25" s="228">
        <v>8</v>
      </c>
      <c r="CF25" s="229">
        <v>5.1000000000000004E-3</v>
      </c>
      <c r="CG25" s="228">
        <v>79</v>
      </c>
      <c r="CH25" s="228">
        <v>72</v>
      </c>
      <c r="CI25" s="228">
        <v>7</v>
      </c>
      <c r="CJ25" s="229">
        <v>9.5200000000000007E-2</v>
      </c>
      <c r="CK25" s="228">
        <v>4</v>
      </c>
      <c r="CL25" s="228">
        <v>2</v>
      </c>
      <c r="CM25" s="228">
        <v>2</v>
      </c>
      <c r="CN25" s="229">
        <v>1.0303</v>
      </c>
      <c r="CO25" s="228">
        <v>337</v>
      </c>
      <c r="CP25" s="228">
        <v>310</v>
      </c>
      <c r="CQ25" s="228">
        <v>27</v>
      </c>
      <c r="CR25" s="229">
        <v>8.8499999999999995E-2</v>
      </c>
      <c r="CS25" s="228">
        <v>360</v>
      </c>
      <c r="CT25" s="228">
        <v>336</v>
      </c>
      <c r="CU25" s="228">
        <v>24</v>
      </c>
      <c r="CV25" s="229">
        <v>7.1400000000000005E-2</v>
      </c>
      <c r="CW25" s="230">
        <v>2434</v>
      </c>
      <c r="CX25" s="230">
        <v>2366</v>
      </c>
      <c r="CY25" s="228">
        <v>68</v>
      </c>
      <c r="CZ25" s="229">
        <v>2.8899999999999999E-2</v>
      </c>
      <c r="DA25" s="228">
        <v>30.28</v>
      </c>
      <c r="DB25" s="228">
        <v>29.89</v>
      </c>
      <c r="DC25" s="228">
        <v>0.39</v>
      </c>
      <c r="DD25" s="228">
        <v>0.39</v>
      </c>
      <c r="DE25" s="228">
        <v>41.52</v>
      </c>
      <c r="DF25" s="228">
        <v>41.6</v>
      </c>
      <c r="DG25" s="228">
        <v>-11.24</v>
      </c>
      <c r="DH25" s="228">
        <v>-0.08</v>
      </c>
      <c r="DI25" s="228">
        <v>30.28</v>
      </c>
      <c r="DJ25" s="228">
        <v>29.65</v>
      </c>
      <c r="DK25" s="228">
        <v>0.63</v>
      </c>
      <c r="DL25" s="228">
        <v>0.63</v>
      </c>
      <c r="DM25" s="228">
        <v>30.28</v>
      </c>
      <c r="DN25" s="228">
        <v>30.36</v>
      </c>
      <c r="DO25" s="228">
        <v>-0.08</v>
      </c>
      <c r="DP25" s="228">
        <v>-0.08</v>
      </c>
      <c r="DQ25" s="228">
        <v>1.07</v>
      </c>
      <c r="DR25" s="228">
        <v>1.08</v>
      </c>
      <c r="DS25" s="228">
        <v>-0.01</v>
      </c>
      <c r="DT25" s="229">
        <v>-9.2999999999999992E-3</v>
      </c>
      <c r="DU25" s="228">
        <v>150</v>
      </c>
      <c r="DV25" s="228">
        <v>150</v>
      </c>
      <c r="DW25" s="228">
        <v>0.42</v>
      </c>
      <c r="DX25" s="228">
        <v>0.49</v>
      </c>
      <c r="DY25" s="228">
        <v>-7.0000000000000007E-2</v>
      </c>
      <c r="DZ25" s="229">
        <v>-0.1429</v>
      </c>
      <c r="EA25" s="229">
        <v>4.7399999999999998E-2</v>
      </c>
      <c r="EB25" s="230">
        <v>5072400</v>
      </c>
      <c r="EC25" s="229">
        <v>5.7000000000000002E-3</v>
      </c>
      <c r="ED25" s="229">
        <v>4.7399999999999998E-2</v>
      </c>
      <c r="EE25" s="228">
        <v>0.68</v>
      </c>
      <c r="EF25" s="229">
        <v>4.7000000000000002E-3</v>
      </c>
      <c r="EG25" s="230">
        <v>1539086</v>
      </c>
      <c r="EH25" s="230">
        <v>1363408</v>
      </c>
      <c r="EI25" s="229">
        <v>0.12889999999999999</v>
      </c>
      <c r="EJ25" s="229">
        <v>0.34920000000000001</v>
      </c>
      <c r="EK25" s="228">
        <v>211.42</v>
      </c>
      <c r="EL25" s="228">
        <v>83.7</v>
      </c>
      <c r="EM25" s="228">
        <v>116.88</v>
      </c>
      <c r="EN25" s="228">
        <v>127.01</v>
      </c>
      <c r="EO25" s="228">
        <v>412</v>
      </c>
      <c r="EP25" s="228">
        <v>487.83</v>
      </c>
      <c r="EQ25" s="228">
        <v>-75.84</v>
      </c>
      <c r="ER25" s="229">
        <v>-0.1555</v>
      </c>
      <c r="ES25" s="228">
        <v>358.21</v>
      </c>
      <c r="ET25" s="228">
        <v>365.82</v>
      </c>
      <c r="EU25" s="231">
        <v>1737.36</v>
      </c>
      <c r="EV25" s="231">
        <v>144289555</v>
      </c>
      <c r="EW25" s="231">
        <v>2461.4</v>
      </c>
      <c r="EX25" s="231">
        <v>2412.0500000000002</v>
      </c>
      <c r="EY25" s="228">
        <v>49.35</v>
      </c>
      <c r="EZ25" s="229">
        <v>2.0500000000000001E-2</v>
      </c>
      <c r="FA25" s="229">
        <v>1.1624000000000001</v>
      </c>
      <c r="FB25" s="227" t="s">
        <v>567</v>
      </c>
      <c r="FC25">
        <f t="shared" si="0"/>
        <v>82</v>
      </c>
    </row>
    <row r="26" spans="1:159" ht="17.25" thickBot="1" x14ac:dyDescent="0.3">
      <c r="A26" s="226">
        <v>46023</v>
      </c>
      <c r="B26" s="227" t="s">
        <v>172</v>
      </c>
      <c r="C26" s="227" t="s">
        <v>180</v>
      </c>
      <c r="D26" s="228">
        <v>2925</v>
      </c>
      <c r="E26" s="228">
        <v>26</v>
      </c>
      <c r="F26" s="228">
        <v>302.85000000000002</v>
      </c>
      <c r="G26" s="228">
        <v>297.85000000000002</v>
      </c>
      <c r="H26" s="228">
        <v>5</v>
      </c>
      <c r="I26" s="229">
        <v>1.6799999999999999E-2</v>
      </c>
      <c r="J26" s="228">
        <v>300.75</v>
      </c>
      <c r="K26" s="228">
        <v>295.89999999999998</v>
      </c>
      <c r="L26" s="228">
        <v>4.8499999999999996</v>
      </c>
      <c r="M26" s="229">
        <v>1.6400000000000001E-2</v>
      </c>
      <c r="N26" s="228">
        <v>302.85000000000002</v>
      </c>
      <c r="O26" s="228">
        <v>297.85000000000002</v>
      </c>
      <c r="P26" s="228">
        <v>5</v>
      </c>
      <c r="Q26" s="229">
        <v>1.6799999999999999E-2</v>
      </c>
      <c r="R26" s="228">
        <v>304.85000000000002</v>
      </c>
      <c r="S26" s="228">
        <v>299.60000000000002</v>
      </c>
      <c r="T26" s="228">
        <v>5.25</v>
      </c>
      <c r="U26" s="229">
        <v>1.7500000000000002E-2</v>
      </c>
      <c r="V26" s="228">
        <v>306.05</v>
      </c>
      <c r="W26" s="228">
        <v>302</v>
      </c>
      <c r="X26" s="228">
        <v>4.05</v>
      </c>
      <c r="Y26" s="229">
        <v>1.34E-2</v>
      </c>
      <c r="Z26" s="228">
        <v>2.1</v>
      </c>
      <c r="AA26" s="228">
        <v>1.95</v>
      </c>
      <c r="AB26" s="228">
        <v>0.15</v>
      </c>
      <c r="AC26" s="229">
        <v>7.0000000000000001E-3</v>
      </c>
      <c r="AD26" s="228">
        <v>2.1</v>
      </c>
      <c r="AE26" s="228">
        <v>1.95</v>
      </c>
      <c r="AF26" s="228">
        <v>0.15</v>
      </c>
      <c r="AG26" s="229">
        <v>7.0000000000000001E-3</v>
      </c>
      <c r="AH26" s="228">
        <v>4.0999999999999996</v>
      </c>
      <c r="AI26" s="228">
        <v>3.7</v>
      </c>
      <c r="AJ26" s="228">
        <v>0.4</v>
      </c>
      <c r="AK26" s="229">
        <v>1.3599999999999999E-2</v>
      </c>
      <c r="AL26" s="228">
        <v>5.3</v>
      </c>
      <c r="AM26" s="228">
        <v>6.1</v>
      </c>
      <c r="AN26" s="228">
        <v>-0.8</v>
      </c>
      <c r="AO26" s="229">
        <v>1.7600000000000001E-2</v>
      </c>
      <c r="AP26" s="228">
        <v>301.76</v>
      </c>
      <c r="AQ26" s="228">
        <v>303.70999999999998</v>
      </c>
      <c r="AR26" s="228">
        <v>0</v>
      </c>
      <c r="AS26" s="228">
        <v>565</v>
      </c>
      <c r="AT26" s="228">
        <v>708</v>
      </c>
      <c r="AU26" s="228">
        <v>-143</v>
      </c>
      <c r="AV26" s="229">
        <v>-0.2019</v>
      </c>
      <c r="AW26" s="228">
        <v>543</v>
      </c>
      <c r="AX26" s="228">
        <v>660</v>
      </c>
      <c r="AY26" s="228">
        <v>-117</v>
      </c>
      <c r="AZ26" s="229">
        <v>-0.17749999999999999</v>
      </c>
      <c r="BA26" s="228">
        <v>21</v>
      </c>
      <c r="BB26" s="228">
        <v>46</v>
      </c>
      <c r="BC26" s="228">
        <v>-25</v>
      </c>
      <c r="BD26" s="229">
        <v>-0.55189999999999995</v>
      </c>
      <c r="BE26" s="228">
        <v>1</v>
      </c>
      <c r="BF26" s="228">
        <v>2</v>
      </c>
      <c r="BG26" s="228">
        <v>0</v>
      </c>
      <c r="BH26" s="229">
        <v>-0.22220000000000001</v>
      </c>
      <c r="BI26" s="230">
        <v>2081</v>
      </c>
      <c r="BJ26" s="230">
        <v>1550</v>
      </c>
      <c r="BK26" s="228">
        <v>531</v>
      </c>
      <c r="BL26" s="229">
        <v>0.34239999999999998</v>
      </c>
      <c r="BM26" s="230">
        <v>1010</v>
      </c>
      <c r="BN26" s="228">
        <v>923</v>
      </c>
      <c r="BO26" s="228">
        <v>87</v>
      </c>
      <c r="BP26" s="229">
        <v>9.4200000000000006E-2</v>
      </c>
      <c r="BQ26" s="230">
        <v>3657</v>
      </c>
      <c r="BR26" s="230">
        <v>3182</v>
      </c>
      <c r="BS26" s="228">
        <v>475</v>
      </c>
      <c r="BT26" s="229">
        <v>0.14929999999999999</v>
      </c>
      <c r="BU26" s="230">
        <v>9196249</v>
      </c>
      <c r="BV26" s="230">
        <v>8497883</v>
      </c>
      <c r="BW26" s="230">
        <v>698366</v>
      </c>
      <c r="BX26" s="229">
        <v>8.2199999999999995E-2</v>
      </c>
      <c r="BY26" s="230">
        <v>2522</v>
      </c>
      <c r="BZ26" s="230">
        <v>2470</v>
      </c>
      <c r="CA26" s="228">
        <v>52</v>
      </c>
      <c r="CB26" s="229">
        <v>2.0899999999999998E-2</v>
      </c>
      <c r="CC26" s="230">
        <v>2477</v>
      </c>
      <c r="CD26" s="230">
        <v>2427</v>
      </c>
      <c r="CE26" s="228">
        <v>50</v>
      </c>
      <c r="CF26" s="229">
        <v>2.0500000000000001E-2</v>
      </c>
      <c r="CG26" s="228">
        <v>44</v>
      </c>
      <c r="CH26" s="228">
        <v>42</v>
      </c>
      <c r="CI26" s="228">
        <v>2</v>
      </c>
      <c r="CJ26" s="229">
        <v>4.2200000000000001E-2</v>
      </c>
      <c r="CK26" s="228">
        <v>1</v>
      </c>
      <c r="CL26" s="228">
        <v>1</v>
      </c>
      <c r="CM26" s="228">
        <v>0</v>
      </c>
      <c r="CN26" s="229">
        <v>0</v>
      </c>
      <c r="CO26" s="228">
        <v>817</v>
      </c>
      <c r="CP26" s="228">
        <v>599</v>
      </c>
      <c r="CQ26" s="228">
        <v>218</v>
      </c>
      <c r="CR26" s="229">
        <v>0.36330000000000001</v>
      </c>
      <c r="CS26" s="228">
        <v>742</v>
      </c>
      <c r="CT26" s="228">
        <v>653</v>
      </c>
      <c r="CU26" s="228">
        <v>89</v>
      </c>
      <c r="CV26" s="229">
        <v>0.1363</v>
      </c>
      <c r="CW26" s="230">
        <v>4081</v>
      </c>
      <c r="CX26" s="230">
        <v>3722</v>
      </c>
      <c r="CY26" s="228">
        <v>358</v>
      </c>
      <c r="CZ26" s="229">
        <v>9.6299999999999997E-2</v>
      </c>
      <c r="DA26" s="228">
        <v>23.01</v>
      </c>
      <c r="DB26" s="228">
        <v>21.54</v>
      </c>
      <c r="DC26" s="228">
        <v>1.47</v>
      </c>
      <c r="DD26" s="228">
        <v>1.47</v>
      </c>
      <c r="DE26" s="228">
        <v>33.479999999999997</v>
      </c>
      <c r="DF26" s="228">
        <v>33.49</v>
      </c>
      <c r="DG26" s="228">
        <v>-10.47</v>
      </c>
      <c r="DH26" s="228">
        <v>-0.01</v>
      </c>
      <c r="DI26" s="228">
        <v>22.71</v>
      </c>
      <c r="DJ26" s="228">
        <v>21.35</v>
      </c>
      <c r="DK26" s="228">
        <v>1.36</v>
      </c>
      <c r="DL26" s="228">
        <v>1.36</v>
      </c>
      <c r="DM26" s="228">
        <v>23.64</v>
      </c>
      <c r="DN26" s="228">
        <v>21.86</v>
      </c>
      <c r="DO26" s="228">
        <v>1.78</v>
      </c>
      <c r="DP26" s="228">
        <v>1.78</v>
      </c>
      <c r="DQ26" s="228">
        <v>0.91</v>
      </c>
      <c r="DR26" s="228">
        <v>1.0900000000000001</v>
      </c>
      <c r="DS26" s="228">
        <v>-0.18</v>
      </c>
      <c r="DT26" s="229">
        <v>-0.1651</v>
      </c>
      <c r="DU26" s="228">
        <v>305</v>
      </c>
      <c r="DV26" s="228">
        <v>300</v>
      </c>
      <c r="DW26" s="228">
        <v>0.49</v>
      </c>
      <c r="DX26" s="228">
        <v>0.6</v>
      </c>
      <c r="DY26" s="228">
        <v>-0.11</v>
      </c>
      <c r="DZ26" s="229">
        <v>-0.18329999999999999</v>
      </c>
      <c r="EA26" s="229">
        <v>1.78E-2</v>
      </c>
      <c r="EB26" s="230">
        <v>1427400</v>
      </c>
      <c r="EC26" s="229">
        <v>6.6E-3</v>
      </c>
      <c r="ED26" s="229">
        <v>1.78E-2</v>
      </c>
      <c r="EE26" s="228">
        <v>1.95</v>
      </c>
      <c r="EF26" s="229">
        <v>6.4999999999999997E-3</v>
      </c>
      <c r="EG26" s="230">
        <v>3773501</v>
      </c>
      <c r="EH26" s="230">
        <v>3898050</v>
      </c>
      <c r="EI26" s="229">
        <v>-3.2000000000000001E-2</v>
      </c>
      <c r="EJ26" s="229">
        <v>0.4103</v>
      </c>
      <c r="EK26" s="231">
        <v>2150.5100000000002</v>
      </c>
      <c r="EL26" s="228">
        <v>996.1</v>
      </c>
      <c r="EM26" s="228">
        <v>563.19000000000005</v>
      </c>
      <c r="EN26" s="228">
        <v>126.83</v>
      </c>
      <c r="EO26" s="231">
        <v>3709.81</v>
      </c>
      <c r="EP26" s="231">
        <v>3167.91</v>
      </c>
      <c r="EQ26" s="228">
        <v>541.9</v>
      </c>
      <c r="ER26" s="229">
        <v>0.1711</v>
      </c>
      <c r="ES26" s="228">
        <v>813.84</v>
      </c>
      <c r="ET26" s="228">
        <v>704.18</v>
      </c>
      <c r="EU26" s="231">
        <v>2521.92</v>
      </c>
      <c r="EV26" s="231">
        <v>279476623</v>
      </c>
      <c r="EW26" s="231">
        <v>4039.95</v>
      </c>
      <c r="EX26" s="231">
        <v>3635.45</v>
      </c>
      <c r="EY26" s="228">
        <v>404.5</v>
      </c>
      <c r="EZ26" s="229">
        <v>0.1113</v>
      </c>
      <c r="FA26" s="229">
        <v>0.48209999999999997</v>
      </c>
      <c r="FB26" s="227" t="s">
        <v>555</v>
      </c>
      <c r="FC26">
        <f t="shared" si="0"/>
        <v>45</v>
      </c>
    </row>
    <row r="27" spans="1:159" ht="17.25" thickBot="1" x14ac:dyDescent="0.3">
      <c r="A27" s="226">
        <v>46023</v>
      </c>
      <c r="B27" s="227" t="s">
        <v>172</v>
      </c>
      <c r="C27" s="227" t="s">
        <v>602</v>
      </c>
      <c r="D27" s="228">
        <v>5200</v>
      </c>
      <c r="E27" s="228">
        <v>26</v>
      </c>
      <c r="F27" s="228">
        <v>147.97999999999999</v>
      </c>
      <c r="G27" s="228">
        <v>144.6</v>
      </c>
      <c r="H27" s="228">
        <v>3.38</v>
      </c>
      <c r="I27" s="229">
        <v>2.3400000000000001E-2</v>
      </c>
      <c r="J27" s="228">
        <v>146.99</v>
      </c>
      <c r="K27" s="228">
        <v>143.85</v>
      </c>
      <c r="L27" s="228">
        <v>3.14</v>
      </c>
      <c r="M27" s="229">
        <v>2.18E-2</v>
      </c>
      <c r="N27" s="228">
        <v>147.97999999999999</v>
      </c>
      <c r="O27" s="228">
        <v>144.6</v>
      </c>
      <c r="P27" s="228">
        <v>3.38</v>
      </c>
      <c r="Q27" s="229">
        <v>2.3400000000000001E-2</v>
      </c>
      <c r="R27" s="228">
        <v>148.94999999999999</v>
      </c>
      <c r="S27" s="228">
        <v>145.47</v>
      </c>
      <c r="T27" s="228">
        <v>3.48</v>
      </c>
      <c r="U27" s="229">
        <v>2.3900000000000001E-2</v>
      </c>
      <c r="V27" s="228">
        <v>150</v>
      </c>
      <c r="W27" s="228">
        <v>146.13999999999999</v>
      </c>
      <c r="X27" s="228">
        <v>3.86</v>
      </c>
      <c r="Y27" s="229">
        <v>2.64E-2</v>
      </c>
      <c r="Z27" s="228">
        <v>0.99</v>
      </c>
      <c r="AA27" s="228">
        <v>0.75</v>
      </c>
      <c r="AB27" s="228">
        <v>0.24</v>
      </c>
      <c r="AC27" s="229">
        <v>6.7000000000000002E-3</v>
      </c>
      <c r="AD27" s="228">
        <v>0.99</v>
      </c>
      <c r="AE27" s="228">
        <v>0.75</v>
      </c>
      <c r="AF27" s="228">
        <v>0.24</v>
      </c>
      <c r="AG27" s="229">
        <v>6.7000000000000002E-3</v>
      </c>
      <c r="AH27" s="228">
        <v>1.96</v>
      </c>
      <c r="AI27" s="228">
        <v>1.62</v>
      </c>
      <c r="AJ27" s="228">
        <v>0.34</v>
      </c>
      <c r="AK27" s="229">
        <v>1.3299999999999999E-2</v>
      </c>
      <c r="AL27" s="228">
        <v>3.01</v>
      </c>
      <c r="AM27" s="228">
        <v>2.29</v>
      </c>
      <c r="AN27" s="228">
        <v>0.72</v>
      </c>
      <c r="AO27" s="229">
        <v>2.0500000000000001E-2</v>
      </c>
      <c r="AP27" s="228">
        <v>146.68</v>
      </c>
      <c r="AQ27" s="228">
        <v>147.47</v>
      </c>
      <c r="AR27" s="228">
        <v>0</v>
      </c>
      <c r="AS27" s="228">
        <v>155</v>
      </c>
      <c r="AT27" s="228">
        <v>212</v>
      </c>
      <c r="AU27" s="228">
        <v>-57</v>
      </c>
      <c r="AV27" s="229">
        <v>-0.26929999999999998</v>
      </c>
      <c r="AW27" s="228">
        <v>147</v>
      </c>
      <c r="AX27" s="228">
        <v>204</v>
      </c>
      <c r="AY27" s="228">
        <v>-57</v>
      </c>
      <c r="AZ27" s="229">
        <v>-0.27889999999999998</v>
      </c>
      <c r="BA27" s="228">
        <v>7</v>
      </c>
      <c r="BB27" s="228">
        <v>7</v>
      </c>
      <c r="BC27" s="228">
        <v>0</v>
      </c>
      <c r="BD27" s="229">
        <v>-1.09E-2</v>
      </c>
      <c r="BE27" s="228">
        <v>1</v>
      </c>
      <c r="BF27" s="228">
        <v>1</v>
      </c>
      <c r="BG27" s="228">
        <v>0</v>
      </c>
      <c r="BH27" s="229">
        <v>-0.15379999999999999</v>
      </c>
      <c r="BI27" s="228">
        <v>210</v>
      </c>
      <c r="BJ27" s="228">
        <v>236</v>
      </c>
      <c r="BK27" s="228">
        <v>-26</v>
      </c>
      <c r="BL27" s="229">
        <v>-0.10979999999999999</v>
      </c>
      <c r="BM27" s="228">
        <v>115</v>
      </c>
      <c r="BN27" s="228">
        <v>115</v>
      </c>
      <c r="BO27" s="228">
        <v>0</v>
      </c>
      <c r="BP27" s="229">
        <v>-2.7000000000000001E-3</v>
      </c>
      <c r="BQ27" s="228">
        <v>480</v>
      </c>
      <c r="BR27" s="228">
        <v>564</v>
      </c>
      <c r="BS27" s="228">
        <v>-83</v>
      </c>
      <c r="BT27" s="229">
        <v>-0.1479</v>
      </c>
      <c r="BU27" s="230">
        <v>7743888</v>
      </c>
      <c r="BV27" s="230">
        <v>9557088</v>
      </c>
      <c r="BW27" s="230">
        <v>-1813200</v>
      </c>
      <c r="BX27" s="229">
        <v>-0.18970000000000001</v>
      </c>
      <c r="BY27" s="228">
        <v>772</v>
      </c>
      <c r="BZ27" s="228">
        <v>783</v>
      </c>
      <c r="CA27" s="228">
        <v>-10</v>
      </c>
      <c r="CB27" s="229">
        <v>-1.3100000000000001E-2</v>
      </c>
      <c r="CC27" s="228">
        <v>759</v>
      </c>
      <c r="CD27" s="228">
        <v>771</v>
      </c>
      <c r="CE27" s="228">
        <v>-13</v>
      </c>
      <c r="CF27" s="229">
        <v>-1.6400000000000001E-2</v>
      </c>
      <c r="CG27" s="228">
        <v>13</v>
      </c>
      <c r="CH27" s="228">
        <v>11</v>
      </c>
      <c r="CI27" s="228">
        <v>2</v>
      </c>
      <c r="CJ27" s="229">
        <v>0.1888</v>
      </c>
      <c r="CK27" s="228">
        <v>1</v>
      </c>
      <c r="CL27" s="228">
        <v>0</v>
      </c>
      <c r="CM27" s="228">
        <v>0</v>
      </c>
      <c r="CN27" s="229">
        <v>0.8</v>
      </c>
      <c r="CO27" s="228">
        <v>132</v>
      </c>
      <c r="CP27" s="228">
        <v>131</v>
      </c>
      <c r="CQ27" s="228">
        <v>1</v>
      </c>
      <c r="CR27" s="229">
        <v>4.7000000000000002E-3</v>
      </c>
      <c r="CS27" s="228">
        <v>160</v>
      </c>
      <c r="CT27" s="228">
        <v>139</v>
      </c>
      <c r="CU27" s="228">
        <v>22</v>
      </c>
      <c r="CV27" s="229">
        <v>0.1565</v>
      </c>
      <c r="CW27" s="230">
        <v>1065</v>
      </c>
      <c r="CX27" s="230">
        <v>1053</v>
      </c>
      <c r="CY27" s="228">
        <v>12</v>
      </c>
      <c r="CZ27" s="229">
        <v>1.15E-2</v>
      </c>
      <c r="DA27" s="228">
        <v>26.54</v>
      </c>
      <c r="DB27" s="228">
        <v>26.52</v>
      </c>
      <c r="DC27" s="228">
        <v>0.02</v>
      </c>
      <c r="DD27" s="228">
        <v>0.02</v>
      </c>
      <c r="DE27" s="228">
        <v>37.979999999999997</v>
      </c>
      <c r="DF27" s="228">
        <v>37.94</v>
      </c>
      <c r="DG27" s="228">
        <v>-11.44</v>
      </c>
      <c r="DH27" s="228">
        <v>0.04</v>
      </c>
      <c r="DI27" s="228">
        <v>26.15</v>
      </c>
      <c r="DJ27" s="228">
        <v>26.26</v>
      </c>
      <c r="DK27" s="228">
        <v>-0.11</v>
      </c>
      <c r="DL27" s="228">
        <v>-0.11</v>
      </c>
      <c r="DM27" s="228">
        <v>27.24</v>
      </c>
      <c r="DN27" s="228">
        <v>27.04</v>
      </c>
      <c r="DO27" s="228">
        <v>0.2</v>
      </c>
      <c r="DP27" s="228">
        <v>0.2</v>
      </c>
      <c r="DQ27" s="228">
        <v>1.22</v>
      </c>
      <c r="DR27" s="228">
        <v>1.06</v>
      </c>
      <c r="DS27" s="228">
        <v>0.16</v>
      </c>
      <c r="DT27" s="229">
        <v>0.15090000000000001</v>
      </c>
      <c r="DU27" s="228">
        <v>140</v>
      </c>
      <c r="DV27" s="228">
        <v>140</v>
      </c>
      <c r="DW27" s="228">
        <v>0.55000000000000004</v>
      </c>
      <c r="DX27" s="228">
        <v>0.49</v>
      </c>
      <c r="DY27" s="228">
        <v>0.06</v>
      </c>
      <c r="DZ27" s="229">
        <v>0.12239999999999999</v>
      </c>
      <c r="EA27" s="229">
        <v>1.78E-2</v>
      </c>
      <c r="EB27" s="230">
        <v>769600</v>
      </c>
      <c r="EC27" s="229">
        <v>6.6E-3</v>
      </c>
      <c r="ED27" s="229">
        <v>1.78E-2</v>
      </c>
      <c r="EE27" s="228">
        <v>0.79</v>
      </c>
      <c r="EF27" s="229">
        <v>5.4000000000000003E-3</v>
      </c>
      <c r="EG27" s="230">
        <v>3450483</v>
      </c>
      <c r="EH27" s="230">
        <v>4378312</v>
      </c>
      <c r="EI27" s="229">
        <v>-0.21190000000000001</v>
      </c>
      <c r="EJ27" s="229">
        <v>0.4456</v>
      </c>
      <c r="EK27" s="228">
        <v>216.19</v>
      </c>
      <c r="EL27" s="228">
        <v>110.13</v>
      </c>
      <c r="EM27" s="228">
        <v>153.59</v>
      </c>
      <c r="EN27" s="228">
        <v>63.45</v>
      </c>
      <c r="EO27" s="228">
        <v>479.91</v>
      </c>
      <c r="EP27" s="228">
        <v>555.97</v>
      </c>
      <c r="EQ27" s="228">
        <v>-76.069999999999993</v>
      </c>
      <c r="ER27" s="229">
        <v>-0.1368</v>
      </c>
      <c r="ES27" s="228">
        <v>131.75</v>
      </c>
      <c r="ET27" s="228">
        <v>148.87</v>
      </c>
      <c r="EU27" s="228">
        <v>772.59</v>
      </c>
      <c r="EV27" s="231">
        <v>181770921</v>
      </c>
      <c r="EW27" s="231">
        <v>1053.21</v>
      </c>
      <c r="EX27" s="231">
        <v>1023.29</v>
      </c>
      <c r="EY27" s="228">
        <v>29.92</v>
      </c>
      <c r="EZ27" s="229">
        <v>2.92E-2</v>
      </c>
      <c r="FA27" s="229">
        <v>0.39589999999999997</v>
      </c>
      <c r="FB27" s="227" t="s">
        <v>556</v>
      </c>
      <c r="FC27">
        <f t="shared" si="0"/>
        <v>13</v>
      </c>
    </row>
    <row r="28" spans="1:159" ht="17.25" thickBot="1" x14ac:dyDescent="0.3">
      <c r="A28" s="226">
        <v>46023</v>
      </c>
      <c r="B28" s="227" t="s">
        <v>181</v>
      </c>
      <c r="C28" s="227" t="s">
        <v>182</v>
      </c>
      <c r="D28" s="228">
        <v>30</v>
      </c>
      <c r="E28" s="228">
        <v>26</v>
      </c>
      <c r="F28" s="231">
        <v>59955.6</v>
      </c>
      <c r="G28" s="231">
        <v>59883.6</v>
      </c>
      <c r="H28" s="228">
        <v>72</v>
      </c>
      <c r="I28" s="229">
        <v>1.1999999999999999E-3</v>
      </c>
      <c r="J28" s="231">
        <v>59711.55</v>
      </c>
      <c r="K28" s="231">
        <v>59581.85</v>
      </c>
      <c r="L28" s="228">
        <v>129.69999999999999</v>
      </c>
      <c r="M28" s="229">
        <v>2.2000000000000001E-3</v>
      </c>
      <c r="N28" s="231">
        <v>59955.6</v>
      </c>
      <c r="O28" s="231">
        <v>59883.6</v>
      </c>
      <c r="P28" s="228">
        <v>72</v>
      </c>
      <c r="Q28" s="229">
        <v>1.1999999999999999E-3</v>
      </c>
      <c r="R28" s="231">
        <v>60280.800000000003</v>
      </c>
      <c r="S28" s="231">
        <v>60222.6</v>
      </c>
      <c r="T28" s="228">
        <v>58.2</v>
      </c>
      <c r="U28" s="229">
        <v>1E-3</v>
      </c>
      <c r="V28" s="231">
        <v>60652.4</v>
      </c>
      <c r="W28" s="231">
        <v>60612.800000000003</v>
      </c>
      <c r="X28" s="228">
        <v>39.6</v>
      </c>
      <c r="Y28" s="229">
        <v>6.9999999999999999E-4</v>
      </c>
      <c r="Z28" s="228">
        <v>244.05</v>
      </c>
      <c r="AA28" s="228">
        <v>301.75</v>
      </c>
      <c r="AB28" s="228">
        <v>-57.7</v>
      </c>
      <c r="AC28" s="229">
        <v>4.1000000000000003E-3</v>
      </c>
      <c r="AD28" s="228">
        <v>244.05</v>
      </c>
      <c r="AE28" s="228">
        <v>301.75</v>
      </c>
      <c r="AF28" s="228">
        <v>-57.7</v>
      </c>
      <c r="AG28" s="229">
        <v>4.1000000000000003E-3</v>
      </c>
      <c r="AH28" s="228">
        <v>569.25</v>
      </c>
      <c r="AI28" s="228">
        <v>640.75</v>
      </c>
      <c r="AJ28" s="228">
        <v>-71.5</v>
      </c>
      <c r="AK28" s="229">
        <v>9.4999999999999998E-3</v>
      </c>
      <c r="AL28" s="228">
        <v>940.85</v>
      </c>
      <c r="AM28" s="231">
        <v>1030.95</v>
      </c>
      <c r="AN28" s="228">
        <v>-90.1</v>
      </c>
      <c r="AO28" s="229">
        <v>1.5800000000000002E-2</v>
      </c>
      <c r="AP28" s="231">
        <v>59934.43</v>
      </c>
      <c r="AQ28" s="231">
        <v>60257.95</v>
      </c>
      <c r="AR28" s="228">
        <v>0</v>
      </c>
      <c r="AS28" s="230">
        <v>2241</v>
      </c>
      <c r="AT28" s="230">
        <v>5600</v>
      </c>
      <c r="AU28" s="230">
        <v>-3359</v>
      </c>
      <c r="AV28" s="229">
        <v>-0.59989999999999999</v>
      </c>
      <c r="AW28" s="230">
        <v>2123</v>
      </c>
      <c r="AX28" s="230">
        <v>5228</v>
      </c>
      <c r="AY28" s="230">
        <v>-3105</v>
      </c>
      <c r="AZ28" s="229">
        <v>-0.59389999999999998</v>
      </c>
      <c r="BA28" s="228">
        <v>94</v>
      </c>
      <c r="BB28" s="228">
        <v>261</v>
      </c>
      <c r="BC28" s="228">
        <v>-168</v>
      </c>
      <c r="BD28" s="229">
        <v>-0.64190000000000003</v>
      </c>
      <c r="BE28" s="228">
        <v>24</v>
      </c>
      <c r="BF28" s="228">
        <v>111</v>
      </c>
      <c r="BG28" s="228">
        <v>-87</v>
      </c>
      <c r="BH28" s="229">
        <v>-0.78369999999999995</v>
      </c>
      <c r="BI28" s="230">
        <v>99383</v>
      </c>
      <c r="BJ28" s="230">
        <v>190275</v>
      </c>
      <c r="BK28" s="230">
        <v>-90892</v>
      </c>
      <c r="BL28" s="229">
        <v>-0.47770000000000001</v>
      </c>
      <c r="BM28" s="230">
        <v>90369</v>
      </c>
      <c r="BN28" s="230">
        <v>167008</v>
      </c>
      <c r="BO28" s="230">
        <v>-76639</v>
      </c>
      <c r="BP28" s="229">
        <v>-0.45889999999999997</v>
      </c>
      <c r="BQ28" s="230">
        <v>191992</v>
      </c>
      <c r="BR28" s="230">
        <v>362882</v>
      </c>
      <c r="BS28" s="230">
        <v>-170890</v>
      </c>
      <c r="BT28" s="229">
        <v>-0.47089999999999999</v>
      </c>
      <c r="BU28" s="228">
        <v>0</v>
      </c>
      <c r="BV28" s="228">
        <v>0</v>
      </c>
      <c r="BW28" s="228">
        <v>0</v>
      </c>
      <c r="BX28" s="229">
        <v>0</v>
      </c>
      <c r="BY28" s="230">
        <v>8512</v>
      </c>
      <c r="BZ28" s="230">
        <v>8067</v>
      </c>
      <c r="CA28" s="228">
        <v>445</v>
      </c>
      <c r="CB28" s="229">
        <v>5.5199999999999999E-2</v>
      </c>
      <c r="CC28" s="230">
        <v>7897</v>
      </c>
      <c r="CD28" s="230">
        <v>7482</v>
      </c>
      <c r="CE28" s="228">
        <v>415</v>
      </c>
      <c r="CF28" s="229">
        <v>5.5500000000000001E-2</v>
      </c>
      <c r="CG28" s="228">
        <v>537</v>
      </c>
      <c r="CH28" s="228">
        <v>514</v>
      </c>
      <c r="CI28" s="228">
        <v>24</v>
      </c>
      <c r="CJ28" s="229">
        <v>4.5900000000000003E-2</v>
      </c>
      <c r="CK28" s="228">
        <v>78</v>
      </c>
      <c r="CL28" s="228">
        <v>71</v>
      </c>
      <c r="CM28" s="228">
        <v>7</v>
      </c>
      <c r="CN28" s="229">
        <v>9.6699999999999994E-2</v>
      </c>
      <c r="CO28" s="230">
        <v>60670</v>
      </c>
      <c r="CP28" s="230">
        <v>56154</v>
      </c>
      <c r="CQ28" s="230">
        <v>4515</v>
      </c>
      <c r="CR28" s="229">
        <v>8.0399999999999999E-2</v>
      </c>
      <c r="CS28" s="230">
        <v>68982</v>
      </c>
      <c r="CT28" s="230">
        <v>63576</v>
      </c>
      <c r="CU28" s="230">
        <v>5406</v>
      </c>
      <c r="CV28" s="229">
        <v>8.5000000000000006E-2</v>
      </c>
      <c r="CW28" s="230">
        <v>138164</v>
      </c>
      <c r="CX28" s="230">
        <v>127797</v>
      </c>
      <c r="CY28" s="230">
        <v>10367</v>
      </c>
      <c r="CZ28" s="229">
        <v>8.1100000000000005E-2</v>
      </c>
      <c r="DA28" s="228">
        <v>10.07</v>
      </c>
      <c r="DB28" s="228">
        <v>10.45</v>
      </c>
      <c r="DC28" s="228">
        <v>-0.38</v>
      </c>
      <c r="DD28" s="228">
        <v>-0.38</v>
      </c>
      <c r="DE28" s="228">
        <v>15.68</v>
      </c>
      <c r="DF28" s="228">
        <v>15.72</v>
      </c>
      <c r="DG28" s="228">
        <v>-5.61</v>
      </c>
      <c r="DH28" s="228">
        <v>-0.04</v>
      </c>
      <c r="DI28" s="228">
        <v>9.6300000000000008</v>
      </c>
      <c r="DJ28" s="228">
        <v>9.99</v>
      </c>
      <c r="DK28" s="228">
        <v>-0.36</v>
      </c>
      <c r="DL28" s="228">
        <v>-0.36</v>
      </c>
      <c r="DM28" s="228">
        <v>10.55</v>
      </c>
      <c r="DN28" s="228">
        <v>10.97</v>
      </c>
      <c r="DO28" s="228">
        <v>-0.42</v>
      </c>
      <c r="DP28" s="228">
        <v>-0.42</v>
      </c>
      <c r="DQ28" s="228">
        <v>1.1399999999999999</v>
      </c>
      <c r="DR28" s="228">
        <v>1.1299999999999999</v>
      </c>
      <c r="DS28" s="228">
        <v>0.01</v>
      </c>
      <c r="DT28" s="229">
        <v>8.8000000000000005E-3</v>
      </c>
      <c r="DU28" s="231">
        <v>59500</v>
      </c>
      <c r="DV28" s="231">
        <v>59500</v>
      </c>
      <c r="DW28" s="228">
        <v>0.91</v>
      </c>
      <c r="DX28" s="228">
        <v>0.88</v>
      </c>
      <c r="DY28" s="228">
        <v>0.03</v>
      </c>
      <c r="DZ28" s="229">
        <v>3.4099999999999998E-2</v>
      </c>
      <c r="EA28" s="229">
        <v>7.22E-2</v>
      </c>
      <c r="EB28" s="230">
        <v>97440</v>
      </c>
      <c r="EC28" s="229">
        <v>5.4000000000000003E-3</v>
      </c>
      <c r="ED28" s="229">
        <v>7.22E-2</v>
      </c>
      <c r="EE28" s="228">
        <v>323.52</v>
      </c>
      <c r="EF28" s="229">
        <v>5.4000000000000003E-3</v>
      </c>
      <c r="EG28" s="228">
        <v>0</v>
      </c>
      <c r="EH28" s="228">
        <v>0</v>
      </c>
      <c r="EI28" s="229">
        <v>0</v>
      </c>
      <c r="EJ28" s="229">
        <v>0</v>
      </c>
      <c r="EK28" s="231">
        <v>101385.54</v>
      </c>
      <c r="EL28" s="231">
        <v>89285.95</v>
      </c>
      <c r="EM28" s="231">
        <v>2240.59</v>
      </c>
      <c r="EN28" s="228">
        <v>0</v>
      </c>
      <c r="EO28" s="231">
        <v>192912.09</v>
      </c>
      <c r="EP28" s="231">
        <v>364248.37</v>
      </c>
      <c r="EQ28" s="231">
        <v>-171336.28</v>
      </c>
      <c r="ER28" s="229">
        <v>-0.47039999999999998</v>
      </c>
      <c r="ES28" s="231">
        <v>61247.040000000001</v>
      </c>
      <c r="ET28" s="231">
        <v>67083.039999999994</v>
      </c>
      <c r="EU28" s="231">
        <v>8515.83</v>
      </c>
      <c r="EV28" s="228">
        <v>0</v>
      </c>
      <c r="EW28" s="231">
        <v>136845.92000000001</v>
      </c>
      <c r="EX28" s="231">
        <v>126470.25</v>
      </c>
      <c r="EY28" s="231">
        <v>10375.67</v>
      </c>
      <c r="EZ28" s="229">
        <v>8.2000000000000003E-2</v>
      </c>
      <c r="FA28" s="229">
        <v>0</v>
      </c>
      <c r="FB28" s="227" t="s">
        <v>555</v>
      </c>
      <c r="FC28">
        <f t="shared" si="0"/>
        <v>615</v>
      </c>
    </row>
    <row r="29" spans="1:159" s="195" customFormat="1" ht="17.25" thickBot="1" x14ac:dyDescent="0.3">
      <c r="A29" s="226">
        <v>46023</v>
      </c>
      <c r="B29" s="227" t="s">
        <v>184</v>
      </c>
      <c r="C29" s="227" t="s">
        <v>671</v>
      </c>
      <c r="D29" s="228">
        <v>350</v>
      </c>
      <c r="E29" s="228">
        <v>26</v>
      </c>
      <c r="F29" s="231">
        <v>1487.2</v>
      </c>
      <c r="G29" s="231">
        <v>1474.8</v>
      </c>
      <c r="H29" s="228">
        <v>12.4</v>
      </c>
      <c r="I29" s="229">
        <v>8.3999999999999995E-3</v>
      </c>
      <c r="J29" s="231">
        <v>1481.5</v>
      </c>
      <c r="K29" s="231">
        <v>1466.5</v>
      </c>
      <c r="L29" s="228">
        <v>15</v>
      </c>
      <c r="M29" s="229">
        <v>1.0200000000000001E-2</v>
      </c>
      <c r="N29" s="231">
        <v>1487.2</v>
      </c>
      <c r="O29" s="231">
        <v>1474.8</v>
      </c>
      <c r="P29" s="228">
        <v>12.4</v>
      </c>
      <c r="Q29" s="229">
        <v>8.3999999999999995E-3</v>
      </c>
      <c r="R29" s="231">
        <v>1492.4</v>
      </c>
      <c r="S29" s="231">
        <v>1479.7</v>
      </c>
      <c r="T29" s="228">
        <v>12.7</v>
      </c>
      <c r="U29" s="229">
        <v>8.6E-3</v>
      </c>
      <c r="V29" s="231">
        <v>1495.9</v>
      </c>
      <c r="W29" s="231">
        <v>1490.6</v>
      </c>
      <c r="X29" s="228">
        <v>5.3</v>
      </c>
      <c r="Y29" s="229">
        <v>3.5999999999999999E-3</v>
      </c>
      <c r="Z29" s="228">
        <v>5.7</v>
      </c>
      <c r="AA29" s="228">
        <v>8.3000000000000007</v>
      </c>
      <c r="AB29" s="228">
        <v>-2.6</v>
      </c>
      <c r="AC29" s="229">
        <v>3.8E-3</v>
      </c>
      <c r="AD29" s="228">
        <v>5.7</v>
      </c>
      <c r="AE29" s="228">
        <v>8.3000000000000007</v>
      </c>
      <c r="AF29" s="228">
        <v>-2.6</v>
      </c>
      <c r="AG29" s="229">
        <v>3.8E-3</v>
      </c>
      <c r="AH29" s="228">
        <v>10.9</v>
      </c>
      <c r="AI29" s="228">
        <v>13.2</v>
      </c>
      <c r="AJ29" s="228">
        <v>-2.2999999999999998</v>
      </c>
      <c r="AK29" s="229">
        <v>7.4000000000000003E-3</v>
      </c>
      <c r="AL29" s="228">
        <v>14.4</v>
      </c>
      <c r="AM29" s="228">
        <v>24.1</v>
      </c>
      <c r="AN29" s="228">
        <v>-9.6999999999999993</v>
      </c>
      <c r="AO29" s="229">
        <v>9.7000000000000003E-3</v>
      </c>
      <c r="AP29" s="231">
        <v>1473.03</v>
      </c>
      <c r="AQ29" s="231">
        <v>1478.83</v>
      </c>
      <c r="AR29" s="228">
        <v>0</v>
      </c>
      <c r="AS29" s="228">
        <v>139</v>
      </c>
      <c r="AT29" s="228">
        <v>129</v>
      </c>
      <c r="AU29" s="228">
        <v>10</v>
      </c>
      <c r="AV29" s="229">
        <v>7.8399999999999997E-2</v>
      </c>
      <c r="AW29" s="228">
        <v>130</v>
      </c>
      <c r="AX29" s="228">
        <v>121</v>
      </c>
      <c r="AY29" s="228">
        <v>9</v>
      </c>
      <c r="AZ29" s="229">
        <v>7.0800000000000002E-2</v>
      </c>
      <c r="BA29" s="228">
        <v>8</v>
      </c>
      <c r="BB29" s="228">
        <v>7</v>
      </c>
      <c r="BC29" s="228">
        <v>1</v>
      </c>
      <c r="BD29" s="229">
        <v>0.1691</v>
      </c>
      <c r="BE29" s="228">
        <v>1</v>
      </c>
      <c r="BF29" s="228">
        <v>1</v>
      </c>
      <c r="BG29" s="228">
        <v>0</v>
      </c>
      <c r="BH29" s="229">
        <v>0.54549999999999998</v>
      </c>
      <c r="BI29" s="228">
        <v>439</v>
      </c>
      <c r="BJ29" s="228">
        <v>422</v>
      </c>
      <c r="BK29" s="228">
        <v>17</v>
      </c>
      <c r="BL29" s="229">
        <v>4.07E-2</v>
      </c>
      <c r="BM29" s="228">
        <v>251</v>
      </c>
      <c r="BN29" s="228">
        <v>198</v>
      </c>
      <c r="BO29" s="228">
        <v>53</v>
      </c>
      <c r="BP29" s="229">
        <v>0.27010000000000001</v>
      </c>
      <c r="BQ29" s="228">
        <v>829</v>
      </c>
      <c r="BR29" s="228">
        <v>748</v>
      </c>
      <c r="BS29" s="228">
        <v>81</v>
      </c>
      <c r="BT29" s="229">
        <v>0.1079</v>
      </c>
      <c r="BU29" s="230">
        <v>849422</v>
      </c>
      <c r="BV29" s="230">
        <v>766169</v>
      </c>
      <c r="BW29" s="230">
        <v>83253</v>
      </c>
      <c r="BX29" s="229">
        <v>0.1087</v>
      </c>
      <c r="BY29" s="228">
        <v>779</v>
      </c>
      <c r="BZ29" s="228">
        <v>789</v>
      </c>
      <c r="CA29" s="228">
        <v>-10</v>
      </c>
      <c r="CB29" s="229">
        <v>-1.2999999999999999E-2</v>
      </c>
      <c r="CC29" s="228">
        <v>722</v>
      </c>
      <c r="CD29" s="228">
        <v>733</v>
      </c>
      <c r="CE29" s="228">
        <v>-11</v>
      </c>
      <c r="CF29" s="229">
        <v>-1.4500000000000001E-2</v>
      </c>
      <c r="CG29" s="228">
        <v>56</v>
      </c>
      <c r="CH29" s="228">
        <v>56</v>
      </c>
      <c r="CI29" s="228">
        <v>0</v>
      </c>
      <c r="CJ29" s="229">
        <v>0</v>
      </c>
      <c r="CK29" s="228">
        <v>1</v>
      </c>
      <c r="CL29" s="228">
        <v>0</v>
      </c>
      <c r="CM29" s="228">
        <v>0</v>
      </c>
      <c r="CN29" s="229">
        <v>0.875</v>
      </c>
      <c r="CO29" s="228">
        <v>401</v>
      </c>
      <c r="CP29" s="228">
        <v>385</v>
      </c>
      <c r="CQ29" s="228">
        <v>16</v>
      </c>
      <c r="CR29" s="229">
        <v>4.1599999999999998E-2</v>
      </c>
      <c r="CS29" s="228">
        <v>361</v>
      </c>
      <c r="CT29" s="228">
        <v>352</v>
      </c>
      <c r="CU29" s="228">
        <v>9</v>
      </c>
      <c r="CV29" s="229">
        <v>2.4400000000000002E-2</v>
      </c>
      <c r="CW29" s="230">
        <v>1540</v>
      </c>
      <c r="CX29" s="230">
        <v>1526</v>
      </c>
      <c r="CY29" s="228">
        <v>14</v>
      </c>
      <c r="CZ29" s="229">
        <v>9.4000000000000004E-3</v>
      </c>
      <c r="DA29" s="228">
        <v>31.5</v>
      </c>
      <c r="DB29" s="228">
        <v>32.6</v>
      </c>
      <c r="DC29" s="228">
        <v>-1.1000000000000001</v>
      </c>
      <c r="DD29" s="228">
        <v>-1.1000000000000001</v>
      </c>
      <c r="DE29" s="228">
        <v>50.74</v>
      </c>
      <c r="DF29" s="228">
        <v>50.86</v>
      </c>
      <c r="DG29" s="228">
        <v>-19.239999999999998</v>
      </c>
      <c r="DH29" s="228">
        <v>-0.12</v>
      </c>
      <c r="DI29" s="228">
        <v>31.33</v>
      </c>
      <c r="DJ29" s="228">
        <v>32.61</v>
      </c>
      <c r="DK29" s="228">
        <v>-1.28</v>
      </c>
      <c r="DL29" s="228">
        <v>-1.28</v>
      </c>
      <c r="DM29" s="228">
        <v>31.81</v>
      </c>
      <c r="DN29" s="228">
        <v>32.58</v>
      </c>
      <c r="DO29" s="228">
        <v>-0.77</v>
      </c>
      <c r="DP29" s="228">
        <v>-0.77</v>
      </c>
      <c r="DQ29" s="228">
        <v>0.9</v>
      </c>
      <c r="DR29" s="228">
        <v>0.91</v>
      </c>
      <c r="DS29" s="228">
        <v>-0.01</v>
      </c>
      <c r="DT29" s="229">
        <v>-1.0999999999999999E-2</v>
      </c>
      <c r="DU29" s="231">
        <v>1500</v>
      </c>
      <c r="DV29" s="231">
        <v>1400</v>
      </c>
      <c r="DW29" s="228">
        <v>0.56999999999999995</v>
      </c>
      <c r="DX29" s="228">
        <v>0.47</v>
      </c>
      <c r="DY29" s="228">
        <v>0.1</v>
      </c>
      <c r="DZ29" s="229">
        <v>0.21279999999999999</v>
      </c>
      <c r="EA29" s="229">
        <v>7.2999999999999995E-2</v>
      </c>
      <c r="EB29" s="230">
        <v>379750</v>
      </c>
      <c r="EC29" s="229">
        <v>3.5000000000000001E-3</v>
      </c>
      <c r="ED29" s="229">
        <v>7.2999999999999995E-2</v>
      </c>
      <c r="EE29" s="228">
        <v>5.8</v>
      </c>
      <c r="EF29" s="229">
        <v>3.8999999999999998E-3</v>
      </c>
      <c r="EG29" s="230">
        <v>295511</v>
      </c>
      <c r="EH29" s="230">
        <v>232785</v>
      </c>
      <c r="EI29" s="229">
        <v>0.26950000000000002</v>
      </c>
      <c r="EJ29" s="229">
        <v>0.34789999999999999</v>
      </c>
      <c r="EK29" s="228">
        <v>460.79</v>
      </c>
      <c r="EL29" s="228">
        <v>244.22</v>
      </c>
      <c r="EM29" s="228">
        <v>137.69</v>
      </c>
      <c r="EN29" s="228">
        <v>116.44</v>
      </c>
      <c r="EO29" s="228">
        <v>842.7</v>
      </c>
      <c r="EP29" s="228">
        <v>761.65</v>
      </c>
      <c r="EQ29" s="228">
        <v>81.05</v>
      </c>
      <c r="ER29" s="229">
        <v>0.10639999999999999</v>
      </c>
      <c r="ES29" s="228">
        <v>416.07</v>
      </c>
      <c r="ET29" s="228">
        <v>341.24</v>
      </c>
      <c r="EU29" s="228">
        <v>778.95</v>
      </c>
      <c r="EV29" s="231">
        <v>13786716</v>
      </c>
      <c r="EW29" s="231">
        <v>1536.26</v>
      </c>
      <c r="EX29" s="231">
        <v>1515.15</v>
      </c>
      <c r="EY29" s="228">
        <v>21.11</v>
      </c>
      <c r="EZ29" s="229">
        <v>1.3899999999999999E-2</v>
      </c>
      <c r="FA29" s="229">
        <v>0.75129999999999997</v>
      </c>
      <c r="FB29" s="227" t="s">
        <v>556</v>
      </c>
      <c r="FC29" s="195">
        <f t="shared" si="0"/>
        <v>57</v>
      </c>
    </row>
    <row r="30" spans="1:159" ht="17.25" thickBot="1" x14ac:dyDescent="0.3">
      <c r="A30" s="226">
        <v>46023</v>
      </c>
      <c r="B30" s="227" t="s">
        <v>184</v>
      </c>
      <c r="C30" s="227" t="s">
        <v>185</v>
      </c>
      <c r="D30" s="228">
        <v>1425</v>
      </c>
      <c r="E30" s="228">
        <v>26</v>
      </c>
      <c r="F30" s="228">
        <v>400.3</v>
      </c>
      <c r="G30" s="228">
        <v>402.2</v>
      </c>
      <c r="H30" s="228">
        <v>-1.9</v>
      </c>
      <c r="I30" s="229">
        <v>-4.7000000000000002E-3</v>
      </c>
      <c r="J30" s="228">
        <v>397.7</v>
      </c>
      <c r="K30" s="228">
        <v>399.6</v>
      </c>
      <c r="L30" s="228">
        <v>-1.9</v>
      </c>
      <c r="M30" s="229">
        <v>-4.7999999999999996E-3</v>
      </c>
      <c r="N30" s="228">
        <v>400.3</v>
      </c>
      <c r="O30" s="228">
        <v>402.2</v>
      </c>
      <c r="P30" s="228">
        <v>-1.9</v>
      </c>
      <c r="Q30" s="229">
        <v>-4.7000000000000002E-3</v>
      </c>
      <c r="R30" s="228">
        <v>402.3</v>
      </c>
      <c r="S30" s="228">
        <v>404.3</v>
      </c>
      <c r="T30" s="228">
        <v>-2</v>
      </c>
      <c r="U30" s="229">
        <v>-4.8999999999999998E-3</v>
      </c>
      <c r="V30" s="228">
        <v>403.65</v>
      </c>
      <c r="W30" s="228">
        <v>405.35</v>
      </c>
      <c r="X30" s="228">
        <v>-1.7</v>
      </c>
      <c r="Y30" s="229">
        <v>-4.1999999999999997E-3</v>
      </c>
      <c r="Z30" s="228">
        <v>2.6</v>
      </c>
      <c r="AA30" s="228">
        <v>2.6</v>
      </c>
      <c r="AB30" s="228">
        <v>0</v>
      </c>
      <c r="AC30" s="229">
        <v>6.4999999999999997E-3</v>
      </c>
      <c r="AD30" s="228">
        <v>2.6</v>
      </c>
      <c r="AE30" s="228">
        <v>2.6</v>
      </c>
      <c r="AF30" s="228">
        <v>0</v>
      </c>
      <c r="AG30" s="229">
        <v>6.4999999999999997E-3</v>
      </c>
      <c r="AH30" s="228">
        <v>4.5999999999999996</v>
      </c>
      <c r="AI30" s="228">
        <v>4.7</v>
      </c>
      <c r="AJ30" s="228">
        <v>-0.1</v>
      </c>
      <c r="AK30" s="229">
        <v>1.1599999999999999E-2</v>
      </c>
      <c r="AL30" s="228">
        <v>5.95</v>
      </c>
      <c r="AM30" s="228">
        <v>5.75</v>
      </c>
      <c r="AN30" s="228">
        <v>0.2</v>
      </c>
      <c r="AO30" s="229">
        <v>1.4999999999999999E-2</v>
      </c>
      <c r="AP30" s="228">
        <v>399.2</v>
      </c>
      <c r="AQ30" s="228">
        <v>401.06</v>
      </c>
      <c r="AR30" s="228">
        <v>0</v>
      </c>
      <c r="AS30" s="228">
        <v>336</v>
      </c>
      <c r="AT30" s="228">
        <v>522</v>
      </c>
      <c r="AU30" s="228">
        <v>-186</v>
      </c>
      <c r="AV30" s="229">
        <v>-0.35570000000000002</v>
      </c>
      <c r="AW30" s="228">
        <v>294</v>
      </c>
      <c r="AX30" s="228">
        <v>482</v>
      </c>
      <c r="AY30" s="228">
        <v>-189</v>
      </c>
      <c r="AZ30" s="229">
        <v>-0.3911</v>
      </c>
      <c r="BA30" s="228">
        <v>34</v>
      </c>
      <c r="BB30" s="228">
        <v>34</v>
      </c>
      <c r="BC30" s="228">
        <v>0</v>
      </c>
      <c r="BD30" s="229">
        <v>3.3999999999999998E-3</v>
      </c>
      <c r="BE30" s="228">
        <v>9</v>
      </c>
      <c r="BF30" s="228">
        <v>7</v>
      </c>
      <c r="BG30" s="228">
        <v>3</v>
      </c>
      <c r="BH30" s="229">
        <v>0.4123</v>
      </c>
      <c r="BI30" s="230">
        <v>1315</v>
      </c>
      <c r="BJ30" s="230">
        <v>2102</v>
      </c>
      <c r="BK30" s="228">
        <v>-787</v>
      </c>
      <c r="BL30" s="229">
        <v>-0.3745</v>
      </c>
      <c r="BM30" s="228">
        <v>562</v>
      </c>
      <c r="BN30" s="228">
        <v>886</v>
      </c>
      <c r="BO30" s="228">
        <v>-324</v>
      </c>
      <c r="BP30" s="229">
        <v>-0.36549999999999999</v>
      </c>
      <c r="BQ30" s="230">
        <v>2213</v>
      </c>
      <c r="BR30" s="230">
        <v>3510</v>
      </c>
      <c r="BS30" s="230">
        <v>-1297</v>
      </c>
      <c r="BT30" s="229">
        <v>-0.36940000000000001</v>
      </c>
      <c r="BU30" s="230">
        <v>6636575</v>
      </c>
      <c r="BV30" s="230">
        <v>10137376</v>
      </c>
      <c r="BW30" s="230">
        <v>-3500801</v>
      </c>
      <c r="BX30" s="229">
        <v>-0.3453</v>
      </c>
      <c r="BY30" s="230">
        <v>4953</v>
      </c>
      <c r="BZ30" s="230">
        <v>4928</v>
      </c>
      <c r="CA30" s="228">
        <v>25</v>
      </c>
      <c r="CB30" s="229">
        <v>5.1000000000000004E-3</v>
      </c>
      <c r="CC30" s="230">
        <v>4757</v>
      </c>
      <c r="CD30" s="230">
        <v>4744</v>
      </c>
      <c r="CE30" s="228">
        <v>14</v>
      </c>
      <c r="CF30" s="229">
        <v>2.8999999999999998E-3</v>
      </c>
      <c r="CG30" s="228">
        <v>185</v>
      </c>
      <c r="CH30" s="228">
        <v>180</v>
      </c>
      <c r="CI30" s="228">
        <v>6</v>
      </c>
      <c r="CJ30" s="229">
        <v>3.27E-2</v>
      </c>
      <c r="CK30" s="228">
        <v>10</v>
      </c>
      <c r="CL30" s="228">
        <v>5</v>
      </c>
      <c r="CM30" s="228">
        <v>6</v>
      </c>
      <c r="CN30" s="229">
        <v>1.2195</v>
      </c>
      <c r="CO30" s="230">
        <v>1672</v>
      </c>
      <c r="CP30" s="230">
        <v>1609</v>
      </c>
      <c r="CQ30" s="228">
        <v>62</v>
      </c>
      <c r="CR30" s="229">
        <v>3.8600000000000002E-2</v>
      </c>
      <c r="CS30" s="230">
        <v>1142</v>
      </c>
      <c r="CT30" s="230">
        <v>1125</v>
      </c>
      <c r="CU30" s="228">
        <v>18</v>
      </c>
      <c r="CV30" s="229">
        <v>1.5800000000000002E-2</v>
      </c>
      <c r="CW30" s="230">
        <v>7767</v>
      </c>
      <c r="CX30" s="230">
        <v>7662</v>
      </c>
      <c r="CY30" s="228">
        <v>105</v>
      </c>
      <c r="CZ30" s="229">
        <v>1.37E-2</v>
      </c>
      <c r="DA30" s="228">
        <v>23.61</v>
      </c>
      <c r="DB30" s="228">
        <v>23.53</v>
      </c>
      <c r="DC30" s="228">
        <v>0.08</v>
      </c>
      <c r="DD30" s="228">
        <v>0.08</v>
      </c>
      <c r="DE30" s="228">
        <v>35.6</v>
      </c>
      <c r="DF30" s="228">
        <v>35.69</v>
      </c>
      <c r="DG30" s="228">
        <v>-11.99</v>
      </c>
      <c r="DH30" s="228">
        <v>-0.09</v>
      </c>
      <c r="DI30" s="228">
        <v>23.64</v>
      </c>
      <c r="DJ30" s="228">
        <v>23.45</v>
      </c>
      <c r="DK30" s="228">
        <v>0.19</v>
      </c>
      <c r="DL30" s="228">
        <v>0.19</v>
      </c>
      <c r="DM30" s="228">
        <v>23.52</v>
      </c>
      <c r="DN30" s="228">
        <v>23.71</v>
      </c>
      <c r="DO30" s="228">
        <v>-0.19</v>
      </c>
      <c r="DP30" s="228">
        <v>-0.19</v>
      </c>
      <c r="DQ30" s="228">
        <v>0.68</v>
      </c>
      <c r="DR30" s="228">
        <v>0.7</v>
      </c>
      <c r="DS30" s="228">
        <v>-0.02</v>
      </c>
      <c r="DT30" s="229">
        <v>-2.86E-2</v>
      </c>
      <c r="DU30" s="228">
        <v>400</v>
      </c>
      <c r="DV30" s="228">
        <v>400</v>
      </c>
      <c r="DW30" s="228">
        <v>0.43</v>
      </c>
      <c r="DX30" s="228">
        <v>0.42</v>
      </c>
      <c r="DY30" s="228">
        <v>0.01</v>
      </c>
      <c r="DZ30" s="229">
        <v>2.3800000000000002E-2</v>
      </c>
      <c r="EA30" s="229">
        <v>3.95E-2</v>
      </c>
      <c r="EB30" s="230">
        <v>4601325</v>
      </c>
      <c r="EC30" s="229">
        <v>5.0000000000000001E-3</v>
      </c>
      <c r="ED30" s="229">
        <v>3.95E-2</v>
      </c>
      <c r="EE30" s="228">
        <v>1.86</v>
      </c>
      <c r="EF30" s="229">
        <v>4.7000000000000002E-3</v>
      </c>
      <c r="EG30" s="230">
        <v>2981673</v>
      </c>
      <c r="EH30" s="230">
        <v>4900880</v>
      </c>
      <c r="EI30" s="229">
        <v>-0.3916</v>
      </c>
      <c r="EJ30" s="229">
        <v>0.44929999999999998</v>
      </c>
      <c r="EK30" s="231">
        <v>1381.98</v>
      </c>
      <c r="EL30" s="228">
        <v>552.32000000000005</v>
      </c>
      <c r="EM30" s="228">
        <v>335.68</v>
      </c>
      <c r="EN30" s="228">
        <v>397.56</v>
      </c>
      <c r="EO30" s="231">
        <v>2269.9699999999998</v>
      </c>
      <c r="EP30" s="231">
        <v>3604.62</v>
      </c>
      <c r="EQ30" s="231">
        <v>-1334.65</v>
      </c>
      <c r="ER30" s="229">
        <v>-0.37030000000000002</v>
      </c>
      <c r="ES30" s="231">
        <v>1726.69</v>
      </c>
      <c r="ET30" s="231">
        <v>1118.48</v>
      </c>
      <c r="EU30" s="231">
        <v>4954.1499999999996</v>
      </c>
      <c r="EV30" s="231">
        <v>535778534</v>
      </c>
      <c r="EW30" s="231">
        <v>7799.31</v>
      </c>
      <c r="EX30" s="231">
        <v>7717.09</v>
      </c>
      <c r="EY30" s="228">
        <v>82.22</v>
      </c>
      <c r="EZ30" s="229">
        <v>1.0699999999999999E-2</v>
      </c>
      <c r="FA30" s="229">
        <v>0.36220000000000002</v>
      </c>
      <c r="FB30" s="227" t="s">
        <v>567</v>
      </c>
      <c r="FC30">
        <f t="shared" si="0"/>
        <v>196</v>
      </c>
    </row>
    <row r="31" spans="1:159" ht="17.25" thickBot="1" x14ac:dyDescent="0.3">
      <c r="A31" s="226">
        <v>46023</v>
      </c>
      <c r="B31" s="227" t="s">
        <v>162</v>
      </c>
      <c r="C31" s="227" t="s">
        <v>187</v>
      </c>
      <c r="D31" s="228">
        <v>500</v>
      </c>
      <c r="E31" s="228">
        <v>26</v>
      </c>
      <c r="F31" s="231">
        <v>1473.8</v>
      </c>
      <c r="G31" s="231">
        <v>1476.8</v>
      </c>
      <c r="H31" s="228">
        <v>-3</v>
      </c>
      <c r="I31" s="229">
        <v>-2E-3</v>
      </c>
      <c r="J31" s="231">
        <v>1464.4</v>
      </c>
      <c r="K31" s="231">
        <v>1470.4</v>
      </c>
      <c r="L31" s="228">
        <v>-6</v>
      </c>
      <c r="M31" s="229">
        <v>-4.1000000000000003E-3</v>
      </c>
      <c r="N31" s="231">
        <v>1473.8</v>
      </c>
      <c r="O31" s="231">
        <v>1476.8</v>
      </c>
      <c r="P31" s="228">
        <v>-3</v>
      </c>
      <c r="Q31" s="229">
        <v>-2E-3</v>
      </c>
      <c r="R31" s="231">
        <v>1481.7</v>
      </c>
      <c r="S31" s="231">
        <v>1481.7</v>
      </c>
      <c r="T31" s="228">
        <v>0</v>
      </c>
      <c r="U31" s="229">
        <v>0</v>
      </c>
      <c r="V31" s="231">
        <v>1480</v>
      </c>
      <c r="W31" s="231">
        <v>1486.1</v>
      </c>
      <c r="X31" s="228">
        <v>-6.1</v>
      </c>
      <c r="Y31" s="229">
        <v>-4.1000000000000003E-3</v>
      </c>
      <c r="Z31" s="228">
        <v>9.4</v>
      </c>
      <c r="AA31" s="228">
        <v>6.4</v>
      </c>
      <c r="AB31" s="228">
        <v>3</v>
      </c>
      <c r="AC31" s="229">
        <v>6.4000000000000003E-3</v>
      </c>
      <c r="AD31" s="228">
        <v>9.4</v>
      </c>
      <c r="AE31" s="228">
        <v>6.4</v>
      </c>
      <c r="AF31" s="228">
        <v>3</v>
      </c>
      <c r="AG31" s="229">
        <v>6.4000000000000003E-3</v>
      </c>
      <c r="AH31" s="228">
        <v>17.3</v>
      </c>
      <c r="AI31" s="228">
        <v>11.3</v>
      </c>
      <c r="AJ31" s="228">
        <v>6</v>
      </c>
      <c r="AK31" s="229">
        <v>1.18E-2</v>
      </c>
      <c r="AL31" s="228">
        <v>15.6</v>
      </c>
      <c r="AM31" s="228">
        <v>15.7</v>
      </c>
      <c r="AN31" s="228">
        <v>-0.1</v>
      </c>
      <c r="AO31" s="229">
        <v>1.0699999999999999E-2</v>
      </c>
      <c r="AP31" s="231">
        <v>1475.45</v>
      </c>
      <c r="AQ31" s="231">
        <v>1481.81</v>
      </c>
      <c r="AR31" s="228">
        <v>0</v>
      </c>
      <c r="AS31" s="228">
        <v>178</v>
      </c>
      <c r="AT31" s="228">
        <v>415</v>
      </c>
      <c r="AU31" s="228">
        <v>-237</v>
      </c>
      <c r="AV31" s="229">
        <v>-0.57069999999999999</v>
      </c>
      <c r="AW31" s="228">
        <v>174</v>
      </c>
      <c r="AX31" s="228">
        <v>401</v>
      </c>
      <c r="AY31" s="228">
        <v>-227</v>
      </c>
      <c r="AZ31" s="229">
        <v>-0.56689999999999996</v>
      </c>
      <c r="BA31" s="228">
        <v>4</v>
      </c>
      <c r="BB31" s="228">
        <v>11</v>
      </c>
      <c r="BC31" s="228">
        <v>-7</v>
      </c>
      <c r="BD31" s="229">
        <v>-0.64710000000000001</v>
      </c>
      <c r="BE31" s="228">
        <v>1</v>
      </c>
      <c r="BF31" s="228">
        <v>3</v>
      </c>
      <c r="BG31" s="228">
        <v>-2</v>
      </c>
      <c r="BH31" s="229">
        <v>-0.81579999999999997</v>
      </c>
      <c r="BI31" s="228">
        <v>487</v>
      </c>
      <c r="BJ31" s="230">
        <v>1884</v>
      </c>
      <c r="BK31" s="230">
        <v>-1397</v>
      </c>
      <c r="BL31" s="229">
        <v>-0.74139999999999995</v>
      </c>
      <c r="BM31" s="228">
        <v>233</v>
      </c>
      <c r="BN31" s="228">
        <v>447</v>
      </c>
      <c r="BO31" s="228">
        <v>-214</v>
      </c>
      <c r="BP31" s="229">
        <v>-0.47849999999999998</v>
      </c>
      <c r="BQ31" s="228">
        <v>898</v>
      </c>
      <c r="BR31" s="230">
        <v>2746</v>
      </c>
      <c r="BS31" s="230">
        <v>-1847</v>
      </c>
      <c r="BT31" s="229">
        <v>-0.67290000000000005</v>
      </c>
      <c r="BU31" s="230">
        <v>386208</v>
      </c>
      <c r="BV31" s="230">
        <v>2045685</v>
      </c>
      <c r="BW31" s="230">
        <v>-1659477</v>
      </c>
      <c r="BX31" s="229">
        <v>-0.81120000000000003</v>
      </c>
      <c r="BY31" s="230">
        <v>1233</v>
      </c>
      <c r="BZ31" s="230">
        <v>1194</v>
      </c>
      <c r="CA31" s="228">
        <v>39</v>
      </c>
      <c r="CB31" s="229">
        <v>3.2899999999999999E-2</v>
      </c>
      <c r="CC31" s="230">
        <v>1213</v>
      </c>
      <c r="CD31" s="230">
        <v>1174</v>
      </c>
      <c r="CE31" s="228">
        <v>39</v>
      </c>
      <c r="CF31" s="229">
        <v>3.32E-2</v>
      </c>
      <c r="CG31" s="228">
        <v>18</v>
      </c>
      <c r="CH31" s="228">
        <v>17</v>
      </c>
      <c r="CI31" s="228">
        <v>0</v>
      </c>
      <c r="CJ31" s="229">
        <v>1.2699999999999999E-2</v>
      </c>
      <c r="CK31" s="228">
        <v>2</v>
      </c>
      <c r="CL31" s="228">
        <v>2</v>
      </c>
      <c r="CM31" s="228">
        <v>0</v>
      </c>
      <c r="CN31" s="229">
        <v>3.5700000000000003E-2</v>
      </c>
      <c r="CO31" s="228">
        <v>402</v>
      </c>
      <c r="CP31" s="228">
        <v>396</v>
      </c>
      <c r="CQ31" s="228">
        <v>6</v>
      </c>
      <c r="CR31" s="229">
        <v>1.49E-2</v>
      </c>
      <c r="CS31" s="228">
        <v>234</v>
      </c>
      <c r="CT31" s="228">
        <v>221</v>
      </c>
      <c r="CU31" s="228">
        <v>13</v>
      </c>
      <c r="CV31" s="229">
        <v>6.0299999999999999E-2</v>
      </c>
      <c r="CW31" s="230">
        <v>1869</v>
      </c>
      <c r="CX31" s="230">
        <v>1810</v>
      </c>
      <c r="CY31" s="228">
        <v>59</v>
      </c>
      <c r="CZ31" s="229">
        <v>3.2300000000000002E-2</v>
      </c>
      <c r="DA31" s="228">
        <v>23.8</v>
      </c>
      <c r="DB31" s="228">
        <v>24.76</v>
      </c>
      <c r="DC31" s="228">
        <v>-0.96</v>
      </c>
      <c r="DD31" s="228">
        <v>-0.96</v>
      </c>
      <c r="DE31" s="228">
        <v>36.43</v>
      </c>
      <c r="DF31" s="228">
        <v>36.520000000000003</v>
      </c>
      <c r="DG31" s="228">
        <v>-12.63</v>
      </c>
      <c r="DH31" s="228">
        <v>-0.09</v>
      </c>
      <c r="DI31" s="228">
        <v>23.85</v>
      </c>
      <c r="DJ31" s="228">
        <v>24.79</v>
      </c>
      <c r="DK31" s="228">
        <v>-0.94</v>
      </c>
      <c r="DL31" s="228">
        <v>-0.94</v>
      </c>
      <c r="DM31" s="228">
        <v>23.7</v>
      </c>
      <c r="DN31" s="228">
        <v>24.61</v>
      </c>
      <c r="DO31" s="228">
        <v>-0.91</v>
      </c>
      <c r="DP31" s="228">
        <v>-0.91</v>
      </c>
      <c r="DQ31" s="228">
        <v>0.57999999999999996</v>
      </c>
      <c r="DR31" s="228">
        <v>0.56000000000000005</v>
      </c>
      <c r="DS31" s="228">
        <v>0.02</v>
      </c>
      <c r="DT31" s="229">
        <v>3.5700000000000003E-2</v>
      </c>
      <c r="DU31" s="231">
        <v>1500</v>
      </c>
      <c r="DV31" s="231">
        <v>1460</v>
      </c>
      <c r="DW31" s="228">
        <v>0.48</v>
      </c>
      <c r="DX31" s="228">
        <v>0.24</v>
      </c>
      <c r="DY31" s="228">
        <v>0.24</v>
      </c>
      <c r="DZ31" s="229">
        <v>1</v>
      </c>
      <c r="EA31" s="229">
        <v>1.61E-2</v>
      </c>
      <c r="EB31" s="230">
        <v>132500</v>
      </c>
      <c r="EC31" s="229">
        <v>5.4000000000000003E-3</v>
      </c>
      <c r="ED31" s="229">
        <v>1.61E-2</v>
      </c>
      <c r="EE31" s="228">
        <v>6.36</v>
      </c>
      <c r="EF31" s="229">
        <v>4.3E-3</v>
      </c>
      <c r="EG31" s="230">
        <v>116664</v>
      </c>
      <c r="EH31" s="230">
        <v>496145</v>
      </c>
      <c r="EI31" s="229">
        <v>-0.76490000000000002</v>
      </c>
      <c r="EJ31" s="229">
        <v>0.30209999999999998</v>
      </c>
      <c r="EK31" s="228">
        <v>507.04</v>
      </c>
      <c r="EL31" s="228">
        <v>233.18</v>
      </c>
      <c r="EM31" s="228">
        <v>178.26</v>
      </c>
      <c r="EN31" s="228">
        <v>92.1</v>
      </c>
      <c r="EO31" s="228">
        <v>918.47</v>
      </c>
      <c r="EP31" s="231">
        <v>2826.69</v>
      </c>
      <c r="EQ31" s="231">
        <v>-1908.22</v>
      </c>
      <c r="ER31" s="229">
        <v>-0.67510000000000003</v>
      </c>
      <c r="ES31" s="228">
        <v>410.33</v>
      </c>
      <c r="ET31" s="228">
        <v>227.31</v>
      </c>
      <c r="EU31" s="231">
        <v>1232.94</v>
      </c>
      <c r="EV31" s="231">
        <v>40107751</v>
      </c>
      <c r="EW31" s="231">
        <v>1870.58</v>
      </c>
      <c r="EX31" s="231">
        <v>1814.21</v>
      </c>
      <c r="EY31" s="228">
        <v>56.37</v>
      </c>
      <c r="EZ31" s="229">
        <v>3.1099999999999999E-2</v>
      </c>
      <c r="FA31" s="229">
        <v>0.31619999999999998</v>
      </c>
      <c r="FB31" s="227" t="s">
        <v>567</v>
      </c>
      <c r="FC31">
        <f t="shared" si="0"/>
        <v>20</v>
      </c>
    </row>
    <row r="32" spans="1:159" ht="17.25" thickBot="1" x14ac:dyDescent="0.3">
      <c r="A32" s="226">
        <v>46023</v>
      </c>
      <c r="B32" s="227" t="s">
        <v>188</v>
      </c>
      <c r="C32" s="227" t="s">
        <v>189</v>
      </c>
      <c r="D32" s="228">
        <v>475</v>
      </c>
      <c r="E32" s="228">
        <v>26</v>
      </c>
      <c r="F32" s="231">
        <v>2123.6</v>
      </c>
      <c r="G32" s="231">
        <v>2118.9</v>
      </c>
      <c r="H32" s="228">
        <v>4.7</v>
      </c>
      <c r="I32" s="229">
        <v>2.2000000000000001E-3</v>
      </c>
      <c r="J32" s="231">
        <v>2110.4</v>
      </c>
      <c r="K32" s="231">
        <v>2105.6</v>
      </c>
      <c r="L32" s="228">
        <v>4.8</v>
      </c>
      <c r="M32" s="229">
        <v>2.3E-3</v>
      </c>
      <c r="N32" s="231">
        <v>2123.6</v>
      </c>
      <c r="O32" s="231">
        <v>2118.9</v>
      </c>
      <c r="P32" s="228">
        <v>4.7</v>
      </c>
      <c r="Q32" s="229">
        <v>2.2000000000000001E-3</v>
      </c>
      <c r="R32" s="231">
        <v>2132.5</v>
      </c>
      <c r="S32" s="231">
        <v>2125.8000000000002</v>
      </c>
      <c r="T32" s="228">
        <v>6.7</v>
      </c>
      <c r="U32" s="229">
        <v>3.2000000000000002E-3</v>
      </c>
      <c r="V32" s="231">
        <v>2143.6</v>
      </c>
      <c r="W32" s="231">
        <v>2136.8000000000002</v>
      </c>
      <c r="X32" s="228">
        <v>6.8</v>
      </c>
      <c r="Y32" s="229">
        <v>3.2000000000000002E-3</v>
      </c>
      <c r="Z32" s="228">
        <v>13.2</v>
      </c>
      <c r="AA32" s="228">
        <v>13.3</v>
      </c>
      <c r="AB32" s="228">
        <v>-0.1</v>
      </c>
      <c r="AC32" s="229">
        <v>6.3E-3</v>
      </c>
      <c r="AD32" s="228">
        <v>13.2</v>
      </c>
      <c r="AE32" s="228">
        <v>13.3</v>
      </c>
      <c r="AF32" s="228">
        <v>-0.1</v>
      </c>
      <c r="AG32" s="229">
        <v>6.3E-3</v>
      </c>
      <c r="AH32" s="228">
        <v>22.1</v>
      </c>
      <c r="AI32" s="228">
        <v>20.2</v>
      </c>
      <c r="AJ32" s="228">
        <v>1.9</v>
      </c>
      <c r="AK32" s="229">
        <v>1.0500000000000001E-2</v>
      </c>
      <c r="AL32" s="228">
        <v>33.200000000000003</v>
      </c>
      <c r="AM32" s="228">
        <v>31.2</v>
      </c>
      <c r="AN32" s="228">
        <v>2</v>
      </c>
      <c r="AO32" s="229">
        <v>1.5699999999999999E-2</v>
      </c>
      <c r="AP32" s="231">
        <v>2126.81</v>
      </c>
      <c r="AQ32" s="231">
        <v>2135.17</v>
      </c>
      <c r="AR32" s="228">
        <v>0</v>
      </c>
      <c r="AS32" s="228">
        <v>516</v>
      </c>
      <c r="AT32" s="228">
        <v>882</v>
      </c>
      <c r="AU32" s="228">
        <v>-366</v>
      </c>
      <c r="AV32" s="229">
        <v>-0.4153</v>
      </c>
      <c r="AW32" s="228">
        <v>491</v>
      </c>
      <c r="AX32" s="228">
        <v>819</v>
      </c>
      <c r="AY32" s="228">
        <v>-328</v>
      </c>
      <c r="AZ32" s="229">
        <v>-0.4</v>
      </c>
      <c r="BA32" s="228">
        <v>16</v>
      </c>
      <c r="BB32" s="228">
        <v>61</v>
      </c>
      <c r="BC32" s="228">
        <v>-46</v>
      </c>
      <c r="BD32" s="229">
        <v>-0.74509999999999998</v>
      </c>
      <c r="BE32" s="228">
        <v>9</v>
      </c>
      <c r="BF32" s="228">
        <v>2</v>
      </c>
      <c r="BG32" s="228">
        <v>7</v>
      </c>
      <c r="BH32" s="229">
        <v>4.6666999999999996</v>
      </c>
      <c r="BI32" s="230">
        <v>2023</v>
      </c>
      <c r="BJ32" s="230">
        <v>3861</v>
      </c>
      <c r="BK32" s="230">
        <v>-1837</v>
      </c>
      <c r="BL32" s="229">
        <v>-0.47589999999999999</v>
      </c>
      <c r="BM32" s="228">
        <v>943</v>
      </c>
      <c r="BN32" s="230">
        <v>1925</v>
      </c>
      <c r="BO32" s="228">
        <v>-982</v>
      </c>
      <c r="BP32" s="229">
        <v>-0.51019999999999999</v>
      </c>
      <c r="BQ32" s="230">
        <v>3482</v>
      </c>
      <c r="BR32" s="230">
        <v>6667</v>
      </c>
      <c r="BS32" s="230">
        <v>-3186</v>
      </c>
      <c r="BT32" s="229">
        <v>-0.4778</v>
      </c>
      <c r="BU32" s="230">
        <v>2326718</v>
      </c>
      <c r="BV32" s="230">
        <v>3068298</v>
      </c>
      <c r="BW32" s="230">
        <v>-741580</v>
      </c>
      <c r="BX32" s="229">
        <v>-0.2417</v>
      </c>
      <c r="BY32" s="230">
        <v>10290</v>
      </c>
      <c r="BZ32" s="230">
        <v>10249</v>
      </c>
      <c r="CA32" s="228">
        <v>41</v>
      </c>
      <c r="CB32" s="229">
        <v>4.0000000000000001E-3</v>
      </c>
      <c r="CC32" s="230">
        <v>9864</v>
      </c>
      <c r="CD32" s="230">
        <v>9832</v>
      </c>
      <c r="CE32" s="228">
        <v>32</v>
      </c>
      <c r="CF32" s="229">
        <v>3.3E-3</v>
      </c>
      <c r="CG32" s="228">
        <v>419</v>
      </c>
      <c r="CH32" s="228">
        <v>416</v>
      </c>
      <c r="CI32" s="228">
        <v>3</v>
      </c>
      <c r="CJ32" s="229">
        <v>7.3000000000000001E-3</v>
      </c>
      <c r="CK32" s="228">
        <v>7</v>
      </c>
      <c r="CL32" s="228">
        <v>1</v>
      </c>
      <c r="CM32" s="228">
        <v>6</v>
      </c>
      <c r="CN32" s="229">
        <v>5.1666999999999996</v>
      </c>
      <c r="CO32" s="230">
        <v>1384</v>
      </c>
      <c r="CP32" s="230">
        <v>1244</v>
      </c>
      <c r="CQ32" s="228">
        <v>141</v>
      </c>
      <c r="CR32" s="229">
        <v>0.113</v>
      </c>
      <c r="CS32" s="228">
        <v>910</v>
      </c>
      <c r="CT32" s="228">
        <v>813</v>
      </c>
      <c r="CU32" s="228">
        <v>97</v>
      </c>
      <c r="CV32" s="229">
        <v>0.1196</v>
      </c>
      <c r="CW32" s="230">
        <v>12584</v>
      </c>
      <c r="CX32" s="230">
        <v>12305</v>
      </c>
      <c r="CY32" s="228">
        <v>279</v>
      </c>
      <c r="CZ32" s="229">
        <v>2.2700000000000001E-2</v>
      </c>
      <c r="DA32" s="228">
        <v>14.43</v>
      </c>
      <c r="DB32" s="228">
        <v>15.11</v>
      </c>
      <c r="DC32" s="228">
        <v>-0.68</v>
      </c>
      <c r="DD32" s="228">
        <v>-0.68</v>
      </c>
      <c r="DE32" s="228">
        <v>24.37</v>
      </c>
      <c r="DF32" s="228">
        <v>24.42</v>
      </c>
      <c r="DG32" s="228">
        <v>-9.94</v>
      </c>
      <c r="DH32" s="228">
        <v>-0.05</v>
      </c>
      <c r="DI32" s="228">
        <v>14.28</v>
      </c>
      <c r="DJ32" s="228">
        <v>14.9</v>
      </c>
      <c r="DK32" s="228">
        <v>-0.62</v>
      </c>
      <c r="DL32" s="228">
        <v>-0.62</v>
      </c>
      <c r="DM32" s="228">
        <v>14.74</v>
      </c>
      <c r="DN32" s="228">
        <v>15.53</v>
      </c>
      <c r="DO32" s="228">
        <v>-0.79</v>
      </c>
      <c r="DP32" s="228">
        <v>-0.79</v>
      </c>
      <c r="DQ32" s="228">
        <v>0.66</v>
      </c>
      <c r="DR32" s="228">
        <v>0.65</v>
      </c>
      <c r="DS32" s="228">
        <v>0.01</v>
      </c>
      <c r="DT32" s="229">
        <v>1.54E-2</v>
      </c>
      <c r="DU32" s="231">
        <v>2200</v>
      </c>
      <c r="DV32" s="231">
        <v>2000</v>
      </c>
      <c r="DW32" s="228">
        <v>0.47</v>
      </c>
      <c r="DX32" s="228">
        <v>0.5</v>
      </c>
      <c r="DY32" s="228">
        <v>-0.03</v>
      </c>
      <c r="DZ32" s="229">
        <v>-0.06</v>
      </c>
      <c r="EA32" s="229">
        <v>4.1399999999999999E-2</v>
      </c>
      <c r="EB32" s="230">
        <v>1963650</v>
      </c>
      <c r="EC32" s="229">
        <v>4.1999999999999997E-3</v>
      </c>
      <c r="ED32" s="229">
        <v>4.1399999999999999E-2</v>
      </c>
      <c r="EE32" s="228">
        <v>8.36</v>
      </c>
      <c r="EF32" s="229">
        <v>3.8999999999999998E-3</v>
      </c>
      <c r="EG32" s="230">
        <v>745060</v>
      </c>
      <c r="EH32" s="230">
        <v>1957453</v>
      </c>
      <c r="EI32" s="229">
        <v>-0.61939999999999995</v>
      </c>
      <c r="EJ32" s="229">
        <v>0.32019999999999998</v>
      </c>
      <c r="EK32" s="231">
        <v>2078.37</v>
      </c>
      <c r="EL32" s="228">
        <v>930.33</v>
      </c>
      <c r="EM32" s="228">
        <v>516.57000000000005</v>
      </c>
      <c r="EN32" s="228">
        <v>335.36</v>
      </c>
      <c r="EO32" s="231">
        <v>3525.27</v>
      </c>
      <c r="EP32" s="231">
        <v>6725.31</v>
      </c>
      <c r="EQ32" s="231">
        <v>-3200.04</v>
      </c>
      <c r="ER32" s="229">
        <v>-0.4758</v>
      </c>
      <c r="ES32" s="231">
        <v>1414.06</v>
      </c>
      <c r="ET32" s="228">
        <v>882.77</v>
      </c>
      <c r="EU32" s="231">
        <v>10292.08</v>
      </c>
      <c r="EV32" s="231">
        <v>367085962</v>
      </c>
      <c r="EW32" s="231">
        <v>12588.91</v>
      </c>
      <c r="EX32" s="231">
        <v>12284.82</v>
      </c>
      <c r="EY32" s="228">
        <v>304.08999999999997</v>
      </c>
      <c r="EZ32" s="229">
        <v>2.4799999999999999E-2</v>
      </c>
      <c r="FA32" s="229">
        <v>0.16139999999999999</v>
      </c>
      <c r="FB32" s="227" t="s">
        <v>555</v>
      </c>
      <c r="FC32">
        <f t="shared" si="0"/>
        <v>426</v>
      </c>
    </row>
    <row r="33" spans="1:159" ht="17.25" thickBot="1" x14ac:dyDescent="0.3">
      <c r="A33" s="226">
        <v>46023</v>
      </c>
      <c r="B33" s="227" t="s">
        <v>184</v>
      </c>
      <c r="C33" s="227" t="s">
        <v>190</v>
      </c>
      <c r="D33" s="228">
        <v>2625</v>
      </c>
      <c r="E33" s="228">
        <v>26</v>
      </c>
      <c r="F33" s="228">
        <v>293.39999999999998</v>
      </c>
      <c r="G33" s="228">
        <v>289.2</v>
      </c>
      <c r="H33" s="228">
        <v>4.2</v>
      </c>
      <c r="I33" s="229">
        <v>1.4500000000000001E-2</v>
      </c>
      <c r="J33" s="228">
        <v>291.45</v>
      </c>
      <c r="K33" s="228">
        <v>287.45</v>
      </c>
      <c r="L33" s="228">
        <v>4</v>
      </c>
      <c r="M33" s="229">
        <v>1.3899999999999999E-2</v>
      </c>
      <c r="N33" s="228">
        <v>293.39999999999998</v>
      </c>
      <c r="O33" s="228">
        <v>289.2</v>
      </c>
      <c r="P33" s="228">
        <v>4.2</v>
      </c>
      <c r="Q33" s="229">
        <v>1.4500000000000001E-2</v>
      </c>
      <c r="R33" s="228">
        <v>295.10000000000002</v>
      </c>
      <c r="S33" s="228">
        <v>290.8</v>
      </c>
      <c r="T33" s="228">
        <v>4.3</v>
      </c>
      <c r="U33" s="229">
        <v>1.4800000000000001E-2</v>
      </c>
      <c r="V33" s="228">
        <v>296.45</v>
      </c>
      <c r="W33" s="228">
        <v>292.85000000000002</v>
      </c>
      <c r="X33" s="228">
        <v>3.6</v>
      </c>
      <c r="Y33" s="229">
        <v>1.23E-2</v>
      </c>
      <c r="Z33" s="228">
        <v>1.95</v>
      </c>
      <c r="AA33" s="228">
        <v>1.75</v>
      </c>
      <c r="AB33" s="228">
        <v>0.2</v>
      </c>
      <c r="AC33" s="229">
        <v>6.7000000000000002E-3</v>
      </c>
      <c r="AD33" s="228">
        <v>1.95</v>
      </c>
      <c r="AE33" s="228">
        <v>1.75</v>
      </c>
      <c r="AF33" s="228">
        <v>0.2</v>
      </c>
      <c r="AG33" s="229">
        <v>6.7000000000000002E-3</v>
      </c>
      <c r="AH33" s="228">
        <v>3.65</v>
      </c>
      <c r="AI33" s="228">
        <v>3.35</v>
      </c>
      <c r="AJ33" s="228">
        <v>0.3</v>
      </c>
      <c r="AK33" s="229">
        <v>1.2500000000000001E-2</v>
      </c>
      <c r="AL33" s="228">
        <v>5</v>
      </c>
      <c r="AM33" s="228">
        <v>5.4</v>
      </c>
      <c r="AN33" s="228">
        <v>-0.4</v>
      </c>
      <c r="AO33" s="229">
        <v>1.72E-2</v>
      </c>
      <c r="AP33" s="228">
        <v>292.66000000000003</v>
      </c>
      <c r="AQ33" s="228">
        <v>294.14</v>
      </c>
      <c r="AR33" s="228">
        <v>0</v>
      </c>
      <c r="AS33" s="228">
        <v>472</v>
      </c>
      <c r="AT33" s="228">
        <v>737</v>
      </c>
      <c r="AU33" s="228">
        <v>-264</v>
      </c>
      <c r="AV33" s="229">
        <v>-0.35870000000000002</v>
      </c>
      <c r="AW33" s="228">
        <v>448</v>
      </c>
      <c r="AX33" s="228">
        <v>699</v>
      </c>
      <c r="AY33" s="228">
        <v>-250</v>
      </c>
      <c r="AZ33" s="229">
        <v>-0.3584</v>
      </c>
      <c r="BA33" s="228">
        <v>21</v>
      </c>
      <c r="BB33" s="228">
        <v>36</v>
      </c>
      <c r="BC33" s="228">
        <v>-15</v>
      </c>
      <c r="BD33" s="229">
        <v>-0.41860000000000003</v>
      </c>
      <c r="BE33" s="228">
        <v>3</v>
      </c>
      <c r="BF33" s="228">
        <v>2</v>
      </c>
      <c r="BG33" s="228">
        <v>1</v>
      </c>
      <c r="BH33" s="229">
        <v>0.85709999999999997</v>
      </c>
      <c r="BI33" s="230">
        <v>1667</v>
      </c>
      <c r="BJ33" s="230">
        <v>1959</v>
      </c>
      <c r="BK33" s="228">
        <v>-292</v>
      </c>
      <c r="BL33" s="229">
        <v>-0.14899999999999999</v>
      </c>
      <c r="BM33" s="228">
        <v>502</v>
      </c>
      <c r="BN33" s="228">
        <v>703</v>
      </c>
      <c r="BO33" s="228">
        <v>-201</v>
      </c>
      <c r="BP33" s="229">
        <v>-0.28570000000000001</v>
      </c>
      <c r="BQ33" s="230">
        <v>2642</v>
      </c>
      <c r="BR33" s="230">
        <v>3399</v>
      </c>
      <c r="BS33" s="228">
        <v>-757</v>
      </c>
      <c r="BT33" s="229">
        <v>-0.22270000000000001</v>
      </c>
      <c r="BU33" s="230">
        <v>8571944</v>
      </c>
      <c r="BV33" s="230">
        <v>11279282</v>
      </c>
      <c r="BW33" s="230">
        <v>-2707338</v>
      </c>
      <c r="BX33" s="229">
        <v>-0.24</v>
      </c>
      <c r="BY33" s="230">
        <v>2005</v>
      </c>
      <c r="BZ33" s="230">
        <v>1959</v>
      </c>
      <c r="CA33" s="228">
        <v>45</v>
      </c>
      <c r="CB33" s="229">
        <v>2.3199999999999998E-2</v>
      </c>
      <c r="CC33" s="230">
        <v>1959</v>
      </c>
      <c r="CD33" s="230">
        <v>1916</v>
      </c>
      <c r="CE33" s="228">
        <v>43</v>
      </c>
      <c r="CF33" s="229">
        <v>2.2499999999999999E-2</v>
      </c>
      <c r="CG33" s="228">
        <v>44</v>
      </c>
      <c r="CH33" s="228">
        <v>42</v>
      </c>
      <c r="CI33" s="228">
        <v>2</v>
      </c>
      <c r="CJ33" s="229">
        <v>4.0399999999999998E-2</v>
      </c>
      <c r="CK33" s="228">
        <v>2</v>
      </c>
      <c r="CL33" s="228">
        <v>1</v>
      </c>
      <c r="CM33" s="228">
        <v>1</v>
      </c>
      <c r="CN33" s="229">
        <v>0.38890000000000002</v>
      </c>
      <c r="CO33" s="228">
        <v>877</v>
      </c>
      <c r="CP33" s="228">
        <v>818</v>
      </c>
      <c r="CQ33" s="228">
        <v>59</v>
      </c>
      <c r="CR33" s="229">
        <v>7.2499999999999995E-2</v>
      </c>
      <c r="CS33" s="228">
        <v>512</v>
      </c>
      <c r="CT33" s="228">
        <v>441</v>
      </c>
      <c r="CU33" s="228">
        <v>71</v>
      </c>
      <c r="CV33" s="229">
        <v>0.16189999999999999</v>
      </c>
      <c r="CW33" s="230">
        <v>3394</v>
      </c>
      <c r="CX33" s="230">
        <v>3218</v>
      </c>
      <c r="CY33" s="228">
        <v>176</v>
      </c>
      <c r="CZ33" s="229">
        <v>5.4699999999999999E-2</v>
      </c>
      <c r="DA33" s="228">
        <v>30.42</v>
      </c>
      <c r="DB33" s="228">
        <v>30.67</v>
      </c>
      <c r="DC33" s="228">
        <v>-0.25</v>
      </c>
      <c r="DD33" s="228">
        <v>-0.25</v>
      </c>
      <c r="DE33" s="228">
        <v>43.56</v>
      </c>
      <c r="DF33" s="228">
        <v>43.63</v>
      </c>
      <c r="DG33" s="228">
        <v>-13.14</v>
      </c>
      <c r="DH33" s="228">
        <v>-7.0000000000000007E-2</v>
      </c>
      <c r="DI33" s="228">
        <v>30.35</v>
      </c>
      <c r="DJ33" s="228">
        <v>30.66</v>
      </c>
      <c r="DK33" s="228">
        <v>-0.31</v>
      </c>
      <c r="DL33" s="228">
        <v>-0.31</v>
      </c>
      <c r="DM33" s="228">
        <v>30.67</v>
      </c>
      <c r="DN33" s="228">
        <v>30.68</v>
      </c>
      <c r="DO33" s="228">
        <v>-0.01</v>
      </c>
      <c r="DP33" s="228">
        <v>-0.01</v>
      </c>
      <c r="DQ33" s="228">
        <v>0.57999999999999996</v>
      </c>
      <c r="DR33" s="228">
        <v>0.54</v>
      </c>
      <c r="DS33" s="228">
        <v>0.04</v>
      </c>
      <c r="DT33" s="229">
        <v>7.4099999999999999E-2</v>
      </c>
      <c r="DU33" s="228">
        <v>300</v>
      </c>
      <c r="DV33" s="228">
        <v>280</v>
      </c>
      <c r="DW33" s="228">
        <v>0.3</v>
      </c>
      <c r="DX33" s="228">
        <v>0.36</v>
      </c>
      <c r="DY33" s="228">
        <v>-0.06</v>
      </c>
      <c r="DZ33" s="229">
        <v>-0.16669999999999999</v>
      </c>
      <c r="EA33" s="229">
        <v>2.2700000000000001E-2</v>
      </c>
      <c r="EB33" s="230">
        <v>1475250</v>
      </c>
      <c r="EC33" s="229">
        <v>5.7999999999999996E-3</v>
      </c>
      <c r="ED33" s="229">
        <v>2.2700000000000001E-2</v>
      </c>
      <c r="EE33" s="228">
        <v>1.48</v>
      </c>
      <c r="EF33" s="229">
        <v>5.1000000000000004E-3</v>
      </c>
      <c r="EG33" s="230">
        <v>3070639</v>
      </c>
      <c r="EH33" s="230">
        <v>4503238</v>
      </c>
      <c r="EI33" s="229">
        <v>-0.31809999999999999</v>
      </c>
      <c r="EJ33" s="229">
        <v>0.35820000000000002</v>
      </c>
      <c r="EK33" s="231">
        <v>1739.04</v>
      </c>
      <c r="EL33" s="228">
        <v>493.38</v>
      </c>
      <c r="EM33" s="228">
        <v>471.37</v>
      </c>
      <c r="EN33" s="228">
        <v>141.87</v>
      </c>
      <c r="EO33" s="231">
        <v>2703.79</v>
      </c>
      <c r="EP33" s="231">
        <v>3432.52</v>
      </c>
      <c r="EQ33" s="228">
        <v>-728.73</v>
      </c>
      <c r="ER33" s="229">
        <v>-0.21229999999999999</v>
      </c>
      <c r="ES33" s="228">
        <v>886.07</v>
      </c>
      <c r="ET33" s="228">
        <v>480.63</v>
      </c>
      <c r="EU33" s="231">
        <v>2005.12</v>
      </c>
      <c r="EV33" s="231">
        <v>192361942</v>
      </c>
      <c r="EW33" s="231">
        <v>3371.81</v>
      </c>
      <c r="EX33" s="231">
        <v>3166.66</v>
      </c>
      <c r="EY33" s="228">
        <v>205.15</v>
      </c>
      <c r="EZ33" s="229">
        <v>6.4799999999999996E-2</v>
      </c>
      <c r="FA33" s="229">
        <v>0.60140000000000005</v>
      </c>
      <c r="FB33" s="227" t="s">
        <v>555</v>
      </c>
      <c r="FC33">
        <f t="shared" si="0"/>
        <v>46</v>
      </c>
    </row>
    <row r="34" spans="1:159" ht="17.25" thickBot="1" x14ac:dyDescent="0.3">
      <c r="A34" s="226">
        <v>46023</v>
      </c>
      <c r="B34" s="227" t="s">
        <v>170</v>
      </c>
      <c r="C34" s="227" t="s">
        <v>191</v>
      </c>
      <c r="D34" s="228">
        <v>2500</v>
      </c>
      <c r="E34" s="228">
        <v>26</v>
      </c>
      <c r="F34" s="228">
        <v>390.35</v>
      </c>
      <c r="G34" s="228">
        <v>395.9</v>
      </c>
      <c r="H34" s="228">
        <v>-5.55</v>
      </c>
      <c r="I34" s="229">
        <v>-1.4E-2</v>
      </c>
      <c r="J34" s="228">
        <v>387.75</v>
      </c>
      <c r="K34" s="228">
        <v>393.9</v>
      </c>
      <c r="L34" s="228">
        <v>-6.15</v>
      </c>
      <c r="M34" s="229">
        <v>-1.5599999999999999E-2</v>
      </c>
      <c r="N34" s="228">
        <v>390.35</v>
      </c>
      <c r="O34" s="228">
        <v>395.9</v>
      </c>
      <c r="P34" s="228">
        <v>-5.55</v>
      </c>
      <c r="Q34" s="229">
        <v>-1.4E-2</v>
      </c>
      <c r="R34" s="228">
        <v>392.55</v>
      </c>
      <c r="S34" s="228">
        <v>398.15</v>
      </c>
      <c r="T34" s="228">
        <v>-5.6</v>
      </c>
      <c r="U34" s="229">
        <v>-1.41E-2</v>
      </c>
      <c r="V34" s="228">
        <v>394.8</v>
      </c>
      <c r="W34" s="228">
        <v>400.25</v>
      </c>
      <c r="X34" s="228">
        <v>-5.45</v>
      </c>
      <c r="Y34" s="229">
        <v>-1.3599999999999999E-2</v>
      </c>
      <c r="Z34" s="228">
        <v>2.6</v>
      </c>
      <c r="AA34" s="228">
        <v>2</v>
      </c>
      <c r="AB34" s="228">
        <v>0.6</v>
      </c>
      <c r="AC34" s="229">
        <v>6.7000000000000002E-3</v>
      </c>
      <c r="AD34" s="228">
        <v>2.6</v>
      </c>
      <c r="AE34" s="228">
        <v>2</v>
      </c>
      <c r="AF34" s="228">
        <v>0.6</v>
      </c>
      <c r="AG34" s="229">
        <v>6.7000000000000002E-3</v>
      </c>
      <c r="AH34" s="228">
        <v>4.8</v>
      </c>
      <c r="AI34" s="228">
        <v>4.25</v>
      </c>
      <c r="AJ34" s="228">
        <v>0.55000000000000004</v>
      </c>
      <c r="AK34" s="229">
        <v>1.24E-2</v>
      </c>
      <c r="AL34" s="228">
        <v>7.05</v>
      </c>
      <c r="AM34" s="228">
        <v>6.35</v>
      </c>
      <c r="AN34" s="228">
        <v>0.7</v>
      </c>
      <c r="AO34" s="229">
        <v>1.8200000000000001E-2</v>
      </c>
      <c r="AP34" s="228">
        <v>390.61</v>
      </c>
      <c r="AQ34" s="228">
        <v>392.76</v>
      </c>
      <c r="AR34" s="228">
        <v>0</v>
      </c>
      <c r="AS34" s="228">
        <v>169</v>
      </c>
      <c r="AT34" s="228">
        <v>152</v>
      </c>
      <c r="AU34" s="228">
        <v>17</v>
      </c>
      <c r="AV34" s="229">
        <v>0.10979999999999999</v>
      </c>
      <c r="AW34" s="228">
        <v>155</v>
      </c>
      <c r="AX34" s="228">
        <v>146</v>
      </c>
      <c r="AY34" s="228">
        <v>9</v>
      </c>
      <c r="AZ34" s="229">
        <v>6.2799999999999995E-2</v>
      </c>
      <c r="BA34" s="228">
        <v>12</v>
      </c>
      <c r="BB34" s="228">
        <v>5</v>
      </c>
      <c r="BC34" s="228">
        <v>7</v>
      </c>
      <c r="BD34" s="229">
        <v>1.3922000000000001</v>
      </c>
      <c r="BE34" s="228">
        <v>2</v>
      </c>
      <c r="BF34" s="228">
        <v>1</v>
      </c>
      <c r="BG34" s="228">
        <v>1</v>
      </c>
      <c r="BH34" s="229">
        <v>0.54549999999999998</v>
      </c>
      <c r="BI34" s="228">
        <v>406</v>
      </c>
      <c r="BJ34" s="228">
        <v>455</v>
      </c>
      <c r="BK34" s="228">
        <v>-49</v>
      </c>
      <c r="BL34" s="229">
        <v>-0.10680000000000001</v>
      </c>
      <c r="BM34" s="228">
        <v>221</v>
      </c>
      <c r="BN34" s="228">
        <v>220</v>
      </c>
      <c r="BO34" s="228">
        <v>1</v>
      </c>
      <c r="BP34" s="229">
        <v>4.0000000000000001E-3</v>
      </c>
      <c r="BQ34" s="228">
        <v>796</v>
      </c>
      <c r="BR34" s="228">
        <v>827</v>
      </c>
      <c r="BS34" s="228">
        <v>-31</v>
      </c>
      <c r="BT34" s="229">
        <v>-3.7499999999999999E-2</v>
      </c>
      <c r="BU34" s="230">
        <v>1392260</v>
      </c>
      <c r="BV34" s="230">
        <v>1319602</v>
      </c>
      <c r="BW34" s="230">
        <v>72658</v>
      </c>
      <c r="BX34" s="229">
        <v>5.5100000000000003E-2</v>
      </c>
      <c r="BY34" s="230">
        <v>1757</v>
      </c>
      <c r="BZ34" s="230">
        <v>1744</v>
      </c>
      <c r="CA34" s="228">
        <v>12</v>
      </c>
      <c r="CB34" s="229">
        <v>7.0000000000000001E-3</v>
      </c>
      <c r="CC34" s="230">
        <v>1729</v>
      </c>
      <c r="CD34" s="230">
        <v>1723</v>
      </c>
      <c r="CE34" s="228">
        <v>6</v>
      </c>
      <c r="CF34" s="229">
        <v>3.5999999999999999E-3</v>
      </c>
      <c r="CG34" s="228">
        <v>26</v>
      </c>
      <c r="CH34" s="228">
        <v>21</v>
      </c>
      <c r="CI34" s="228">
        <v>5</v>
      </c>
      <c r="CJ34" s="229">
        <v>0.23960000000000001</v>
      </c>
      <c r="CK34" s="228">
        <v>2</v>
      </c>
      <c r="CL34" s="228">
        <v>1</v>
      </c>
      <c r="CM34" s="228">
        <v>1</v>
      </c>
      <c r="CN34" s="229">
        <v>1.6667000000000001</v>
      </c>
      <c r="CO34" s="228">
        <v>481</v>
      </c>
      <c r="CP34" s="228">
        <v>439</v>
      </c>
      <c r="CQ34" s="228">
        <v>42</v>
      </c>
      <c r="CR34" s="229">
        <v>9.5899999999999999E-2</v>
      </c>
      <c r="CS34" s="228">
        <v>312</v>
      </c>
      <c r="CT34" s="228">
        <v>284</v>
      </c>
      <c r="CU34" s="228">
        <v>27</v>
      </c>
      <c r="CV34" s="229">
        <v>9.6500000000000002E-2</v>
      </c>
      <c r="CW34" s="230">
        <v>2549</v>
      </c>
      <c r="CX34" s="230">
        <v>2467</v>
      </c>
      <c r="CY34" s="228">
        <v>82</v>
      </c>
      <c r="CZ34" s="229">
        <v>3.3099999999999997E-2</v>
      </c>
      <c r="DA34" s="228">
        <v>24.89</v>
      </c>
      <c r="DB34" s="228">
        <v>25.03</v>
      </c>
      <c r="DC34" s="228">
        <v>-0.14000000000000001</v>
      </c>
      <c r="DD34" s="228">
        <v>-0.14000000000000001</v>
      </c>
      <c r="DE34" s="228">
        <v>37.86</v>
      </c>
      <c r="DF34" s="228">
        <v>37.909999999999997</v>
      </c>
      <c r="DG34" s="228">
        <v>-12.97</v>
      </c>
      <c r="DH34" s="228">
        <v>-0.05</v>
      </c>
      <c r="DI34" s="228">
        <v>24.92</v>
      </c>
      <c r="DJ34" s="228">
        <v>24.82</v>
      </c>
      <c r="DK34" s="228">
        <v>0.1</v>
      </c>
      <c r="DL34" s="228">
        <v>0.1</v>
      </c>
      <c r="DM34" s="228">
        <v>24.85</v>
      </c>
      <c r="DN34" s="228">
        <v>25.47</v>
      </c>
      <c r="DO34" s="228">
        <v>-0.62</v>
      </c>
      <c r="DP34" s="228">
        <v>-0.62</v>
      </c>
      <c r="DQ34" s="228">
        <v>0.65</v>
      </c>
      <c r="DR34" s="228">
        <v>0.65</v>
      </c>
      <c r="DS34" s="228">
        <v>0</v>
      </c>
      <c r="DT34" s="229">
        <v>0</v>
      </c>
      <c r="DU34" s="228">
        <v>420</v>
      </c>
      <c r="DV34" s="228">
        <v>370</v>
      </c>
      <c r="DW34" s="228">
        <v>0.54</v>
      </c>
      <c r="DX34" s="228">
        <v>0.48</v>
      </c>
      <c r="DY34" s="228">
        <v>0.06</v>
      </c>
      <c r="DZ34" s="229">
        <v>0.125</v>
      </c>
      <c r="EA34" s="229">
        <v>1.5800000000000002E-2</v>
      </c>
      <c r="EB34" s="230">
        <v>557500</v>
      </c>
      <c r="EC34" s="229">
        <v>5.5999999999999999E-3</v>
      </c>
      <c r="ED34" s="229">
        <v>1.5800000000000002E-2</v>
      </c>
      <c r="EE34" s="228">
        <v>2.15</v>
      </c>
      <c r="EF34" s="229">
        <v>5.4999999999999997E-3</v>
      </c>
      <c r="EG34" s="230">
        <v>640548</v>
      </c>
      <c r="EH34" s="230">
        <v>591627</v>
      </c>
      <c r="EI34" s="229">
        <v>8.2699999999999996E-2</v>
      </c>
      <c r="EJ34" s="229">
        <v>0.46010000000000001</v>
      </c>
      <c r="EK34" s="228">
        <v>428.52</v>
      </c>
      <c r="EL34" s="228">
        <v>218.41</v>
      </c>
      <c r="EM34" s="228">
        <v>168.93</v>
      </c>
      <c r="EN34" s="228">
        <v>89.71</v>
      </c>
      <c r="EO34" s="228">
        <v>815.85</v>
      </c>
      <c r="EP34" s="228">
        <v>851.17</v>
      </c>
      <c r="EQ34" s="228">
        <v>-35.31</v>
      </c>
      <c r="ER34" s="229">
        <v>-4.1500000000000002E-2</v>
      </c>
      <c r="ES34" s="228">
        <v>508.95</v>
      </c>
      <c r="ET34" s="228">
        <v>305.14999999999998</v>
      </c>
      <c r="EU34" s="231">
        <v>1756.74</v>
      </c>
      <c r="EV34" s="231">
        <v>91057772</v>
      </c>
      <c r="EW34" s="231">
        <v>2570.84</v>
      </c>
      <c r="EX34" s="231">
        <v>2514.9499999999998</v>
      </c>
      <c r="EY34" s="228">
        <v>55.89</v>
      </c>
      <c r="EZ34" s="229">
        <v>2.2200000000000001E-2</v>
      </c>
      <c r="FA34" s="229">
        <v>0.71709999999999996</v>
      </c>
      <c r="FB34" s="227" t="s">
        <v>567</v>
      </c>
      <c r="FC34">
        <f t="shared" si="0"/>
        <v>28</v>
      </c>
    </row>
    <row r="35" spans="1:159" ht="17.25" thickBot="1" x14ac:dyDescent="0.3">
      <c r="A35" s="226">
        <v>46023</v>
      </c>
      <c r="B35" s="227" t="s">
        <v>184</v>
      </c>
      <c r="C35" s="227" t="s">
        <v>679</v>
      </c>
      <c r="D35" s="228">
        <v>325</v>
      </c>
      <c r="E35" s="228">
        <v>26</v>
      </c>
      <c r="F35" s="231">
        <v>1779.7</v>
      </c>
      <c r="G35" s="231">
        <v>1739.8</v>
      </c>
      <c r="H35" s="228">
        <v>39.9</v>
      </c>
      <c r="I35" s="229">
        <v>2.29E-2</v>
      </c>
      <c r="J35" s="231">
        <v>1772.2</v>
      </c>
      <c r="K35" s="231">
        <v>1730.7</v>
      </c>
      <c r="L35" s="228">
        <v>41.5</v>
      </c>
      <c r="M35" s="229">
        <v>2.4E-2</v>
      </c>
      <c r="N35" s="231">
        <v>1779.7</v>
      </c>
      <c r="O35" s="231">
        <v>1739.8</v>
      </c>
      <c r="P35" s="228">
        <v>39.9</v>
      </c>
      <c r="Q35" s="229">
        <v>2.29E-2</v>
      </c>
      <c r="R35" s="231">
        <v>1782.3</v>
      </c>
      <c r="S35" s="231">
        <v>1739.9</v>
      </c>
      <c r="T35" s="228">
        <v>42.4</v>
      </c>
      <c r="U35" s="229">
        <v>2.4400000000000002E-2</v>
      </c>
      <c r="V35" s="228">
        <v>0</v>
      </c>
      <c r="W35" s="228">
        <v>0</v>
      </c>
      <c r="X35" s="228">
        <v>0</v>
      </c>
      <c r="Y35" s="229">
        <v>0</v>
      </c>
      <c r="Z35" s="228">
        <v>7.5</v>
      </c>
      <c r="AA35" s="228">
        <v>9.1</v>
      </c>
      <c r="AB35" s="228">
        <v>-1.6</v>
      </c>
      <c r="AC35" s="229">
        <v>4.1999999999999997E-3</v>
      </c>
      <c r="AD35" s="228">
        <v>7.5</v>
      </c>
      <c r="AE35" s="228">
        <v>9.1</v>
      </c>
      <c r="AF35" s="228">
        <v>-1.6</v>
      </c>
      <c r="AG35" s="229">
        <v>4.1999999999999997E-3</v>
      </c>
      <c r="AH35" s="228">
        <v>10.1</v>
      </c>
      <c r="AI35" s="228">
        <v>9.1999999999999993</v>
      </c>
      <c r="AJ35" s="228">
        <v>0.9</v>
      </c>
      <c r="AK35" s="229">
        <v>5.7000000000000002E-3</v>
      </c>
      <c r="AL35" s="228">
        <v>0</v>
      </c>
      <c r="AM35" s="228">
        <v>0</v>
      </c>
      <c r="AN35" s="228">
        <v>0</v>
      </c>
      <c r="AO35" s="229">
        <v>0</v>
      </c>
      <c r="AP35" s="231">
        <v>1776.02</v>
      </c>
      <c r="AQ35" s="231">
        <v>1774.29</v>
      </c>
      <c r="AR35" s="228">
        <v>0</v>
      </c>
      <c r="AS35" s="228">
        <v>80</v>
      </c>
      <c r="AT35" s="228">
        <v>93</v>
      </c>
      <c r="AU35" s="228">
        <v>-12</v>
      </c>
      <c r="AV35" s="229">
        <v>-0.1343</v>
      </c>
      <c r="AW35" s="228">
        <v>79</v>
      </c>
      <c r="AX35" s="228">
        <v>90</v>
      </c>
      <c r="AY35" s="228">
        <v>-11</v>
      </c>
      <c r="AZ35" s="229">
        <v>-0.1227</v>
      </c>
      <c r="BA35" s="228">
        <v>2</v>
      </c>
      <c r="BB35" s="228">
        <v>3</v>
      </c>
      <c r="BC35" s="228">
        <v>-1</v>
      </c>
      <c r="BD35" s="229">
        <v>-0.47170000000000001</v>
      </c>
      <c r="BE35" s="228">
        <v>0</v>
      </c>
      <c r="BF35" s="228">
        <v>0</v>
      </c>
      <c r="BG35" s="228">
        <v>0</v>
      </c>
      <c r="BH35" s="229">
        <v>0</v>
      </c>
      <c r="BI35" s="228">
        <v>178</v>
      </c>
      <c r="BJ35" s="228">
        <v>95</v>
      </c>
      <c r="BK35" s="228">
        <v>83</v>
      </c>
      <c r="BL35" s="229">
        <v>0.87890000000000001</v>
      </c>
      <c r="BM35" s="228">
        <v>61</v>
      </c>
      <c r="BN35" s="228">
        <v>38</v>
      </c>
      <c r="BO35" s="228">
        <v>23</v>
      </c>
      <c r="BP35" s="229">
        <v>0.59789999999999999</v>
      </c>
      <c r="BQ35" s="228">
        <v>319</v>
      </c>
      <c r="BR35" s="228">
        <v>225</v>
      </c>
      <c r="BS35" s="228">
        <v>93</v>
      </c>
      <c r="BT35" s="229">
        <v>0.41489999999999999</v>
      </c>
      <c r="BU35" s="230">
        <v>209311</v>
      </c>
      <c r="BV35" s="230">
        <v>334330</v>
      </c>
      <c r="BW35" s="230">
        <v>-125019</v>
      </c>
      <c r="BX35" s="229">
        <v>-0.37390000000000001</v>
      </c>
      <c r="BY35" s="228">
        <v>431</v>
      </c>
      <c r="BZ35" s="228">
        <v>415</v>
      </c>
      <c r="CA35" s="228">
        <v>16</v>
      </c>
      <c r="CB35" s="229">
        <v>3.8699999999999998E-2</v>
      </c>
      <c r="CC35" s="228">
        <v>428</v>
      </c>
      <c r="CD35" s="228">
        <v>412</v>
      </c>
      <c r="CE35" s="228">
        <v>16</v>
      </c>
      <c r="CF35" s="229">
        <v>3.8399999999999997E-2</v>
      </c>
      <c r="CG35" s="228">
        <v>3</v>
      </c>
      <c r="CH35" s="228">
        <v>3</v>
      </c>
      <c r="CI35" s="228">
        <v>0</v>
      </c>
      <c r="CJ35" s="229">
        <v>8.1600000000000006E-2</v>
      </c>
      <c r="CK35" s="228">
        <v>0</v>
      </c>
      <c r="CL35" s="228">
        <v>0</v>
      </c>
      <c r="CM35" s="228">
        <v>0</v>
      </c>
      <c r="CN35" s="229">
        <v>0</v>
      </c>
      <c r="CO35" s="228">
        <v>36</v>
      </c>
      <c r="CP35" s="228">
        <v>29</v>
      </c>
      <c r="CQ35" s="228">
        <v>7</v>
      </c>
      <c r="CR35" s="229">
        <v>0.25850000000000001</v>
      </c>
      <c r="CS35" s="228">
        <v>36</v>
      </c>
      <c r="CT35" s="228">
        <v>25</v>
      </c>
      <c r="CU35" s="228">
        <v>11</v>
      </c>
      <c r="CV35" s="229">
        <v>0.4279</v>
      </c>
      <c r="CW35" s="228">
        <v>503</v>
      </c>
      <c r="CX35" s="228">
        <v>469</v>
      </c>
      <c r="CY35" s="228">
        <v>34</v>
      </c>
      <c r="CZ35" s="229">
        <v>7.2900000000000006E-2</v>
      </c>
      <c r="DA35" s="228">
        <v>24.06</v>
      </c>
      <c r="DB35" s="228">
        <v>24.2</v>
      </c>
      <c r="DC35" s="228">
        <v>-0.14000000000000001</v>
      </c>
      <c r="DD35" s="228">
        <v>-0.14000000000000001</v>
      </c>
      <c r="DE35" s="228">
        <v>39.619999999999997</v>
      </c>
      <c r="DF35" s="228">
        <v>39.590000000000003</v>
      </c>
      <c r="DG35" s="228">
        <v>-15.56</v>
      </c>
      <c r="DH35" s="228">
        <v>0.03</v>
      </c>
      <c r="DI35" s="228">
        <v>24.14</v>
      </c>
      <c r="DJ35" s="228">
        <v>24.01</v>
      </c>
      <c r="DK35" s="228">
        <v>0.13</v>
      </c>
      <c r="DL35" s="228">
        <v>0.13</v>
      </c>
      <c r="DM35" s="228">
        <v>23.82</v>
      </c>
      <c r="DN35" s="228">
        <v>24.66</v>
      </c>
      <c r="DO35" s="228">
        <v>-0.84</v>
      </c>
      <c r="DP35" s="228">
        <v>-0.84</v>
      </c>
      <c r="DQ35" s="228">
        <v>0.98</v>
      </c>
      <c r="DR35" s="228">
        <v>0.86</v>
      </c>
      <c r="DS35" s="228">
        <v>0.12</v>
      </c>
      <c r="DT35" s="229">
        <v>0.13950000000000001</v>
      </c>
      <c r="DU35" s="231">
        <v>1800</v>
      </c>
      <c r="DV35" s="231">
        <v>1700</v>
      </c>
      <c r="DW35" s="228">
        <v>0.34</v>
      </c>
      <c r="DX35" s="228">
        <v>0.4</v>
      </c>
      <c r="DY35" s="228">
        <v>-0.06</v>
      </c>
      <c r="DZ35" s="229">
        <v>-0.15</v>
      </c>
      <c r="EA35" s="229">
        <v>7.1000000000000004E-3</v>
      </c>
      <c r="EB35" s="230">
        <v>15925</v>
      </c>
      <c r="EC35" s="229">
        <v>1.5E-3</v>
      </c>
      <c r="ED35" s="229">
        <v>7.1000000000000004E-3</v>
      </c>
      <c r="EE35" s="228">
        <v>-1.73</v>
      </c>
      <c r="EF35" s="229">
        <v>-1E-3</v>
      </c>
      <c r="EG35" s="230">
        <v>50485</v>
      </c>
      <c r="EH35" s="230">
        <v>207807</v>
      </c>
      <c r="EI35" s="229">
        <v>-0.7571</v>
      </c>
      <c r="EJ35" s="229">
        <v>0.2412</v>
      </c>
      <c r="EK35" s="228">
        <v>183.5</v>
      </c>
      <c r="EL35" s="228">
        <v>59.44</v>
      </c>
      <c r="EM35" s="228">
        <v>80</v>
      </c>
      <c r="EN35" s="228">
        <v>39.79</v>
      </c>
      <c r="EO35" s="228">
        <v>322.94</v>
      </c>
      <c r="EP35" s="228">
        <v>221.49</v>
      </c>
      <c r="EQ35" s="228">
        <v>101.45</v>
      </c>
      <c r="ER35" s="229">
        <v>0.45800000000000002</v>
      </c>
      <c r="ES35" s="228">
        <v>36.700000000000003</v>
      </c>
      <c r="ET35" s="228">
        <v>34.03</v>
      </c>
      <c r="EU35" s="228">
        <v>431.2</v>
      </c>
      <c r="EV35" s="231">
        <v>17213286</v>
      </c>
      <c r="EW35" s="228">
        <v>501.94</v>
      </c>
      <c r="EX35" s="228">
        <v>458.56</v>
      </c>
      <c r="EY35" s="228">
        <v>43.38</v>
      </c>
      <c r="EZ35" s="229">
        <v>9.4600000000000004E-2</v>
      </c>
      <c r="FA35" s="229">
        <v>0.16420000000000001</v>
      </c>
      <c r="FB35" s="227" t="s">
        <v>555</v>
      </c>
      <c r="FC35">
        <f t="shared" si="0"/>
        <v>3</v>
      </c>
    </row>
    <row r="36" spans="1:159" ht="17.25" thickBot="1" x14ac:dyDescent="0.3">
      <c r="A36" s="226">
        <v>46023</v>
      </c>
      <c r="B36" s="227" t="s">
        <v>162</v>
      </c>
      <c r="C36" s="227" t="s">
        <v>192</v>
      </c>
      <c r="D36" s="228">
        <v>25</v>
      </c>
      <c r="E36" s="228">
        <v>26</v>
      </c>
      <c r="F36" s="231">
        <v>36325</v>
      </c>
      <c r="G36" s="231">
        <v>36210</v>
      </c>
      <c r="H36" s="228">
        <v>115</v>
      </c>
      <c r="I36" s="229">
        <v>3.2000000000000002E-3</v>
      </c>
      <c r="J36" s="231">
        <v>36140</v>
      </c>
      <c r="K36" s="231">
        <v>36040</v>
      </c>
      <c r="L36" s="228">
        <v>100</v>
      </c>
      <c r="M36" s="229">
        <v>2.8E-3</v>
      </c>
      <c r="N36" s="231">
        <v>36325</v>
      </c>
      <c r="O36" s="231">
        <v>36210</v>
      </c>
      <c r="P36" s="228">
        <v>115</v>
      </c>
      <c r="Q36" s="229">
        <v>3.2000000000000002E-3</v>
      </c>
      <c r="R36" s="231">
        <v>36445</v>
      </c>
      <c r="S36" s="231">
        <v>36305</v>
      </c>
      <c r="T36" s="228">
        <v>140</v>
      </c>
      <c r="U36" s="229">
        <v>3.8999999999999998E-3</v>
      </c>
      <c r="V36" s="228">
        <v>0</v>
      </c>
      <c r="W36" s="228">
        <v>0</v>
      </c>
      <c r="X36" s="228">
        <v>0</v>
      </c>
      <c r="Y36" s="229">
        <v>0</v>
      </c>
      <c r="Z36" s="228">
        <v>185</v>
      </c>
      <c r="AA36" s="228">
        <v>170</v>
      </c>
      <c r="AB36" s="228">
        <v>15</v>
      </c>
      <c r="AC36" s="229">
        <v>5.1000000000000004E-3</v>
      </c>
      <c r="AD36" s="228">
        <v>185</v>
      </c>
      <c r="AE36" s="228">
        <v>170</v>
      </c>
      <c r="AF36" s="228">
        <v>15</v>
      </c>
      <c r="AG36" s="229">
        <v>5.1000000000000004E-3</v>
      </c>
      <c r="AH36" s="228">
        <v>305</v>
      </c>
      <c r="AI36" s="228">
        <v>265</v>
      </c>
      <c r="AJ36" s="228">
        <v>40</v>
      </c>
      <c r="AK36" s="229">
        <v>8.3999999999999995E-3</v>
      </c>
      <c r="AL36" s="228">
        <v>0</v>
      </c>
      <c r="AM36" s="228">
        <v>0</v>
      </c>
      <c r="AN36" s="228">
        <v>0</v>
      </c>
      <c r="AO36" s="229">
        <v>0</v>
      </c>
      <c r="AP36" s="231">
        <v>36184.11</v>
      </c>
      <c r="AQ36" s="231">
        <v>36360</v>
      </c>
      <c r="AR36" s="228">
        <v>0</v>
      </c>
      <c r="AS36" s="228">
        <v>40</v>
      </c>
      <c r="AT36" s="228">
        <v>99</v>
      </c>
      <c r="AU36" s="228">
        <v>-60</v>
      </c>
      <c r="AV36" s="229">
        <v>-0.60160000000000002</v>
      </c>
      <c r="AW36" s="228">
        <v>38</v>
      </c>
      <c r="AX36" s="228">
        <v>95</v>
      </c>
      <c r="AY36" s="228">
        <v>-57</v>
      </c>
      <c r="AZ36" s="229">
        <v>-0.60229999999999995</v>
      </c>
      <c r="BA36" s="228">
        <v>2</v>
      </c>
      <c r="BB36" s="228">
        <v>4</v>
      </c>
      <c r="BC36" s="228">
        <v>-2</v>
      </c>
      <c r="BD36" s="229">
        <v>-0.58540000000000003</v>
      </c>
      <c r="BE36" s="228">
        <v>0</v>
      </c>
      <c r="BF36" s="228">
        <v>0</v>
      </c>
      <c r="BG36" s="228">
        <v>0</v>
      </c>
      <c r="BH36" s="229">
        <v>0</v>
      </c>
      <c r="BI36" s="228">
        <v>87</v>
      </c>
      <c r="BJ36" s="228">
        <v>327</v>
      </c>
      <c r="BK36" s="228">
        <v>-239</v>
      </c>
      <c r="BL36" s="229">
        <v>-0.73280000000000001</v>
      </c>
      <c r="BM36" s="228">
        <v>137</v>
      </c>
      <c r="BN36" s="228">
        <v>153</v>
      </c>
      <c r="BO36" s="228">
        <v>-16</v>
      </c>
      <c r="BP36" s="229">
        <v>-0.1023</v>
      </c>
      <c r="BQ36" s="228">
        <v>264</v>
      </c>
      <c r="BR36" s="228">
        <v>578</v>
      </c>
      <c r="BS36" s="228">
        <v>-315</v>
      </c>
      <c r="BT36" s="229">
        <v>-0.54390000000000005</v>
      </c>
      <c r="BU36" s="230">
        <v>6189</v>
      </c>
      <c r="BV36" s="230">
        <v>13853</v>
      </c>
      <c r="BW36" s="230">
        <v>-7664</v>
      </c>
      <c r="BX36" s="229">
        <v>-0.55320000000000003</v>
      </c>
      <c r="BY36" s="228">
        <v>700</v>
      </c>
      <c r="BZ36" s="228">
        <v>698</v>
      </c>
      <c r="CA36" s="228">
        <v>2</v>
      </c>
      <c r="CB36" s="229">
        <v>2.8999999999999998E-3</v>
      </c>
      <c r="CC36" s="228">
        <v>691</v>
      </c>
      <c r="CD36" s="228">
        <v>690</v>
      </c>
      <c r="CE36" s="228">
        <v>2</v>
      </c>
      <c r="CF36" s="229">
        <v>2.2000000000000001E-3</v>
      </c>
      <c r="CG36" s="228">
        <v>8</v>
      </c>
      <c r="CH36" s="228">
        <v>8</v>
      </c>
      <c r="CI36" s="228">
        <v>0</v>
      </c>
      <c r="CJ36" s="229">
        <v>5.6800000000000003E-2</v>
      </c>
      <c r="CK36" s="228">
        <v>0</v>
      </c>
      <c r="CL36" s="228">
        <v>0</v>
      </c>
      <c r="CM36" s="228">
        <v>0</v>
      </c>
      <c r="CN36" s="229">
        <v>0</v>
      </c>
      <c r="CO36" s="228">
        <v>113</v>
      </c>
      <c r="CP36" s="228">
        <v>96</v>
      </c>
      <c r="CQ36" s="228">
        <v>17</v>
      </c>
      <c r="CR36" s="229">
        <v>0.18140000000000001</v>
      </c>
      <c r="CS36" s="228">
        <v>124</v>
      </c>
      <c r="CT36" s="228">
        <v>92</v>
      </c>
      <c r="CU36" s="228">
        <v>32</v>
      </c>
      <c r="CV36" s="229">
        <v>0.3538</v>
      </c>
      <c r="CW36" s="228">
        <v>937</v>
      </c>
      <c r="CX36" s="228">
        <v>885</v>
      </c>
      <c r="CY36" s="228">
        <v>52</v>
      </c>
      <c r="CZ36" s="229">
        <v>5.8500000000000003E-2</v>
      </c>
      <c r="DA36" s="228">
        <v>17</v>
      </c>
      <c r="DB36" s="228">
        <v>17.489999999999998</v>
      </c>
      <c r="DC36" s="228">
        <v>-0.49</v>
      </c>
      <c r="DD36" s="228">
        <v>-0.49</v>
      </c>
      <c r="DE36" s="228">
        <v>27.03</v>
      </c>
      <c r="DF36" s="228">
        <v>27.09</v>
      </c>
      <c r="DG36" s="228">
        <v>-10.029999999999999</v>
      </c>
      <c r="DH36" s="228">
        <v>-0.06</v>
      </c>
      <c r="DI36" s="228">
        <v>16.66</v>
      </c>
      <c r="DJ36" s="228">
        <v>17.53</v>
      </c>
      <c r="DK36" s="228">
        <v>-0.87</v>
      </c>
      <c r="DL36" s="228">
        <v>-0.87</v>
      </c>
      <c r="DM36" s="228">
        <v>17.21</v>
      </c>
      <c r="DN36" s="228">
        <v>17.420000000000002</v>
      </c>
      <c r="DO36" s="228">
        <v>-0.21</v>
      </c>
      <c r="DP36" s="228">
        <v>-0.21</v>
      </c>
      <c r="DQ36" s="228">
        <v>1.1000000000000001</v>
      </c>
      <c r="DR36" s="228">
        <v>0.96</v>
      </c>
      <c r="DS36" s="228">
        <v>0.14000000000000001</v>
      </c>
      <c r="DT36" s="229">
        <v>0.14580000000000001</v>
      </c>
      <c r="DU36" s="231">
        <v>36000</v>
      </c>
      <c r="DV36" s="231">
        <v>36000</v>
      </c>
      <c r="DW36" s="228">
        <v>1.57</v>
      </c>
      <c r="DX36" s="228">
        <v>0.47</v>
      </c>
      <c r="DY36" s="228">
        <v>1.1000000000000001</v>
      </c>
      <c r="DZ36" s="229">
        <v>2.3403999999999998</v>
      </c>
      <c r="EA36" s="229">
        <v>1.21E-2</v>
      </c>
      <c r="EB36" s="230">
        <v>2200</v>
      </c>
      <c r="EC36" s="229">
        <v>3.3E-3</v>
      </c>
      <c r="ED36" s="229">
        <v>1.21E-2</v>
      </c>
      <c r="EE36" s="228">
        <v>175.89</v>
      </c>
      <c r="EF36" s="229">
        <v>4.8999999999999998E-3</v>
      </c>
      <c r="EG36" s="230">
        <v>2142</v>
      </c>
      <c r="EH36" s="230">
        <v>5927</v>
      </c>
      <c r="EI36" s="229">
        <v>-0.63859999999999995</v>
      </c>
      <c r="EJ36" s="229">
        <v>0.34610000000000002</v>
      </c>
      <c r="EK36" s="228">
        <v>89.78</v>
      </c>
      <c r="EL36" s="228">
        <v>132.69999999999999</v>
      </c>
      <c r="EM36" s="228">
        <v>39.36</v>
      </c>
      <c r="EN36" s="228">
        <v>45.86</v>
      </c>
      <c r="EO36" s="228">
        <v>261.83999999999997</v>
      </c>
      <c r="EP36" s="228">
        <v>582.9</v>
      </c>
      <c r="EQ36" s="228">
        <v>-321.06</v>
      </c>
      <c r="ER36" s="229">
        <v>-0.55079999999999996</v>
      </c>
      <c r="ES36" s="228">
        <v>115.02</v>
      </c>
      <c r="ET36" s="228">
        <v>120.11</v>
      </c>
      <c r="EU36" s="228">
        <v>699.56</v>
      </c>
      <c r="EV36" s="231">
        <v>882048</v>
      </c>
      <c r="EW36" s="228">
        <v>934.69</v>
      </c>
      <c r="EX36" s="228">
        <v>882.25</v>
      </c>
      <c r="EY36" s="228">
        <v>52.44</v>
      </c>
      <c r="EZ36" s="229">
        <v>5.9400000000000001E-2</v>
      </c>
      <c r="FA36" s="229">
        <v>0.2923</v>
      </c>
      <c r="FB36" s="227" t="s">
        <v>555</v>
      </c>
      <c r="FC36">
        <f t="shared" si="0"/>
        <v>9</v>
      </c>
    </row>
    <row r="37" spans="1:159" ht="17.25" thickBot="1" x14ac:dyDescent="0.3">
      <c r="A37" s="226">
        <v>46023</v>
      </c>
      <c r="B37" s="227" t="s">
        <v>193</v>
      </c>
      <c r="C37" s="227" t="s">
        <v>194</v>
      </c>
      <c r="D37" s="228">
        <v>1975</v>
      </c>
      <c r="E37" s="228">
        <v>26</v>
      </c>
      <c r="F37" s="228">
        <v>383.6</v>
      </c>
      <c r="G37" s="228">
        <v>386.35</v>
      </c>
      <c r="H37" s="228">
        <v>-2.75</v>
      </c>
      <c r="I37" s="229">
        <v>-7.1000000000000004E-3</v>
      </c>
      <c r="J37" s="228">
        <v>381.5</v>
      </c>
      <c r="K37" s="228">
        <v>384</v>
      </c>
      <c r="L37" s="228">
        <v>-2.5</v>
      </c>
      <c r="M37" s="229">
        <v>-6.4999999999999997E-3</v>
      </c>
      <c r="N37" s="228">
        <v>383.6</v>
      </c>
      <c r="O37" s="228">
        <v>386.35</v>
      </c>
      <c r="P37" s="228">
        <v>-2.75</v>
      </c>
      <c r="Q37" s="229">
        <v>-7.1000000000000004E-3</v>
      </c>
      <c r="R37" s="228">
        <v>382.45</v>
      </c>
      <c r="S37" s="228">
        <v>384.45</v>
      </c>
      <c r="T37" s="228">
        <v>-2</v>
      </c>
      <c r="U37" s="229">
        <v>-5.1999999999999998E-3</v>
      </c>
      <c r="V37" s="228">
        <v>384</v>
      </c>
      <c r="W37" s="228">
        <v>386.1</v>
      </c>
      <c r="X37" s="228">
        <v>-2.1</v>
      </c>
      <c r="Y37" s="229">
        <v>-5.4000000000000003E-3</v>
      </c>
      <c r="Z37" s="228">
        <v>2.1</v>
      </c>
      <c r="AA37" s="228">
        <v>2.35</v>
      </c>
      <c r="AB37" s="228">
        <v>-0.25</v>
      </c>
      <c r="AC37" s="229">
        <v>5.4999999999999997E-3</v>
      </c>
      <c r="AD37" s="228">
        <v>2.1</v>
      </c>
      <c r="AE37" s="228">
        <v>2.35</v>
      </c>
      <c r="AF37" s="228">
        <v>-0.25</v>
      </c>
      <c r="AG37" s="229">
        <v>5.4999999999999997E-3</v>
      </c>
      <c r="AH37" s="228">
        <v>0.95</v>
      </c>
      <c r="AI37" s="228">
        <v>0.45</v>
      </c>
      <c r="AJ37" s="228">
        <v>0.5</v>
      </c>
      <c r="AK37" s="229">
        <v>2.5000000000000001E-3</v>
      </c>
      <c r="AL37" s="228">
        <v>2.5</v>
      </c>
      <c r="AM37" s="228">
        <v>2.1</v>
      </c>
      <c r="AN37" s="228">
        <v>0.4</v>
      </c>
      <c r="AO37" s="229">
        <v>6.6E-3</v>
      </c>
      <c r="AP37" s="228">
        <v>384.79</v>
      </c>
      <c r="AQ37" s="228">
        <v>383.62</v>
      </c>
      <c r="AR37" s="228">
        <v>0</v>
      </c>
      <c r="AS37" s="228">
        <v>247</v>
      </c>
      <c r="AT37" s="228">
        <v>485</v>
      </c>
      <c r="AU37" s="228">
        <v>-238</v>
      </c>
      <c r="AV37" s="229">
        <v>-0.4909</v>
      </c>
      <c r="AW37" s="228">
        <v>227</v>
      </c>
      <c r="AX37" s="228">
        <v>459</v>
      </c>
      <c r="AY37" s="228">
        <v>-232</v>
      </c>
      <c r="AZ37" s="229">
        <v>-0.50580000000000003</v>
      </c>
      <c r="BA37" s="228">
        <v>17</v>
      </c>
      <c r="BB37" s="228">
        <v>24</v>
      </c>
      <c r="BC37" s="228">
        <v>-8</v>
      </c>
      <c r="BD37" s="229">
        <v>-0.30649999999999999</v>
      </c>
      <c r="BE37" s="228">
        <v>3</v>
      </c>
      <c r="BF37" s="228">
        <v>2</v>
      </c>
      <c r="BG37" s="228">
        <v>2</v>
      </c>
      <c r="BH37" s="229">
        <v>0.90910000000000002</v>
      </c>
      <c r="BI37" s="228">
        <v>822</v>
      </c>
      <c r="BJ37" s="230">
        <v>1731</v>
      </c>
      <c r="BK37" s="228">
        <v>-909</v>
      </c>
      <c r="BL37" s="229">
        <v>-0.5252</v>
      </c>
      <c r="BM37" s="228">
        <v>402</v>
      </c>
      <c r="BN37" s="228">
        <v>613</v>
      </c>
      <c r="BO37" s="228">
        <v>-211</v>
      </c>
      <c r="BP37" s="229">
        <v>-0.3448</v>
      </c>
      <c r="BQ37" s="230">
        <v>1470</v>
      </c>
      <c r="BR37" s="230">
        <v>2828</v>
      </c>
      <c r="BS37" s="230">
        <v>-1358</v>
      </c>
      <c r="BT37" s="229">
        <v>-0.48020000000000002</v>
      </c>
      <c r="BU37" s="230">
        <v>7271124</v>
      </c>
      <c r="BV37" s="230">
        <v>12810417</v>
      </c>
      <c r="BW37" s="230">
        <v>-5539293</v>
      </c>
      <c r="BX37" s="229">
        <v>-0.43240000000000001</v>
      </c>
      <c r="BY37" s="230">
        <v>1059</v>
      </c>
      <c r="BZ37" s="230">
        <v>1021</v>
      </c>
      <c r="CA37" s="228">
        <v>38</v>
      </c>
      <c r="CB37" s="229">
        <v>3.7499999999999999E-2</v>
      </c>
      <c r="CC37" s="230">
        <v>1018</v>
      </c>
      <c r="CD37" s="228">
        <v>985</v>
      </c>
      <c r="CE37" s="228">
        <v>33</v>
      </c>
      <c r="CF37" s="229">
        <v>3.3399999999999999E-2</v>
      </c>
      <c r="CG37" s="228">
        <v>38</v>
      </c>
      <c r="CH37" s="228">
        <v>34</v>
      </c>
      <c r="CI37" s="228">
        <v>4</v>
      </c>
      <c r="CJ37" s="229">
        <v>0.1033</v>
      </c>
      <c r="CK37" s="228">
        <v>3</v>
      </c>
      <c r="CL37" s="228">
        <v>1</v>
      </c>
      <c r="CM37" s="228">
        <v>2</v>
      </c>
      <c r="CN37" s="229">
        <v>1.6</v>
      </c>
      <c r="CO37" s="228">
        <v>405</v>
      </c>
      <c r="CP37" s="228">
        <v>342</v>
      </c>
      <c r="CQ37" s="228">
        <v>63</v>
      </c>
      <c r="CR37" s="229">
        <v>0.18290000000000001</v>
      </c>
      <c r="CS37" s="228">
        <v>266</v>
      </c>
      <c r="CT37" s="228">
        <v>272</v>
      </c>
      <c r="CU37" s="228">
        <v>-6</v>
      </c>
      <c r="CV37" s="229">
        <v>-2.1700000000000001E-2</v>
      </c>
      <c r="CW37" s="230">
        <v>1730</v>
      </c>
      <c r="CX37" s="230">
        <v>1635</v>
      </c>
      <c r="CY37" s="228">
        <v>95</v>
      </c>
      <c r="CZ37" s="229">
        <v>5.8000000000000003E-2</v>
      </c>
      <c r="DA37" s="228">
        <v>24.92</v>
      </c>
      <c r="DB37" s="228">
        <v>25.35</v>
      </c>
      <c r="DC37" s="228">
        <v>-0.43</v>
      </c>
      <c r="DD37" s="228">
        <v>-0.43</v>
      </c>
      <c r="DE37" s="228">
        <v>32.340000000000003</v>
      </c>
      <c r="DF37" s="228">
        <v>32.409999999999997</v>
      </c>
      <c r="DG37" s="228">
        <v>-7.42</v>
      </c>
      <c r="DH37" s="228">
        <v>-7.0000000000000007E-2</v>
      </c>
      <c r="DI37" s="228">
        <v>24.79</v>
      </c>
      <c r="DJ37" s="228">
        <v>25.01</v>
      </c>
      <c r="DK37" s="228">
        <v>-0.22</v>
      </c>
      <c r="DL37" s="228">
        <v>-0.22</v>
      </c>
      <c r="DM37" s="228">
        <v>25.2</v>
      </c>
      <c r="DN37" s="228">
        <v>26.29</v>
      </c>
      <c r="DO37" s="228">
        <v>-1.0900000000000001</v>
      </c>
      <c r="DP37" s="228">
        <v>-1.0900000000000001</v>
      </c>
      <c r="DQ37" s="228">
        <v>0.66</v>
      </c>
      <c r="DR37" s="228">
        <v>0.8</v>
      </c>
      <c r="DS37" s="228">
        <v>-0.14000000000000001</v>
      </c>
      <c r="DT37" s="229">
        <v>-0.17499999999999999</v>
      </c>
      <c r="DU37" s="228">
        <v>390</v>
      </c>
      <c r="DV37" s="228">
        <v>370</v>
      </c>
      <c r="DW37" s="228">
        <v>0.49</v>
      </c>
      <c r="DX37" s="228">
        <v>0.35</v>
      </c>
      <c r="DY37" s="228">
        <v>0.14000000000000001</v>
      </c>
      <c r="DZ37" s="229">
        <v>0.4</v>
      </c>
      <c r="EA37" s="229">
        <v>3.8699999999999998E-2</v>
      </c>
      <c r="EB37" s="230">
        <v>928250</v>
      </c>
      <c r="EC37" s="229">
        <v>-3.0000000000000001E-3</v>
      </c>
      <c r="ED37" s="229">
        <v>3.8699999999999998E-2</v>
      </c>
      <c r="EE37" s="228">
        <v>-1.17</v>
      </c>
      <c r="EF37" s="229">
        <v>-3.0000000000000001E-3</v>
      </c>
      <c r="EG37" s="230">
        <v>3166409</v>
      </c>
      <c r="EH37" s="230">
        <v>7062910</v>
      </c>
      <c r="EI37" s="229">
        <v>-0.55169999999999997</v>
      </c>
      <c r="EJ37" s="229">
        <v>0.4355</v>
      </c>
      <c r="EK37" s="228">
        <v>860.07</v>
      </c>
      <c r="EL37" s="228">
        <v>394.96</v>
      </c>
      <c r="EM37" s="228">
        <v>247.63</v>
      </c>
      <c r="EN37" s="228">
        <v>94.89</v>
      </c>
      <c r="EO37" s="231">
        <v>1502.66</v>
      </c>
      <c r="EP37" s="231">
        <v>2875.64</v>
      </c>
      <c r="EQ37" s="231">
        <v>-1372.98</v>
      </c>
      <c r="ER37" s="229">
        <v>-0.47749999999999998</v>
      </c>
      <c r="ES37" s="228">
        <v>409.2</v>
      </c>
      <c r="ET37" s="228">
        <v>251.36</v>
      </c>
      <c r="EU37" s="231">
        <v>1058.95</v>
      </c>
      <c r="EV37" s="231">
        <v>306020745</v>
      </c>
      <c r="EW37" s="231">
        <v>1719.51</v>
      </c>
      <c r="EX37" s="231">
        <v>1629.74</v>
      </c>
      <c r="EY37" s="228">
        <v>89.77</v>
      </c>
      <c r="EZ37" s="229">
        <v>5.5100000000000003E-2</v>
      </c>
      <c r="FA37" s="229">
        <v>0.1474</v>
      </c>
      <c r="FB37" s="227" t="s">
        <v>567</v>
      </c>
      <c r="FC37">
        <f t="shared" si="0"/>
        <v>41</v>
      </c>
    </row>
    <row r="38" spans="1:159" ht="17.25" thickBot="1" x14ac:dyDescent="0.3">
      <c r="A38" s="226">
        <v>46023</v>
      </c>
      <c r="B38" s="227" t="s">
        <v>168</v>
      </c>
      <c r="C38" s="227" t="s">
        <v>195</v>
      </c>
      <c r="D38" s="228">
        <v>125</v>
      </c>
      <c r="E38" s="228">
        <v>26</v>
      </c>
      <c r="F38" s="231">
        <v>6050</v>
      </c>
      <c r="G38" s="231">
        <v>6070</v>
      </c>
      <c r="H38" s="228">
        <v>-20</v>
      </c>
      <c r="I38" s="229">
        <v>-3.3E-3</v>
      </c>
      <c r="J38" s="231">
        <v>6009.5</v>
      </c>
      <c r="K38" s="231">
        <v>6031</v>
      </c>
      <c r="L38" s="228">
        <v>-21.5</v>
      </c>
      <c r="M38" s="229">
        <v>-3.5999999999999999E-3</v>
      </c>
      <c r="N38" s="231">
        <v>6050</v>
      </c>
      <c r="O38" s="231">
        <v>6070</v>
      </c>
      <c r="P38" s="228">
        <v>-20</v>
      </c>
      <c r="Q38" s="229">
        <v>-3.3E-3</v>
      </c>
      <c r="R38" s="231">
        <v>6081.5</v>
      </c>
      <c r="S38" s="231">
        <v>6107</v>
      </c>
      <c r="T38" s="228">
        <v>-25.5</v>
      </c>
      <c r="U38" s="229">
        <v>-4.1999999999999997E-3</v>
      </c>
      <c r="V38" s="228">
        <v>0</v>
      </c>
      <c r="W38" s="228">
        <v>0</v>
      </c>
      <c r="X38" s="228">
        <v>0</v>
      </c>
      <c r="Y38" s="229">
        <v>0</v>
      </c>
      <c r="Z38" s="228">
        <v>40.5</v>
      </c>
      <c r="AA38" s="228">
        <v>39</v>
      </c>
      <c r="AB38" s="228">
        <v>1.5</v>
      </c>
      <c r="AC38" s="229">
        <v>6.7000000000000002E-3</v>
      </c>
      <c r="AD38" s="228">
        <v>40.5</v>
      </c>
      <c r="AE38" s="228">
        <v>39</v>
      </c>
      <c r="AF38" s="228">
        <v>1.5</v>
      </c>
      <c r="AG38" s="229">
        <v>6.7000000000000002E-3</v>
      </c>
      <c r="AH38" s="228">
        <v>72</v>
      </c>
      <c r="AI38" s="228">
        <v>76</v>
      </c>
      <c r="AJ38" s="228">
        <v>-4</v>
      </c>
      <c r="AK38" s="229">
        <v>1.2E-2</v>
      </c>
      <c r="AL38" s="228">
        <v>0</v>
      </c>
      <c r="AM38" s="228">
        <v>0</v>
      </c>
      <c r="AN38" s="228">
        <v>0</v>
      </c>
      <c r="AO38" s="229">
        <v>0</v>
      </c>
      <c r="AP38" s="231">
        <v>6054.99</v>
      </c>
      <c r="AQ38" s="231">
        <v>6095.62</v>
      </c>
      <c r="AR38" s="228">
        <v>0</v>
      </c>
      <c r="AS38" s="228">
        <v>110</v>
      </c>
      <c r="AT38" s="228">
        <v>132</v>
      </c>
      <c r="AU38" s="228">
        <v>-22</v>
      </c>
      <c r="AV38" s="229">
        <v>-0.16769999999999999</v>
      </c>
      <c r="AW38" s="228">
        <v>108</v>
      </c>
      <c r="AX38" s="228">
        <v>130</v>
      </c>
      <c r="AY38" s="228">
        <v>-22</v>
      </c>
      <c r="AZ38" s="229">
        <v>-0.1678</v>
      </c>
      <c r="BA38" s="228">
        <v>2</v>
      </c>
      <c r="BB38" s="228">
        <v>2</v>
      </c>
      <c r="BC38" s="228">
        <v>0</v>
      </c>
      <c r="BD38" s="229">
        <v>-0.16</v>
      </c>
      <c r="BE38" s="228">
        <v>0</v>
      </c>
      <c r="BF38" s="228">
        <v>0</v>
      </c>
      <c r="BG38" s="228">
        <v>0</v>
      </c>
      <c r="BH38" s="229">
        <v>0</v>
      </c>
      <c r="BI38" s="228">
        <v>313</v>
      </c>
      <c r="BJ38" s="228">
        <v>277</v>
      </c>
      <c r="BK38" s="228">
        <v>36</v>
      </c>
      <c r="BL38" s="229">
        <v>0.1303</v>
      </c>
      <c r="BM38" s="228">
        <v>142</v>
      </c>
      <c r="BN38" s="228">
        <v>105</v>
      </c>
      <c r="BO38" s="228">
        <v>38</v>
      </c>
      <c r="BP38" s="229">
        <v>0.3589</v>
      </c>
      <c r="BQ38" s="228">
        <v>565</v>
      </c>
      <c r="BR38" s="228">
        <v>513</v>
      </c>
      <c r="BS38" s="228">
        <v>52</v>
      </c>
      <c r="BT38" s="229">
        <v>0.1004</v>
      </c>
      <c r="BU38" s="230">
        <v>146868</v>
      </c>
      <c r="BV38" s="230">
        <v>180935</v>
      </c>
      <c r="BW38" s="230">
        <v>-34067</v>
      </c>
      <c r="BX38" s="229">
        <v>-0.1883</v>
      </c>
      <c r="BY38" s="230">
        <v>1734</v>
      </c>
      <c r="BZ38" s="230">
        <v>1723</v>
      </c>
      <c r="CA38" s="228">
        <v>11</v>
      </c>
      <c r="CB38" s="229">
        <v>6.3E-3</v>
      </c>
      <c r="CC38" s="230">
        <v>1728</v>
      </c>
      <c r="CD38" s="230">
        <v>1717</v>
      </c>
      <c r="CE38" s="228">
        <v>11</v>
      </c>
      <c r="CF38" s="229">
        <v>6.3E-3</v>
      </c>
      <c r="CG38" s="228">
        <v>6</v>
      </c>
      <c r="CH38" s="228">
        <v>6</v>
      </c>
      <c r="CI38" s="228">
        <v>0</v>
      </c>
      <c r="CJ38" s="229">
        <v>0</v>
      </c>
      <c r="CK38" s="228">
        <v>0</v>
      </c>
      <c r="CL38" s="228">
        <v>0</v>
      </c>
      <c r="CM38" s="228">
        <v>0</v>
      </c>
      <c r="CN38" s="229">
        <v>0</v>
      </c>
      <c r="CO38" s="228">
        <v>268</v>
      </c>
      <c r="CP38" s="228">
        <v>175</v>
      </c>
      <c r="CQ38" s="228">
        <v>94</v>
      </c>
      <c r="CR38" s="229">
        <v>0.53749999999999998</v>
      </c>
      <c r="CS38" s="228">
        <v>117</v>
      </c>
      <c r="CT38" s="228">
        <v>89</v>
      </c>
      <c r="CU38" s="228">
        <v>28</v>
      </c>
      <c r="CV38" s="229">
        <v>0.31630000000000003</v>
      </c>
      <c r="CW38" s="230">
        <v>2119</v>
      </c>
      <c r="CX38" s="230">
        <v>1987</v>
      </c>
      <c r="CY38" s="228">
        <v>133</v>
      </c>
      <c r="CZ38" s="229">
        <v>6.6900000000000001E-2</v>
      </c>
      <c r="DA38" s="228">
        <v>17.440000000000001</v>
      </c>
      <c r="DB38" s="228">
        <v>17.25</v>
      </c>
      <c r="DC38" s="228">
        <v>0.19</v>
      </c>
      <c r="DD38" s="228">
        <v>0.19</v>
      </c>
      <c r="DE38" s="228">
        <v>23.67</v>
      </c>
      <c r="DF38" s="228">
        <v>23.73</v>
      </c>
      <c r="DG38" s="228">
        <v>-6.23</v>
      </c>
      <c r="DH38" s="228">
        <v>-0.06</v>
      </c>
      <c r="DI38" s="228">
        <v>17.18</v>
      </c>
      <c r="DJ38" s="228">
        <v>17.32</v>
      </c>
      <c r="DK38" s="228">
        <v>-0.14000000000000001</v>
      </c>
      <c r="DL38" s="228">
        <v>-0.14000000000000001</v>
      </c>
      <c r="DM38" s="228">
        <v>18.010000000000002</v>
      </c>
      <c r="DN38" s="228">
        <v>17.07</v>
      </c>
      <c r="DO38" s="228">
        <v>0.94</v>
      </c>
      <c r="DP38" s="228">
        <v>0.94</v>
      </c>
      <c r="DQ38" s="228">
        <v>0.44</v>
      </c>
      <c r="DR38" s="228">
        <v>0.51</v>
      </c>
      <c r="DS38" s="228">
        <v>-7.0000000000000007E-2</v>
      </c>
      <c r="DT38" s="229">
        <v>-0.13730000000000001</v>
      </c>
      <c r="DU38" s="231">
        <v>6550</v>
      </c>
      <c r="DV38" s="231">
        <v>6000</v>
      </c>
      <c r="DW38" s="228">
        <v>0.45</v>
      </c>
      <c r="DX38" s="228">
        <v>0.38</v>
      </c>
      <c r="DY38" s="228">
        <v>7.0000000000000007E-2</v>
      </c>
      <c r="DZ38" s="229">
        <v>0.1842</v>
      </c>
      <c r="EA38" s="229">
        <v>3.5999999999999999E-3</v>
      </c>
      <c r="EB38" s="230">
        <v>10250</v>
      </c>
      <c r="EC38" s="229">
        <v>5.1999999999999998E-3</v>
      </c>
      <c r="ED38" s="229">
        <v>3.5999999999999999E-3</v>
      </c>
      <c r="EE38" s="228">
        <v>40.630000000000003</v>
      </c>
      <c r="EF38" s="229">
        <v>6.7000000000000002E-3</v>
      </c>
      <c r="EG38" s="230">
        <v>85799</v>
      </c>
      <c r="EH38" s="230">
        <v>121606</v>
      </c>
      <c r="EI38" s="229">
        <v>-0.29449999999999998</v>
      </c>
      <c r="EJ38" s="229">
        <v>0.58420000000000005</v>
      </c>
      <c r="EK38" s="228">
        <v>327.5</v>
      </c>
      <c r="EL38" s="228">
        <v>137.69</v>
      </c>
      <c r="EM38" s="228">
        <v>109.68</v>
      </c>
      <c r="EN38" s="228">
        <v>78.09</v>
      </c>
      <c r="EO38" s="228">
        <v>574.87</v>
      </c>
      <c r="EP38" s="228">
        <v>524.94000000000005</v>
      </c>
      <c r="EQ38" s="228">
        <v>49.93</v>
      </c>
      <c r="ER38" s="229">
        <v>9.5100000000000004E-2</v>
      </c>
      <c r="ES38" s="228">
        <v>282.11</v>
      </c>
      <c r="ET38" s="228">
        <v>113.02</v>
      </c>
      <c r="EU38" s="231">
        <v>1733.89</v>
      </c>
      <c r="EV38" s="231">
        <v>16370935</v>
      </c>
      <c r="EW38" s="231">
        <v>2129.02</v>
      </c>
      <c r="EX38" s="231">
        <v>1997.37</v>
      </c>
      <c r="EY38" s="228">
        <v>131.65</v>
      </c>
      <c r="EZ38" s="229">
        <v>6.59E-2</v>
      </c>
      <c r="FA38" s="229">
        <v>0.214</v>
      </c>
      <c r="FB38" s="227" t="s">
        <v>567</v>
      </c>
      <c r="FC38">
        <f t="shared" si="0"/>
        <v>6</v>
      </c>
    </row>
    <row r="39" spans="1:159" ht="17.25" thickBot="1" x14ac:dyDescent="0.3">
      <c r="A39" s="226">
        <v>46023</v>
      </c>
      <c r="B39" s="227" t="s">
        <v>175</v>
      </c>
      <c r="C39" s="227" t="s">
        <v>584</v>
      </c>
      <c r="D39" s="228">
        <v>375</v>
      </c>
      <c r="E39" s="228">
        <v>26</v>
      </c>
      <c r="F39" s="231">
        <v>2644.6</v>
      </c>
      <c r="G39" s="231">
        <v>2649.2</v>
      </c>
      <c r="H39" s="228">
        <v>-4.5999999999999996</v>
      </c>
      <c r="I39" s="229">
        <v>-1.6999999999999999E-3</v>
      </c>
      <c r="J39" s="231">
        <v>2628</v>
      </c>
      <c r="K39" s="231">
        <v>2632.2</v>
      </c>
      <c r="L39" s="228">
        <v>-4.2</v>
      </c>
      <c r="M39" s="229">
        <v>-1.6000000000000001E-3</v>
      </c>
      <c r="N39" s="231">
        <v>2644.6</v>
      </c>
      <c r="O39" s="231">
        <v>2649.2</v>
      </c>
      <c r="P39" s="228">
        <v>-4.5999999999999996</v>
      </c>
      <c r="Q39" s="229">
        <v>-1.6999999999999999E-3</v>
      </c>
      <c r="R39" s="231">
        <v>2660.4</v>
      </c>
      <c r="S39" s="231">
        <v>2665.2</v>
      </c>
      <c r="T39" s="228">
        <v>-4.8</v>
      </c>
      <c r="U39" s="229">
        <v>-1.8E-3</v>
      </c>
      <c r="V39" s="231">
        <v>2675.4</v>
      </c>
      <c r="W39" s="231">
        <v>2680.5</v>
      </c>
      <c r="X39" s="228">
        <v>-5.0999999999999996</v>
      </c>
      <c r="Y39" s="229">
        <v>-1.9E-3</v>
      </c>
      <c r="Z39" s="228">
        <v>16.600000000000001</v>
      </c>
      <c r="AA39" s="228">
        <v>17</v>
      </c>
      <c r="AB39" s="228">
        <v>-0.4</v>
      </c>
      <c r="AC39" s="229">
        <v>6.3E-3</v>
      </c>
      <c r="AD39" s="228">
        <v>16.600000000000001</v>
      </c>
      <c r="AE39" s="228">
        <v>17</v>
      </c>
      <c r="AF39" s="228">
        <v>-0.4</v>
      </c>
      <c r="AG39" s="229">
        <v>6.3E-3</v>
      </c>
      <c r="AH39" s="228">
        <v>32.4</v>
      </c>
      <c r="AI39" s="228">
        <v>33</v>
      </c>
      <c r="AJ39" s="228">
        <v>-0.6</v>
      </c>
      <c r="AK39" s="229">
        <v>1.23E-2</v>
      </c>
      <c r="AL39" s="228">
        <v>47.4</v>
      </c>
      <c r="AM39" s="228">
        <v>48.3</v>
      </c>
      <c r="AN39" s="228">
        <v>-0.9</v>
      </c>
      <c r="AO39" s="229">
        <v>1.7999999999999999E-2</v>
      </c>
      <c r="AP39" s="231">
        <v>2636.91</v>
      </c>
      <c r="AQ39" s="231">
        <v>2651.11</v>
      </c>
      <c r="AR39" s="228">
        <v>0</v>
      </c>
      <c r="AS39" s="228">
        <v>399</v>
      </c>
      <c r="AT39" s="228">
        <v>586</v>
      </c>
      <c r="AU39" s="228">
        <v>-187</v>
      </c>
      <c r="AV39" s="229">
        <v>-0.3196</v>
      </c>
      <c r="AW39" s="228">
        <v>372</v>
      </c>
      <c r="AX39" s="228">
        <v>553</v>
      </c>
      <c r="AY39" s="228">
        <v>-182</v>
      </c>
      <c r="AZ39" s="229">
        <v>-0.32829999999999998</v>
      </c>
      <c r="BA39" s="228">
        <v>22</v>
      </c>
      <c r="BB39" s="228">
        <v>28</v>
      </c>
      <c r="BC39" s="228">
        <v>-6</v>
      </c>
      <c r="BD39" s="229">
        <v>-0.2107</v>
      </c>
      <c r="BE39" s="228">
        <v>5</v>
      </c>
      <c r="BF39" s="228">
        <v>5</v>
      </c>
      <c r="BG39" s="228">
        <v>0</v>
      </c>
      <c r="BH39" s="229">
        <v>4.0800000000000003E-2</v>
      </c>
      <c r="BI39" s="230">
        <v>1368</v>
      </c>
      <c r="BJ39" s="230">
        <v>2688</v>
      </c>
      <c r="BK39" s="230">
        <v>-1320</v>
      </c>
      <c r="BL39" s="229">
        <v>-0.49120000000000003</v>
      </c>
      <c r="BM39" s="228">
        <v>884</v>
      </c>
      <c r="BN39" s="230">
        <v>1267</v>
      </c>
      <c r="BO39" s="228">
        <v>-382</v>
      </c>
      <c r="BP39" s="229">
        <v>-0.3019</v>
      </c>
      <c r="BQ39" s="230">
        <v>2651</v>
      </c>
      <c r="BR39" s="230">
        <v>4541</v>
      </c>
      <c r="BS39" s="230">
        <v>-1890</v>
      </c>
      <c r="BT39" s="229">
        <v>-0.41620000000000001</v>
      </c>
      <c r="BU39" s="230">
        <v>1665389</v>
      </c>
      <c r="BV39" s="230">
        <v>2415713</v>
      </c>
      <c r="BW39" s="230">
        <v>-750324</v>
      </c>
      <c r="BX39" s="229">
        <v>-0.31059999999999999</v>
      </c>
      <c r="BY39" s="230">
        <v>3186</v>
      </c>
      <c r="BZ39" s="230">
        <v>3153</v>
      </c>
      <c r="CA39" s="228">
        <v>33</v>
      </c>
      <c r="CB39" s="229">
        <v>1.03E-2</v>
      </c>
      <c r="CC39" s="230">
        <v>3048</v>
      </c>
      <c r="CD39" s="230">
        <v>3018</v>
      </c>
      <c r="CE39" s="228">
        <v>30</v>
      </c>
      <c r="CF39" s="229">
        <v>0.01</v>
      </c>
      <c r="CG39" s="228">
        <v>134</v>
      </c>
      <c r="CH39" s="228">
        <v>133</v>
      </c>
      <c r="CI39" s="228">
        <v>0</v>
      </c>
      <c r="CJ39" s="229">
        <v>1.5E-3</v>
      </c>
      <c r="CK39" s="228">
        <v>4</v>
      </c>
      <c r="CL39" s="228">
        <v>2</v>
      </c>
      <c r="CM39" s="228">
        <v>2</v>
      </c>
      <c r="CN39" s="229">
        <v>1.1499999999999999</v>
      </c>
      <c r="CO39" s="230">
        <v>1759</v>
      </c>
      <c r="CP39" s="230">
        <v>1632</v>
      </c>
      <c r="CQ39" s="228">
        <v>127</v>
      </c>
      <c r="CR39" s="229">
        <v>7.7600000000000002E-2</v>
      </c>
      <c r="CS39" s="230">
        <v>1154</v>
      </c>
      <c r="CT39" s="230">
        <v>1115</v>
      </c>
      <c r="CU39" s="228">
        <v>39</v>
      </c>
      <c r="CV39" s="229">
        <v>3.5099999999999999E-2</v>
      </c>
      <c r="CW39" s="230">
        <v>6099</v>
      </c>
      <c r="CX39" s="230">
        <v>5900</v>
      </c>
      <c r="CY39" s="228">
        <v>199</v>
      </c>
      <c r="CZ39" s="229">
        <v>3.3599999999999998E-2</v>
      </c>
      <c r="DA39" s="228">
        <v>37.119999999999997</v>
      </c>
      <c r="DB39" s="228">
        <v>37.39</v>
      </c>
      <c r="DC39" s="228">
        <v>-0.27</v>
      </c>
      <c r="DD39" s="228">
        <v>-0.27</v>
      </c>
      <c r="DE39" s="228">
        <v>59.59</v>
      </c>
      <c r="DF39" s="228">
        <v>59.74</v>
      </c>
      <c r="DG39" s="228">
        <v>-22.47</v>
      </c>
      <c r="DH39" s="228">
        <v>-0.15</v>
      </c>
      <c r="DI39" s="228">
        <v>36.909999999999997</v>
      </c>
      <c r="DJ39" s="228">
        <v>37.07</v>
      </c>
      <c r="DK39" s="228">
        <v>-0.16</v>
      </c>
      <c r="DL39" s="228">
        <v>-0.16</v>
      </c>
      <c r="DM39" s="228">
        <v>37.450000000000003</v>
      </c>
      <c r="DN39" s="228">
        <v>38.06</v>
      </c>
      <c r="DO39" s="228">
        <v>-0.61</v>
      </c>
      <c r="DP39" s="228">
        <v>-0.61</v>
      </c>
      <c r="DQ39" s="228">
        <v>0.66</v>
      </c>
      <c r="DR39" s="228">
        <v>0.68</v>
      </c>
      <c r="DS39" s="228">
        <v>-0.02</v>
      </c>
      <c r="DT39" s="229">
        <v>-2.9399999999999999E-2</v>
      </c>
      <c r="DU39" s="231">
        <v>3000</v>
      </c>
      <c r="DV39" s="231">
        <v>2600</v>
      </c>
      <c r="DW39" s="228">
        <v>0.65</v>
      </c>
      <c r="DX39" s="228">
        <v>0.47</v>
      </c>
      <c r="DY39" s="228">
        <v>0.18</v>
      </c>
      <c r="DZ39" s="229">
        <v>0.38300000000000001</v>
      </c>
      <c r="EA39" s="229">
        <v>4.3299999999999998E-2</v>
      </c>
      <c r="EB39" s="230">
        <v>512250</v>
      </c>
      <c r="EC39" s="229">
        <v>6.0000000000000001E-3</v>
      </c>
      <c r="ED39" s="229">
        <v>4.3299999999999998E-2</v>
      </c>
      <c r="EE39" s="228">
        <v>14.2</v>
      </c>
      <c r="EF39" s="229">
        <v>5.4000000000000003E-3</v>
      </c>
      <c r="EG39" s="230">
        <v>386693</v>
      </c>
      <c r="EH39" s="230">
        <v>742258</v>
      </c>
      <c r="EI39" s="229">
        <v>-0.47899999999999998</v>
      </c>
      <c r="EJ39" s="229">
        <v>0.23219999999999999</v>
      </c>
      <c r="EK39" s="231">
        <v>1465.54</v>
      </c>
      <c r="EL39" s="228">
        <v>866.5</v>
      </c>
      <c r="EM39" s="228">
        <v>397.79</v>
      </c>
      <c r="EN39" s="228">
        <v>155.30000000000001</v>
      </c>
      <c r="EO39" s="231">
        <v>2729.83</v>
      </c>
      <c r="EP39" s="231">
        <v>4704.13</v>
      </c>
      <c r="EQ39" s="231">
        <v>-1974.3</v>
      </c>
      <c r="ER39" s="229">
        <v>-0.41970000000000002</v>
      </c>
      <c r="ES39" s="231">
        <v>1870.81</v>
      </c>
      <c r="ET39" s="231">
        <v>1111.6500000000001</v>
      </c>
      <c r="EU39" s="231">
        <v>3186.57</v>
      </c>
      <c r="EV39" s="231">
        <v>61094861</v>
      </c>
      <c r="EW39" s="231">
        <v>6169.03</v>
      </c>
      <c r="EX39" s="231">
        <v>5970.46</v>
      </c>
      <c r="EY39" s="228">
        <v>198.57</v>
      </c>
      <c r="EZ39" s="229">
        <v>3.3300000000000003E-2</v>
      </c>
      <c r="FA39" s="229">
        <v>0.3775</v>
      </c>
      <c r="FB39" s="227" t="s">
        <v>567</v>
      </c>
      <c r="FC39">
        <f t="shared" si="0"/>
        <v>138</v>
      </c>
    </row>
    <row r="40" spans="1:159" ht="17.25" thickBot="1" x14ac:dyDescent="0.3">
      <c r="A40" s="226">
        <v>46023</v>
      </c>
      <c r="B40" s="227" t="s">
        <v>175</v>
      </c>
      <c r="C40" s="227" t="s">
        <v>611</v>
      </c>
      <c r="D40" s="228">
        <v>750</v>
      </c>
      <c r="E40" s="228">
        <v>26</v>
      </c>
      <c r="F40" s="228">
        <v>739.95</v>
      </c>
      <c r="G40" s="228">
        <v>745.4</v>
      </c>
      <c r="H40" s="228">
        <v>-5.45</v>
      </c>
      <c r="I40" s="229">
        <v>-7.3000000000000001E-3</v>
      </c>
      <c r="J40" s="228">
        <v>735.1</v>
      </c>
      <c r="K40" s="228">
        <v>740.9</v>
      </c>
      <c r="L40" s="228">
        <v>-5.8</v>
      </c>
      <c r="M40" s="229">
        <v>-7.7999999999999996E-3</v>
      </c>
      <c r="N40" s="228">
        <v>739.95</v>
      </c>
      <c r="O40" s="228">
        <v>745.4</v>
      </c>
      <c r="P40" s="228">
        <v>-5.45</v>
      </c>
      <c r="Q40" s="229">
        <v>-7.3000000000000001E-3</v>
      </c>
      <c r="R40" s="228">
        <v>741.05</v>
      </c>
      <c r="S40" s="228">
        <v>746.9</v>
      </c>
      <c r="T40" s="228">
        <v>-5.85</v>
      </c>
      <c r="U40" s="229">
        <v>-7.7999999999999996E-3</v>
      </c>
      <c r="V40" s="228">
        <v>745.65</v>
      </c>
      <c r="W40" s="228">
        <v>752.8</v>
      </c>
      <c r="X40" s="228">
        <v>-7.15</v>
      </c>
      <c r="Y40" s="229">
        <v>-9.4999999999999998E-3</v>
      </c>
      <c r="Z40" s="228">
        <v>4.8499999999999996</v>
      </c>
      <c r="AA40" s="228">
        <v>4.5</v>
      </c>
      <c r="AB40" s="228">
        <v>0.35</v>
      </c>
      <c r="AC40" s="229">
        <v>6.6E-3</v>
      </c>
      <c r="AD40" s="228">
        <v>4.8499999999999996</v>
      </c>
      <c r="AE40" s="228">
        <v>4.5</v>
      </c>
      <c r="AF40" s="228">
        <v>0.35</v>
      </c>
      <c r="AG40" s="229">
        <v>6.6E-3</v>
      </c>
      <c r="AH40" s="228">
        <v>5.95</v>
      </c>
      <c r="AI40" s="228">
        <v>6</v>
      </c>
      <c r="AJ40" s="228">
        <v>-0.05</v>
      </c>
      <c r="AK40" s="229">
        <v>8.0999999999999996E-3</v>
      </c>
      <c r="AL40" s="228">
        <v>10.55</v>
      </c>
      <c r="AM40" s="228">
        <v>11.9</v>
      </c>
      <c r="AN40" s="228">
        <v>-1.35</v>
      </c>
      <c r="AO40" s="229">
        <v>1.44E-2</v>
      </c>
      <c r="AP40" s="228">
        <v>742.38</v>
      </c>
      <c r="AQ40" s="228">
        <v>743.27</v>
      </c>
      <c r="AR40" s="228">
        <v>0</v>
      </c>
      <c r="AS40" s="228">
        <v>59</v>
      </c>
      <c r="AT40" s="228">
        <v>89</v>
      </c>
      <c r="AU40" s="228">
        <v>-31</v>
      </c>
      <c r="AV40" s="229">
        <v>-0.34489999999999998</v>
      </c>
      <c r="AW40" s="228">
        <v>53</v>
      </c>
      <c r="AX40" s="228">
        <v>82</v>
      </c>
      <c r="AY40" s="228">
        <v>-28</v>
      </c>
      <c r="AZ40" s="229">
        <v>-0.34510000000000002</v>
      </c>
      <c r="BA40" s="228">
        <v>5</v>
      </c>
      <c r="BB40" s="228">
        <v>8</v>
      </c>
      <c r="BC40" s="228">
        <v>-3</v>
      </c>
      <c r="BD40" s="229">
        <v>-0.35289999999999999</v>
      </c>
      <c r="BE40" s="228">
        <v>0</v>
      </c>
      <c r="BF40" s="228">
        <v>0</v>
      </c>
      <c r="BG40" s="228">
        <v>0</v>
      </c>
      <c r="BH40" s="229">
        <v>-0.1429</v>
      </c>
      <c r="BI40" s="228">
        <v>66</v>
      </c>
      <c r="BJ40" s="228">
        <v>119</v>
      </c>
      <c r="BK40" s="228">
        <v>-53</v>
      </c>
      <c r="BL40" s="229">
        <v>-0.4451</v>
      </c>
      <c r="BM40" s="228">
        <v>32</v>
      </c>
      <c r="BN40" s="228">
        <v>61</v>
      </c>
      <c r="BO40" s="228">
        <v>-28</v>
      </c>
      <c r="BP40" s="229">
        <v>-0.46939999999999998</v>
      </c>
      <c r="BQ40" s="228">
        <v>157</v>
      </c>
      <c r="BR40" s="228">
        <v>269</v>
      </c>
      <c r="BS40" s="228">
        <v>-112</v>
      </c>
      <c r="BT40" s="229">
        <v>-0.4173</v>
      </c>
      <c r="BU40" s="230">
        <v>390334</v>
      </c>
      <c r="BV40" s="230">
        <v>769437</v>
      </c>
      <c r="BW40" s="230">
        <v>-379103</v>
      </c>
      <c r="BX40" s="229">
        <v>-0.49270000000000003</v>
      </c>
      <c r="BY40" s="228">
        <v>574</v>
      </c>
      <c r="BZ40" s="228">
        <v>576</v>
      </c>
      <c r="CA40" s="228">
        <v>-2</v>
      </c>
      <c r="CB40" s="229">
        <v>-2.7000000000000001E-3</v>
      </c>
      <c r="CC40" s="228">
        <v>544</v>
      </c>
      <c r="CD40" s="228">
        <v>548</v>
      </c>
      <c r="CE40" s="228">
        <v>-4</v>
      </c>
      <c r="CF40" s="229">
        <v>-7.1000000000000004E-3</v>
      </c>
      <c r="CG40" s="228">
        <v>30</v>
      </c>
      <c r="CH40" s="228">
        <v>28</v>
      </c>
      <c r="CI40" s="228">
        <v>2</v>
      </c>
      <c r="CJ40" s="229">
        <v>8.0600000000000005E-2</v>
      </c>
      <c r="CK40" s="228">
        <v>0</v>
      </c>
      <c r="CL40" s="228">
        <v>0</v>
      </c>
      <c r="CM40" s="228">
        <v>0</v>
      </c>
      <c r="CN40" s="229">
        <v>0.28570000000000001</v>
      </c>
      <c r="CO40" s="228">
        <v>161</v>
      </c>
      <c r="CP40" s="228">
        <v>152</v>
      </c>
      <c r="CQ40" s="228">
        <v>9</v>
      </c>
      <c r="CR40" s="229">
        <v>5.8900000000000001E-2</v>
      </c>
      <c r="CS40" s="228">
        <v>157</v>
      </c>
      <c r="CT40" s="228">
        <v>151</v>
      </c>
      <c r="CU40" s="228">
        <v>6</v>
      </c>
      <c r="CV40" s="229">
        <v>3.9699999999999999E-2</v>
      </c>
      <c r="CW40" s="228">
        <v>892</v>
      </c>
      <c r="CX40" s="228">
        <v>879</v>
      </c>
      <c r="CY40" s="228">
        <v>13</v>
      </c>
      <c r="CZ40" s="229">
        <v>1.52E-2</v>
      </c>
      <c r="DA40" s="228">
        <v>25.53</v>
      </c>
      <c r="DB40" s="228">
        <v>25.25</v>
      </c>
      <c r="DC40" s="228">
        <v>0.28000000000000003</v>
      </c>
      <c r="DD40" s="228">
        <v>0.28000000000000003</v>
      </c>
      <c r="DE40" s="228">
        <v>39.92</v>
      </c>
      <c r="DF40" s="228">
        <v>40</v>
      </c>
      <c r="DG40" s="228">
        <v>-14.39</v>
      </c>
      <c r="DH40" s="228">
        <v>-0.08</v>
      </c>
      <c r="DI40" s="228">
        <v>25.66</v>
      </c>
      <c r="DJ40" s="228">
        <v>25.12</v>
      </c>
      <c r="DK40" s="228">
        <v>0.54</v>
      </c>
      <c r="DL40" s="228">
        <v>0.54</v>
      </c>
      <c r="DM40" s="228">
        <v>25.26</v>
      </c>
      <c r="DN40" s="228">
        <v>25.52</v>
      </c>
      <c r="DO40" s="228">
        <v>-0.26</v>
      </c>
      <c r="DP40" s="228">
        <v>-0.26</v>
      </c>
      <c r="DQ40" s="228">
        <v>0.98</v>
      </c>
      <c r="DR40" s="228">
        <v>0.99</v>
      </c>
      <c r="DS40" s="228">
        <v>-0.01</v>
      </c>
      <c r="DT40" s="229">
        <v>-1.01E-2</v>
      </c>
      <c r="DU40" s="228">
        <v>750</v>
      </c>
      <c r="DV40" s="228">
        <v>700</v>
      </c>
      <c r="DW40" s="228">
        <v>0.49</v>
      </c>
      <c r="DX40" s="228">
        <v>0.51</v>
      </c>
      <c r="DY40" s="228">
        <v>-0.02</v>
      </c>
      <c r="DZ40" s="229">
        <v>-3.9199999999999999E-2</v>
      </c>
      <c r="EA40" s="229">
        <v>5.2699999999999997E-2</v>
      </c>
      <c r="EB40" s="230">
        <v>377250</v>
      </c>
      <c r="EC40" s="229">
        <v>1.5E-3</v>
      </c>
      <c r="ED40" s="229">
        <v>5.2699999999999997E-2</v>
      </c>
      <c r="EE40" s="228">
        <v>0.89</v>
      </c>
      <c r="EF40" s="229">
        <v>1.1999999999999999E-3</v>
      </c>
      <c r="EG40" s="230">
        <v>202880</v>
      </c>
      <c r="EH40" s="230">
        <v>434403</v>
      </c>
      <c r="EI40" s="229">
        <v>-0.53300000000000003</v>
      </c>
      <c r="EJ40" s="229">
        <v>0.51980000000000004</v>
      </c>
      <c r="EK40" s="228">
        <v>69.3</v>
      </c>
      <c r="EL40" s="228">
        <v>32.549999999999997</v>
      </c>
      <c r="EM40" s="228">
        <v>58.81</v>
      </c>
      <c r="EN40" s="228">
        <v>61.26</v>
      </c>
      <c r="EO40" s="228">
        <v>160.65</v>
      </c>
      <c r="EP40" s="228">
        <v>276.19</v>
      </c>
      <c r="EQ40" s="228">
        <v>-115.53</v>
      </c>
      <c r="ER40" s="229">
        <v>-0.41830000000000001</v>
      </c>
      <c r="ES40" s="228">
        <v>169.15</v>
      </c>
      <c r="ET40" s="228">
        <v>158.13</v>
      </c>
      <c r="EU40" s="228">
        <v>574.49</v>
      </c>
      <c r="EV40" s="231">
        <v>37122288</v>
      </c>
      <c r="EW40" s="228">
        <v>901.77</v>
      </c>
      <c r="EX40" s="228">
        <v>892.79</v>
      </c>
      <c r="EY40" s="228">
        <v>8.98</v>
      </c>
      <c r="EZ40" s="229">
        <v>1.01E-2</v>
      </c>
      <c r="FA40" s="229">
        <v>0.32469999999999999</v>
      </c>
      <c r="FB40" s="227" t="s">
        <v>568</v>
      </c>
      <c r="FC40">
        <f t="shared" si="0"/>
        <v>30</v>
      </c>
    </row>
    <row r="41" spans="1:159" ht="17.25" thickBot="1" x14ac:dyDescent="0.3">
      <c r="A41" s="226">
        <v>46023</v>
      </c>
      <c r="B41" s="227" t="s">
        <v>172</v>
      </c>
      <c r="C41" s="227" t="s">
        <v>196</v>
      </c>
      <c r="D41" s="228">
        <v>6750</v>
      </c>
      <c r="E41" s="228">
        <v>26</v>
      </c>
      <c r="F41" s="228">
        <v>155.03</v>
      </c>
      <c r="G41" s="228">
        <v>155.13</v>
      </c>
      <c r="H41" s="228">
        <v>-0.1</v>
      </c>
      <c r="I41" s="229">
        <v>-5.9999999999999995E-4</v>
      </c>
      <c r="J41" s="228">
        <v>154.24</v>
      </c>
      <c r="K41" s="228">
        <v>154.91</v>
      </c>
      <c r="L41" s="228">
        <v>-0.67</v>
      </c>
      <c r="M41" s="229">
        <v>-4.3E-3</v>
      </c>
      <c r="N41" s="228">
        <v>155.03</v>
      </c>
      <c r="O41" s="228">
        <v>155.13</v>
      </c>
      <c r="P41" s="228">
        <v>-0.1</v>
      </c>
      <c r="Q41" s="229">
        <v>-5.9999999999999995E-4</v>
      </c>
      <c r="R41" s="228">
        <v>155.52000000000001</v>
      </c>
      <c r="S41" s="228">
        <v>155.72</v>
      </c>
      <c r="T41" s="228">
        <v>-0.2</v>
      </c>
      <c r="U41" s="229">
        <v>-1.2999999999999999E-3</v>
      </c>
      <c r="V41" s="228">
        <v>156.4</v>
      </c>
      <c r="W41" s="228">
        <v>156.62</v>
      </c>
      <c r="X41" s="228">
        <v>-0.22</v>
      </c>
      <c r="Y41" s="229">
        <v>-1.4E-3</v>
      </c>
      <c r="Z41" s="228">
        <v>0.79</v>
      </c>
      <c r="AA41" s="228">
        <v>0.22</v>
      </c>
      <c r="AB41" s="228">
        <v>0.56999999999999995</v>
      </c>
      <c r="AC41" s="229">
        <v>5.1000000000000004E-3</v>
      </c>
      <c r="AD41" s="228">
        <v>0.79</v>
      </c>
      <c r="AE41" s="228">
        <v>0.22</v>
      </c>
      <c r="AF41" s="228">
        <v>0.56999999999999995</v>
      </c>
      <c r="AG41" s="229">
        <v>5.1000000000000004E-3</v>
      </c>
      <c r="AH41" s="228">
        <v>1.28</v>
      </c>
      <c r="AI41" s="228">
        <v>0.81</v>
      </c>
      <c r="AJ41" s="228">
        <v>0.47</v>
      </c>
      <c r="AK41" s="229">
        <v>8.3000000000000001E-3</v>
      </c>
      <c r="AL41" s="228">
        <v>2.16</v>
      </c>
      <c r="AM41" s="228">
        <v>1.71</v>
      </c>
      <c r="AN41" s="228">
        <v>0.45</v>
      </c>
      <c r="AO41" s="229">
        <v>1.4E-2</v>
      </c>
      <c r="AP41" s="228">
        <v>155.31</v>
      </c>
      <c r="AQ41" s="228">
        <v>155.69</v>
      </c>
      <c r="AR41" s="228">
        <v>0</v>
      </c>
      <c r="AS41" s="228">
        <v>660</v>
      </c>
      <c r="AT41" s="230">
        <v>1035</v>
      </c>
      <c r="AU41" s="228">
        <v>-375</v>
      </c>
      <c r="AV41" s="229">
        <v>-0.36270000000000002</v>
      </c>
      <c r="AW41" s="228">
        <v>612</v>
      </c>
      <c r="AX41" s="228">
        <v>937</v>
      </c>
      <c r="AY41" s="228">
        <v>-325</v>
      </c>
      <c r="AZ41" s="229">
        <v>-0.34699999999999998</v>
      </c>
      <c r="BA41" s="228">
        <v>43</v>
      </c>
      <c r="BB41" s="228">
        <v>84</v>
      </c>
      <c r="BC41" s="228">
        <v>-40</v>
      </c>
      <c r="BD41" s="229">
        <v>-0.48249999999999998</v>
      </c>
      <c r="BE41" s="228">
        <v>5</v>
      </c>
      <c r="BF41" s="228">
        <v>15</v>
      </c>
      <c r="BG41" s="228">
        <v>-10</v>
      </c>
      <c r="BH41" s="229">
        <v>-0.68569999999999998</v>
      </c>
      <c r="BI41" s="230">
        <v>1182</v>
      </c>
      <c r="BJ41" s="230">
        <v>2533</v>
      </c>
      <c r="BK41" s="230">
        <v>-1351</v>
      </c>
      <c r="BL41" s="229">
        <v>-0.53339999999999999</v>
      </c>
      <c r="BM41" s="228">
        <v>645</v>
      </c>
      <c r="BN41" s="230">
        <v>1348</v>
      </c>
      <c r="BO41" s="228">
        <v>-703</v>
      </c>
      <c r="BP41" s="229">
        <v>-0.52149999999999996</v>
      </c>
      <c r="BQ41" s="230">
        <v>2487</v>
      </c>
      <c r="BR41" s="230">
        <v>4916</v>
      </c>
      <c r="BS41" s="230">
        <v>-2430</v>
      </c>
      <c r="BT41" s="229">
        <v>-0.49419999999999997</v>
      </c>
      <c r="BU41" s="230">
        <v>19390916</v>
      </c>
      <c r="BV41" s="230">
        <v>36859145</v>
      </c>
      <c r="BW41" s="230">
        <v>-17468229</v>
      </c>
      <c r="BX41" s="229">
        <v>-0.47389999999999999</v>
      </c>
      <c r="BY41" s="230">
        <v>2261</v>
      </c>
      <c r="BZ41" s="230">
        <v>2118</v>
      </c>
      <c r="CA41" s="228">
        <v>144</v>
      </c>
      <c r="CB41" s="229">
        <v>6.7799999999999999E-2</v>
      </c>
      <c r="CC41" s="230">
        <v>2170</v>
      </c>
      <c r="CD41" s="230">
        <v>2043</v>
      </c>
      <c r="CE41" s="228">
        <v>126</v>
      </c>
      <c r="CF41" s="229">
        <v>6.1699999999999998E-2</v>
      </c>
      <c r="CG41" s="228">
        <v>80</v>
      </c>
      <c r="CH41" s="228">
        <v>65</v>
      </c>
      <c r="CI41" s="228">
        <v>15</v>
      </c>
      <c r="CJ41" s="229">
        <v>0.23619999999999999</v>
      </c>
      <c r="CK41" s="228">
        <v>12</v>
      </c>
      <c r="CL41" s="228">
        <v>10</v>
      </c>
      <c r="CM41" s="228">
        <v>2</v>
      </c>
      <c r="CN41" s="229">
        <v>0.2258</v>
      </c>
      <c r="CO41" s="230">
        <v>1039</v>
      </c>
      <c r="CP41" s="228">
        <v>938</v>
      </c>
      <c r="CQ41" s="228">
        <v>101</v>
      </c>
      <c r="CR41" s="229">
        <v>0.1082</v>
      </c>
      <c r="CS41" s="228">
        <v>940</v>
      </c>
      <c r="CT41" s="228">
        <v>891</v>
      </c>
      <c r="CU41" s="228">
        <v>48</v>
      </c>
      <c r="CV41" s="229">
        <v>5.4100000000000002E-2</v>
      </c>
      <c r="CW41" s="230">
        <v>4240</v>
      </c>
      <c r="CX41" s="230">
        <v>3947</v>
      </c>
      <c r="CY41" s="228">
        <v>293</v>
      </c>
      <c r="CZ41" s="229">
        <v>7.4300000000000005E-2</v>
      </c>
      <c r="DA41" s="228">
        <v>26.42</v>
      </c>
      <c r="DB41" s="228">
        <v>26.61</v>
      </c>
      <c r="DC41" s="228">
        <v>-0.19</v>
      </c>
      <c r="DD41" s="228">
        <v>-0.19</v>
      </c>
      <c r="DE41" s="228">
        <v>35.369999999999997</v>
      </c>
      <c r="DF41" s="228">
        <v>35.450000000000003</v>
      </c>
      <c r="DG41" s="228">
        <v>-8.9499999999999993</v>
      </c>
      <c r="DH41" s="228">
        <v>-0.08</v>
      </c>
      <c r="DI41" s="228">
        <v>26.43</v>
      </c>
      <c r="DJ41" s="228">
        <v>26.52</v>
      </c>
      <c r="DK41" s="228">
        <v>-0.09</v>
      </c>
      <c r="DL41" s="228">
        <v>-0.09</v>
      </c>
      <c r="DM41" s="228">
        <v>26.41</v>
      </c>
      <c r="DN41" s="228">
        <v>26.77</v>
      </c>
      <c r="DO41" s="228">
        <v>-0.36</v>
      </c>
      <c r="DP41" s="228">
        <v>-0.36</v>
      </c>
      <c r="DQ41" s="228">
        <v>0.9</v>
      </c>
      <c r="DR41" s="228">
        <v>0.95</v>
      </c>
      <c r="DS41" s="228">
        <v>-0.05</v>
      </c>
      <c r="DT41" s="229">
        <v>-5.2600000000000001E-2</v>
      </c>
      <c r="DU41" s="228">
        <v>155</v>
      </c>
      <c r="DV41" s="228">
        <v>150</v>
      </c>
      <c r="DW41" s="228">
        <v>0.55000000000000004</v>
      </c>
      <c r="DX41" s="228">
        <v>0.53</v>
      </c>
      <c r="DY41" s="228">
        <v>0.02</v>
      </c>
      <c r="DZ41" s="229">
        <v>3.7699999999999997E-2</v>
      </c>
      <c r="EA41" s="229">
        <v>4.0599999999999997E-2</v>
      </c>
      <c r="EB41" s="230">
        <v>4799250</v>
      </c>
      <c r="EC41" s="229">
        <v>3.2000000000000002E-3</v>
      </c>
      <c r="ED41" s="229">
        <v>4.0599999999999997E-2</v>
      </c>
      <c r="EE41" s="228">
        <v>0.38</v>
      </c>
      <c r="EF41" s="229">
        <v>2.3999999999999998E-3</v>
      </c>
      <c r="EG41" s="230">
        <v>7340036</v>
      </c>
      <c r="EH41" s="230">
        <v>15419102</v>
      </c>
      <c r="EI41" s="229">
        <v>-0.52400000000000002</v>
      </c>
      <c r="EJ41" s="229">
        <v>0.3785</v>
      </c>
      <c r="EK41" s="231">
        <v>1231.9100000000001</v>
      </c>
      <c r="EL41" s="228">
        <v>641.08000000000004</v>
      </c>
      <c r="EM41" s="228">
        <v>660.91</v>
      </c>
      <c r="EN41" s="228">
        <v>149.16999999999999</v>
      </c>
      <c r="EO41" s="231">
        <v>2533.89</v>
      </c>
      <c r="EP41" s="231">
        <v>5024.6000000000004</v>
      </c>
      <c r="EQ41" s="231">
        <v>-2490.71</v>
      </c>
      <c r="ER41" s="229">
        <v>-0.49569999999999997</v>
      </c>
      <c r="ES41" s="231">
        <v>1049.49</v>
      </c>
      <c r="ET41" s="228">
        <v>899.76</v>
      </c>
      <c r="EU41" s="231">
        <v>2261.7399999999998</v>
      </c>
      <c r="EV41" s="231">
        <v>504315430</v>
      </c>
      <c r="EW41" s="231">
        <v>4210.99</v>
      </c>
      <c r="EX41" s="231">
        <v>3919.57</v>
      </c>
      <c r="EY41" s="228">
        <v>291.42</v>
      </c>
      <c r="EZ41" s="229">
        <v>7.4300000000000005E-2</v>
      </c>
      <c r="FA41" s="229">
        <v>0.5423</v>
      </c>
      <c r="FB41" s="227" t="s">
        <v>567</v>
      </c>
      <c r="FC41">
        <f t="shared" si="0"/>
        <v>91</v>
      </c>
    </row>
    <row r="42" spans="1:159" ht="17.25" thickBot="1" x14ac:dyDescent="0.3">
      <c r="A42" s="226">
        <v>46023</v>
      </c>
      <c r="B42" s="227" t="s">
        <v>175</v>
      </c>
      <c r="C42" s="227" t="s">
        <v>597</v>
      </c>
      <c r="D42" s="228">
        <v>475</v>
      </c>
      <c r="E42" s="228">
        <v>26</v>
      </c>
      <c r="F42" s="231">
        <v>1455.2</v>
      </c>
      <c r="G42" s="231">
        <v>1452.7</v>
      </c>
      <c r="H42" s="228">
        <v>2.5</v>
      </c>
      <c r="I42" s="229">
        <v>1.6999999999999999E-3</v>
      </c>
      <c r="J42" s="231">
        <v>1446.2</v>
      </c>
      <c r="K42" s="231">
        <v>1443.6</v>
      </c>
      <c r="L42" s="228">
        <v>2.6</v>
      </c>
      <c r="M42" s="229">
        <v>1.8E-3</v>
      </c>
      <c r="N42" s="231">
        <v>1455.2</v>
      </c>
      <c r="O42" s="231">
        <v>1452.7</v>
      </c>
      <c r="P42" s="228">
        <v>2.5</v>
      </c>
      <c r="Q42" s="229">
        <v>1.6999999999999999E-3</v>
      </c>
      <c r="R42" s="231">
        <v>1462.1</v>
      </c>
      <c r="S42" s="231">
        <v>1460</v>
      </c>
      <c r="T42" s="228">
        <v>2.1</v>
      </c>
      <c r="U42" s="229">
        <v>1.4E-3</v>
      </c>
      <c r="V42" s="231">
        <v>1469.7</v>
      </c>
      <c r="W42" s="231">
        <v>1467</v>
      </c>
      <c r="X42" s="228">
        <v>2.7</v>
      </c>
      <c r="Y42" s="229">
        <v>1.8E-3</v>
      </c>
      <c r="Z42" s="228">
        <v>9</v>
      </c>
      <c r="AA42" s="228">
        <v>9.1</v>
      </c>
      <c r="AB42" s="228">
        <v>-0.1</v>
      </c>
      <c r="AC42" s="229">
        <v>6.1999999999999998E-3</v>
      </c>
      <c r="AD42" s="228">
        <v>9</v>
      </c>
      <c r="AE42" s="228">
        <v>9.1</v>
      </c>
      <c r="AF42" s="228">
        <v>-0.1</v>
      </c>
      <c r="AG42" s="229">
        <v>6.1999999999999998E-3</v>
      </c>
      <c r="AH42" s="228">
        <v>15.9</v>
      </c>
      <c r="AI42" s="228">
        <v>16.399999999999999</v>
      </c>
      <c r="AJ42" s="228">
        <v>-0.5</v>
      </c>
      <c r="AK42" s="229">
        <v>1.0999999999999999E-2</v>
      </c>
      <c r="AL42" s="228">
        <v>23.5</v>
      </c>
      <c r="AM42" s="228">
        <v>23.4</v>
      </c>
      <c r="AN42" s="228">
        <v>0.1</v>
      </c>
      <c r="AO42" s="229">
        <v>1.6199999999999999E-2</v>
      </c>
      <c r="AP42" s="231">
        <v>1450.89</v>
      </c>
      <c r="AQ42" s="231">
        <v>1458.38</v>
      </c>
      <c r="AR42" s="228">
        <v>0</v>
      </c>
      <c r="AS42" s="228">
        <v>115</v>
      </c>
      <c r="AT42" s="228">
        <v>220</v>
      </c>
      <c r="AU42" s="228">
        <v>-105</v>
      </c>
      <c r="AV42" s="229">
        <v>-0.47699999999999998</v>
      </c>
      <c r="AW42" s="228">
        <v>106</v>
      </c>
      <c r="AX42" s="228">
        <v>200</v>
      </c>
      <c r="AY42" s="228">
        <v>-95</v>
      </c>
      <c r="AZ42" s="229">
        <v>-0.4733</v>
      </c>
      <c r="BA42" s="228">
        <v>8</v>
      </c>
      <c r="BB42" s="228">
        <v>17</v>
      </c>
      <c r="BC42" s="228">
        <v>-9</v>
      </c>
      <c r="BD42" s="229">
        <v>-0.5202</v>
      </c>
      <c r="BE42" s="228">
        <v>1</v>
      </c>
      <c r="BF42" s="228">
        <v>2</v>
      </c>
      <c r="BG42" s="228">
        <v>-1</v>
      </c>
      <c r="BH42" s="229">
        <v>-0.48480000000000001</v>
      </c>
      <c r="BI42" s="228">
        <v>357</v>
      </c>
      <c r="BJ42" s="228">
        <v>614</v>
      </c>
      <c r="BK42" s="228">
        <v>-258</v>
      </c>
      <c r="BL42" s="229">
        <v>-0.41949999999999998</v>
      </c>
      <c r="BM42" s="228">
        <v>105</v>
      </c>
      <c r="BN42" s="228">
        <v>282</v>
      </c>
      <c r="BO42" s="228">
        <v>-177</v>
      </c>
      <c r="BP42" s="229">
        <v>-0.62790000000000001</v>
      </c>
      <c r="BQ42" s="228">
        <v>576</v>
      </c>
      <c r="BR42" s="230">
        <v>1116</v>
      </c>
      <c r="BS42" s="228">
        <v>-540</v>
      </c>
      <c r="BT42" s="229">
        <v>-0.48349999999999999</v>
      </c>
      <c r="BU42" s="230">
        <v>681478</v>
      </c>
      <c r="BV42" s="230">
        <v>1144940</v>
      </c>
      <c r="BW42" s="230">
        <v>-463462</v>
      </c>
      <c r="BX42" s="229">
        <v>-0.40479999999999999</v>
      </c>
      <c r="BY42" s="230">
        <v>1521</v>
      </c>
      <c r="BZ42" s="230">
        <v>1505</v>
      </c>
      <c r="CA42" s="228">
        <v>16</v>
      </c>
      <c r="CB42" s="229">
        <v>1.04E-2</v>
      </c>
      <c r="CC42" s="230">
        <v>1430</v>
      </c>
      <c r="CD42" s="230">
        <v>1419</v>
      </c>
      <c r="CE42" s="228">
        <v>11</v>
      </c>
      <c r="CF42" s="229">
        <v>8.0000000000000002E-3</v>
      </c>
      <c r="CG42" s="228">
        <v>88</v>
      </c>
      <c r="CH42" s="228">
        <v>85</v>
      </c>
      <c r="CI42" s="228">
        <v>3</v>
      </c>
      <c r="CJ42" s="229">
        <v>3.5900000000000001E-2</v>
      </c>
      <c r="CK42" s="228">
        <v>3</v>
      </c>
      <c r="CL42" s="228">
        <v>2</v>
      </c>
      <c r="CM42" s="228">
        <v>1</v>
      </c>
      <c r="CN42" s="229">
        <v>0.65380000000000005</v>
      </c>
      <c r="CO42" s="228">
        <v>754</v>
      </c>
      <c r="CP42" s="228">
        <v>715</v>
      </c>
      <c r="CQ42" s="228">
        <v>40</v>
      </c>
      <c r="CR42" s="229">
        <v>5.57E-2</v>
      </c>
      <c r="CS42" s="228">
        <v>572</v>
      </c>
      <c r="CT42" s="228">
        <v>560</v>
      </c>
      <c r="CU42" s="228">
        <v>12</v>
      </c>
      <c r="CV42" s="229">
        <v>2.12E-2</v>
      </c>
      <c r="CW42" s="230">
        <v>2848</v>
      </c>
      <c r="CX42" s="230">
        <v>2780</v>
      </c>
      <c r="CY42" s="228">
        <v>67</v>
      </c>
      <c r="CZ42" s="229">
        <v>2.4199999999999999E-2</v>
      </c>
      <c r="DA42" s="228">
        <v>27.26</v>
      </c>
      <c r="DB42" s="228">
        <v>27.42</v>
      </c>
      <c r="DC42" s="228">
        <v>-0.16</v>
      </c>
      <c r="DD42" s="228">
        <v>-0.16</v>
      </c>
      <c r="DE42" s="228">
        <v>44.15</v>
      </c>
      <c r="DF42" s="228">
        <v>44.26</v>
      </c>
      <c r="DG42" s="228">
        <v>-16.89</v>
      </c>
      <c r="DH42" s="228">
        <v>-0.11</v>
      </c>
      <c r="DI42" s="228">
        <v>27.22</v>
      </c>
      <c r="DJ42" s="228">
        <v>27.38</v>
      </c>
      <c r="DK42" s="228">
        <v>-0.16</v>
      </c>
      <c r="DL42" s="228">
        <v>-0.16</v>
      </c>
      <c r="DM42" s="228">
        <v>27.4</v>
      </c>
      <c r="DN42" s="228">
        <v>27.51</v>
      </c>
      <c r="DO42" s="228">
        <v>-0.11</v>
      </c>
      <c r="DP42" s="228">
        <v>-0.11</v>
      </c>
      <c r="DQ42" s="228">
        <v>0.76</v>
      </c>
      <c r="DR42" s="228">
        <v>0.78</v>
      </c>
      <c r="DS42" s="228">
        <v>-0.02</v>
      </c>
      <c r="DT42" s="229">
        <v>-2.5600000000000001E-2</v>
      </c>
      <c r="DU42" s="231">
        <v>1600</v>
      </c>
      <c r="DV42" s="231">
        <v>1500</v>
      </c>
      <c r="DW42" s="228">
        <v>0.28999999999999998</v>
      </c>
      <c r="DX42" s="228">
        <v>0.46</v>
      </c>
      <c r="DY42" s="228">
        <v>-0.17</v>
      </c>
      <c r="DZ42" s="229">
        <v>-0.36959999999999998</v>
      </c>
      <c r="EA42" s="229">
        <v>5.9700000000000003E-2</v>
      </c>
      <c r="EB42" s="230">
        <v>594700</v>
      </c>
      <c r="EC42" s="229">
        <v>4.7000000000000002E-3</v>
      </c>
      <c r="ED42" s="229">
        <v>5.9700000000000003E-2</v>
      </c>
      <c r="EE42" s="228">
        <v>7.49</v>
      </c>
      <c r="EF42" s="229">
        <v>5.1999999999999998E-3</v>
      </c>
      <c r="EG42" s="230">
        <v>249176</v>
      </c>
      <c r="EH42" s="230">
        <v>508985</v>
      </c>
      <c r="EI42" s="229">
        <v>-0.51039999999999996</v>
      </c>
      <c r="EJ42" s="229">
        <v>0.36559999999999998</v>
      </c>
      <c r="EK42" s="228">
        <v>375.48</v>
      </c>
      <c r="EL42" s="228">
        <v>104.17</v>
      </c>
      <c r="EM42" s="228">
        <v>114.66</v>
      </c>
      <c r="EN42" s="228">
        <v>125.86</v>
      </c>
      <c r="EO42" s="228">
        <v>594.32000000000005</v>
      </c>
      <c r="EP42" s="231">
        <v>1145.0899999999999</v>
      </c>
      <c r="EQ42" s="228">
        <v>-550.78</v>
      </c>
      <c r="ER42" s="229">
        <v>-0.48099999999999998</v>
      </c>
      <c r="ES42" s="228">
        <v>799.94</v>
      </c>
      <c r="ET42" s="228">
        <v>579.13</v>
      </c>
      <c r="EU42" s="231">
        <v>1521.34</v>
      </c>
      <c r="EV42" s="231">
        <v>26647500</v>
      </c>
      <c r="EW42" s="231">
        <v>2900.41</v>
      </c>
      <c r="EX42" s="231">
        <v>2829.33</v>
      </c>
      <c r="EY42" s="228">
        <v>71.08</v>
      </c>
      <c r="EZ42" s="229">
        <v>2.5100000000000001E-2</v>
      </c>
      <c r="FA42" s="229">
        <v>0.73429999999999995</v>
      </c>
      <c r="FB42" s="227" t="s">
        <v>555</v>
      </c>
      <c r="FC42">
        <f t="shared" si="0"/>
        <v>91</v>
      </c>
    </row>
    <row r="43" spans="1:159" ht="17.25" thickBot="1" x14ac:dyDescent="0.3">
      <c r="A43" s="226">
        <v>46023</v>
      </c>
      <c r="B43" s="227" t="s">
        <v>161</v>
      </c>
      <c r="C43" s="227" t="s">
        <v>612</v>
      </c>
      <c r="D43" s="228">
        <v>850</v>
      </c>
      <c r="E43" s="228">
        <v>26</v>
      </c>
      <c r="F43" s="228">
        <v>641.85</v>
      </c>
      <c r="G43" s="228">
        <v>650.29999999999995</v>
      </c>
      <c r="H43" s="228">
        <v>-8.4499999999999993</v>
      </c>
      <c r="I43" s="229">
        <v>-1.2999999999999999E-2</v>
      </c>
      <c r="J43" s="228">
        <v>637.9</v>
      </c>
      <c r="K43" s="228">
        <v>647.9</v>
      </c>
      <c r="L43" s="228">
        <v>-10</v>
      </c>
      <c r="M43" s="229">
        <v>-1.54E-2</v>
      </c>
      <c r="N43" s="228">
        <v>641.85</v>
      </c>
      <c r="O43" s="228">
        <v>650.29999999999995</v>
      </c>
      <c r="P43" s="228">
        <v>-8.4499999999999993</v>
      </c>
      <c r="Q43" s="229">
        <v>-1.2999999999999999E-2</v>
      </c>
      <c r="R43" s="228">
        <v>645.35</v>
      </c>
      <c r="S43" s="228">
        <v>654.1</v>
      </c>
      <c r="T43" s="228">
        <v>-8.75</v>
      </c>
      <c r="U43" s="229">
        <v>-1.34E-2</v>
      </c>
      <c r="V43" s="228">
        <v>649.75</v>
      </c>
      <c r="W43" s="228">
        <v>657.35</v>
      </c>
      <c r="X43" s="228">
        <v>-7.6</v>
      </c>
      <c r="Y43" s="229">
        <v>-1.1599999999999999E-2</v>
      </c>
      <c r="Z43" s="228">
        <v>3.95</v>
      </c>
      <c r="AA43" s="228">
        <v>2.4</v>
      </c>
      <c r="AB43" s="228">
        <v>1.55</v>
      </c>
      <c r="AC43" s="229">
        <v>6.1999999999999998E-3</v>
      </c>
      <c r="AD43" s="228">
        <v>3.95</v>
      </c>
      <c r="AE43" s="228">
        <v>2.4</v>
      </c>
      <c r="AF43" s="228">
        <v>1.55</v>
      </c>
      <c r="AG43" s="229">
        <v>6.1999999999999998E-3</v>
      </c>
      <c r="AH43" s="228">
        <v>7.45</v>
      </c>
      <c r="AI43" s="228">
        <v>6.2</v>
      </c>
      <c r="AJ43" s="228">
        <v>1.25</v>
      </c>
      <c r="AK43" s="229">
        <v>1.17E-2</v>
      </c>
      <c r="AL43" s="228">
        <v>11.85</v>
      </c>
      <c r="AM43" s="228">
        <v>9.4499999999999993</v>
      </c>
      <c r="AN43" s="228">
        <v>2.4</v>
      </c>
      <c r="AO43" s="229">
        <v>1.8599999999999998E-2</v>
      </c>
      <c r="AP43" s="228">
        <v>643.79</v>
      </c>
      <c r="AQ43" s="228">
        <v>648.66999999999996</v>
      </c>
      <c r="AR43" s="228">
        <v>0</v>
      </c>
      <c r="AS43" s="228">
        <v>116</v>
      </c>
      <c r="AT43" s="228">
        <v>147</v>
      </c>
      <c r="AU43" s="228">
        <v>-32</v>
      </c>
      <c r="AV43" s="229">
        <v>-0.21379999999999999</v>
      </c>
      <c r="AW43" s="228">
        <v>112</v>
      </c>
      <c r="AX43" s="228">
        <v>141</v>
      </c>
      <c r="AY43" s="228">
        <v>-29</v>
      </c>
      <c r="AZ43" s="229">
        <v>-0.2054</v>
      </c>
      <c r="BA43" s="228">
        <v>3</v>
      </c>
      <c r="BB43" s="228">
        <v>6</v>
      </c>
      <c r="BC43" s="228">
        <v>-2</v>
      </c>
      <c r="BD43" s="229">
        <v>-0.44119999999999998</v>
      </c>
      <c r="BE43" s="228">
        <v>1</v>
      </c>
      <c r="BF43" s="228">
        <v>1</v>
      </c>
      <c r="BG43" s="228">
        <v>0</v>
      </c>
      <c r="BH43" s="229">
        <v>-9.0899999999999995E-2</v>
      </c>
      <c r="BI43" s="228">
        <v>211</v>
      </c>
      <c r="BJ43" s="228">
        <v>260</v>
      </c>
      <c r="BK43" s="228">
        <v>-48</v>
      </c>
      <c r="BL43" s="229">
        <v>-0.1865</v>
      </c>
      <c r="BM43" s="228">
        <v>82</v>
      </c>
      <c r="BN43" s="228">
        <v>109</v>
      </c>
      <c r="BO43" s="228">
        <v>-28</v>
      </c>
      <c r="BP43" s="229">
        <v>-0.25219999999999998</v>
      </c>
      <c r="BQ43" s="228">
        <v>409</v>
      </c>
      <c r="BR43" s="228">
        <v>516</v>
      </c>
      <c r="BS43" s="228">
        <v>-108</v>
      </c>
      <c r="BT43" s="229">
        <v>-0.2082</v>
      </c>
      <c r="BU43" s="230">
        <v>2863521</v>
      </c>
      <c r="BV43" s="230">
        <v>1722183</v>
      </c>
      <c r="BW43" s="230">
        <v>1141338</v>
      </c>
      <c r="BX43" s="229">
        <v>0.66269999999999996</v>
      </c>
      <c r="BY43" s="228">
        <v>942</v>
      </c>
      <c r="BZ43" s="228">
        <v>914</v>
      </c>
      <c r="CA43" s="228">
        <v>28</v>
      </c>
      <c r="CB43" s="229">
        <v>3.0700000000000002E-2</v>
      </c>
      <c r="CC43" s="228">
        <v>917</v>
      </c>
      <c r="CD43" s="228">
        <v>890</v>
      </c>
      <c r="CE43" s="228">
        <v>27</v>
      </c>
      <c r="CF43" s="229">
        <v>3.0300000000000001E-2</v>
      </c>
      <c r="CG43" s="228">
        <v>25</v>
      </c>
      <c r="CH43" s="228">
        <v>24</v>
      </c>
      <c r="CI43" s="228">
        <v>1</v>
      </c>
      <c r="CJ43" s="229">
        <v>2.4799999999999999E-2</v>
      </c>
      <c r="CK43" s="228">
        <v>1</v>
      </c>
      <c r="CL43" s="228">
        <v>0</v>
      </c>
      <c r="CM43" s="228">
        <v>0</v>
      </c>
      <c r="CN43" s="229">
        <v>1.3332999999999999</v>
      </c>
      <c r="CO43" s="228">
        <v>230</v>
      </c>
      <c r="CP43" s="228">
        <v>194</v>
      </c>
      <c r="CQ43" s="228">
        <v>36</v>
      </c>
      <c r="CR43" s="229">
        <v>0.18429999999999999</v>
      </c>
      <c r="CS43" s="228">
        <v>159</v>
      </c>
      <c r="CT43" s="228">
        <v>146</v>
      </c>
      <c r="CU43" s="228">
        <v>13</v>
      </c>
      <c r="CV43" s="229">
        <v>8.8400000000000006E-2</v>
      </c>
      <c r="CW43" s="230">
        <v>1332</v>
      </c>
      <c r="CX43" s="230">
        <v>1255</v>
      </c>
      <c r="CY43" s="228">
        <v>77</v>
      </c>
      <c r="CZ43" s="229">
        <v>6.1199999999999997E-2</v>
      </c>
      <c r="DA43" s="228">
        <v>27.41</v>
      </c>
      <c r="DB43" s="228">
        <v>27.17</v>
      </c>
      <c r="DC43" s="228">
        <v>0.24</v>
      </c>
      <c r="DD43" s="228">
        <v>0.24</v>
      </c>
      <c r="DE43" s="228">
        <v>38.54</v>
      </c>
      <c r="DF43" s="228">
        <v>38.6</v>
      </c>
      <c r="DG43" s="228">
        <v>-11.13</v>
      </c>
      <c r="DH43" s="228">
        <v>-0.06</v>
      </c>
      <c r="DI43" s="228">
        <v>27.57</v>
      </c>
      <c r="DJ43" s="228">
        <v>27.23</v>
      </c>
      <c r="DK43" s="228">
        <v>0.34</v>
      </c>
      <c r="DL43" s="228">
        <v>0.34</v>
      </c>
      <c r="DM43" s="228">
        <v>26.99</v>
      </c>
      <c r="DN43" s="228">
        <v>27.05</v>
      </c>
      <c r="DO43" s="228">
        <v>-0.06</v>
      </c>
      <c r="DP43" s="228">
        <v>-0.06</v>
      </c>
      <c r="DQ43" s="228">
        <v>0.69</v>
      </c>
      <c r="DR43" s="228">
        <v>0.75</v>
      </c>
      <c r="DS43" s="228">
        <v>-0.06</v>
      </c>
      <c r="DT43" s="229">
        <v>-0.08</v>
      </c>
      <c r="DU43" s="228">
        <v>700</v>
      </c>
      <c r="DV43" s="228">
        <v>650</v>
      </c>
      <c r="DW43" s="228">
        <v>0.39</v>
      </c>
      <c r="DX43" s="228">
        <v>0.42</v>
      </c>
      <c r="DY43" s="228">
        <v>-0.03</v>
      </c>
      <c r="DZ43" s="229">
        <v>-7.1400000000000005E-2</v>
      </c>
      <c r="EA43" s="229">
        <v>2.7099999999999999E-2</v>
      </c>
      <c r="EB43" s="230">
        <v>381650</v>
      </c>
      <c r="EC43" s="229">
        <v>5.4999999999999997E-3</v>
      </c>
      <c r="ED43" s="229">
        <v>2.7099999999999999E-2</v>
      </c>
      <c r="EE43" s="228">
        <v>4.88</v>
      </c>
      <c r="EF43" s="229">
        <v>7.6E-3</v>
      </c>
      <c r="EG43" s="230">
        <v>1840934</v>
      </c>
      <c r="EH43" s="230">
        <v>983486</v>
      </c>
      <c r="EI43" s="229">
        <v>0.87180000000000002</v>
      </c>
      <c r="EJ43" s="229">
        <v>0.64290000000000003</v>
      </c>
      <c r="EK43" s="228">
        <v>223.29</v>
      </c>
      <c r="EL43" s="228">
        <v>81.709999999999994</v>
      </c>
      <c r="EM43" s="228">
        <v>116.32</v>
      </c>
      <c r="EN43" s="228">
        <v>78.75</v>
      </c>
      <c r="EO43" s="228">
        <v>421.32</v>
      </c>
      <c r="EP43" s="228">
        <v>534.67999999999995</v>
      </c>
      <c r="EQ43" s="228">
        <v>-113.36</v>
      </c>
      <c r="ER43" s="229">
        <v>-0.21199999999999999</v>
      </c>
      <c r="ES43" s="228">
        <v>244.34</v>
      </c>
      <c r="ET43" s="228">
        <v>161.61000000000001</v>
      </c>
      <c r="EU43" s="228">
        <v>942.51</v>
      </c>
      <c r="EV43" s="231">
        <v>103060454</v>
      </c>
      <c r="EW43" s="231">
        <v>1348.47</v>
      </c>
      <c r="EX43" s="231">
        <v>1282.44</v>
      </c>
      <c r="EY43" s="228">
        <v>66.03</v>
      </c>
      <c r="EZ43" s="229">
        <v>5.1499999999999997E-2</v>
      </c>
      <c r="FA43" s="229">
        <v>0.20130000000000001</v>
      </c>
      <c r="FB43" s="227" t="s">
        <v>567</v>
      </c>
      <c r="FC43">
        <f t="shared" si="0"/>
        <v>25</v>
      </c>
    </row>
    <row r="44" spans="1:159" ht="17.25" thickBot="1" x14ac:dyDescent="0.3">
      <c r="A44" s="226">
        <v>46023</v>
      </c>
      <c r="B44" s="227" t="s">
        <v>175</v>
      </c>
      <c r="C44" s="227" t="s">
        <v>198</v>
      </c>
      <c r="D44" s="228">
        <v>625</v>
      </c>
      <c r="E44" s="228">
        <v>26</v>
      </c>
      <c r="F44" s="231">
        <v>1735.1</v>
      </c>
      <c r="G44" s="231">
        <v>1712.8</v>
      </c>
      <c r="H44" s="228">
        <v>22.3</v>
      </c>
      <c r="I44" s="229">
        <v>1.2999999999999999E-2</v>
      </c>
      <c r="J44" s="231">
        <v>1724</v>
      </c>
      <c r="K44" s="231">
        <v>1702.2</v>
      </c>
      <c r="L44" s="228">
        <v>21.8</v>
      </c>
      <c r="M44" s="229">
        <v>1.2800000000000001E-2</v>
      </c>
      <c r="N44" s="231">
        <v>1735.1</v>
      </c>
      <c r="O44" s="231">
        <v>1712.8</v>
      </c>
      <c r="P44" s="228">
        <v>22.3</v>
      </c>
      <c r="Q44" s="229">
        <v>1.2999999999999999E-2</v>
      </c>
      <c r="R44" s="231">
        <v>1734</v>
      </c>
      <c r="S44" s="231">
        <v>1712.5</v>
      </c>
      <c r="T44" s="228">
        <v>21.5</v>
      </c>
      <c r="U44" s="229">
        <v>1.26E-2</v>
      </c>
      <c r="V44" s="231">
        <v>1725</v>
      </c>
      <c r="W44" s="231">
        <v>1710</v>
      </c>
      <c r="X44" s="228">
        <v>15</v>
      </c>
      <c r="Y44" s="229">
        <v>8.8000000000000005E-3</v>
      </c>
      <c r="Z44" s="228">
        <v>11.1</v>
      </c>
      <c r="AA44" s="228">
        <v>10.6</v>
      </c>
      <c r="AB44" s="228">
        <v>0.5</v>
      </c>
      <c r="AC44" s="229">
        <v>6.4000000000000003E-3</v>
      </c>
      <c r="AD44" s="228">
        <v>11.1</v>
      </c>
      <c r="AE44" s="228">
        <v>10.6</v>
      </c>
      <c r="AF44" s="228">
        <v>0.5</v>
      </c>
      <c r="AG44" s="229">
        <v>6.4000000000000003E-3</v>
      </c>
      <c r="AH44" s="228">
        <v>10</v>
      </c>
      <c r="AI44" s="228">
        <v>10.3</v>
      </c>
      <c r="AJ44" s="228">
        <v>-0.3</v>
      </c>
      <c r="AK44" s="229">
        <v>5.7999999999999996E-3</v>
      </c>
      <c r="AL44" s="228">
        <v>1</v>
      </c>
      <c r="AM44" s="228">
        <v>7.8</v>
      </c>
      <c r="AN44" s="228">
        <v>-6.8</v>
      </c>
      <c r="AO44" s="229">
        <v>5.9999999999999995E-4</v>
      </c>
      <c r="AP44" s="231">
        <v>1726.96</v>
      </c>
      <c r="AQ44" s="231">
        <v>1726.01</v>
      </c>
      <c r="AR44" s="228">
        <v>0</v>
      </c>
      <c r="AS44" s="228">
        <v>250</v>
      </c>
      <c r="AT44" s="228">
        <v>282</v>
      </c>
      <c r="AU44" s="228">
        <v>-31</v>
      </c>
      <c r="AV44" s="229">
        <v>-0.11169999999999999</v>
      </c>
      <c r="AW44" s="228">
        <v>239</v>
      </c>
      <c r="AX44" s="228">
        <v>276</v>
      </c>
      <c r="AY44" s="228">
        <v>-37</v>
      </c>
      <c r="AZ44" s="229">
        <v>-0.1341</v>
      </c>
      <c r="BA44" s="228">
        <v>10</v>
      </c>
      <c r="BB44" s="228">
        <v>6</v>
      </c>
      <c r="BC44" s="228">
        <v>4</v>
      </c>
      <c r="BD44" s="229">
        <v>0.75929999999999997</v>
      </c>
      <c r="BE44" s="228">
        <v>1</v>
      </c>
      <c r="BF44" s="228">
        <v>0</v>
      </c>
      <c r="BG44" s="228">
        <v>1</v>
      </c>
      <c r="BH44" s="229">
        <v>10</v>
      </c>
      <c r="BI44" s="228">
        <v>864</v>
      </c>
      <c r="BJ44" s="228">
        <v>515</v>
      </c>
      <c r="BK44" s="228">
        <v>349</v>
      </c>
      <c r="BL44" s="229">
        <v>0.67700000000000005</v>
      </c>
      <c r="BM44" s="228">
        <v>422</v>
      </c>
      <c r="BN44" s="228">
        <v>343</v>
      </c>
      <c r="BO44" s="228">
        <v>78</v>
      </c>
      <c r="BP44" s="229">
        <v>0.22770000000000001</v>
      </c>
      <c r="BQ44" s="230">
        <v>1536</v>
      </c>
      <c r="BR44" s="230">
        <v>1140</v>
      </c>
      <c r="BS44" s="228">
        <v>396</v>
      </c>
      <c r="BT44" s="229">
        <v>0.34689999999999999</v>
      </c>
      <c r="BU44" s="230">
        <v>411570</v>
      </c>
      <c r="BV44" s="230">
        <v>722659</v>
      </c>
      <c r="BW44" s="230">
        <v>-311089</v>
      </c>
      <c r="BX44" s="229">
        <v>-0.43049999999999999</v>
      </c>
      <c r="BY44" s="230">
        <v>2097</v>
      </c>
      <c r="BZ44" s="230">
        <v>2092</v>
      </c>
      <c r="CA44" s="228">
        <v>4</v>
      </c>
      <c r="CB44" s="229">
        <v>2E-3</v>
      </c>
      <c r="CC44" s="230">
        <v>2070</v>
      </c>
      <c r="CD44" s="230">
        <v>2068</v>
      </c>
      <c r="CE44" s="228">
        <v>2</v>
      </c>
      <c r="CF44" s="229">
        <v>8.9999999999999998E-4</v>
      </c>
      <c r="CG44" s="228">
        <v>26</v>
      </c>
      <c r="CH44" s="228">
        <v>24</v>
      </c>
      <c r="CI44" s="228">
        <v>2</v>
      </c>
      <c r="CJ44" s="229">
        <v>6.6699999999999995E-2</v>
      </c>
      <c r="CK44" s="228">
        <v>1</v>
      </c>
      <c r="CL44" s="228">
        <v>0</v>
      </c>
      <c r="CM44" s="228">
        <v>1</v>
      </c>
      <c r="CN44" s="229">
        <v>6</v>
      </c>
      <c r="CO44" s="228">
        <v>593</v>
      </c>
      <c r="CP44" s="228">
        <v>577</v>
      </c>
      <c r="CQ44" s="228">
        <v>16</v>
      </c>
      <c r="CR44" s="229">
        <v>2.7099999999999999E-2</v>
      </c>
      <c r="CS44" s="228">
        <v>605</v>
      </c>
      <c r="CT44" s="228">
        <v>566</v>
      </c>
      <c r="CU44" s="228">
        <v>39</v>
      </c>
      <c r="CV44" s="229">
        <v>6.93E-2</v>
      </c>
      <c r="CW44" s="230">
        <v>3295</v>
      </c>
      <c r="CX44" s="230">
        <v>3236</v>
      </c>
      <c r="CY44" s="228">
        <v>59</v>
      </c>
      <c r="CZ44" s="229">
        <v>1.8200000000000001E-2</v>
      </c>
      <c r="DA44" s="228">
        <v>23.84</v>
      </c>
      <c r="DB44" s="228">
        <v>23.98</v>
      </c>
      <c r="DC44" s="228">
        <v>-0.14000000000000001</v>
      </c>
      <c r="DD44" s="228">
        <v>-0.14000000000000001</v>
      </c>
      <c r="DE44" s="228">
        <v>37.380000000000003</v>
      </c>
      <c r="DF44" s="228">
        <v>37.44</v>
      </c>
      <c r="DG44" s="228">
        <v>-13.54</v>
      </c>
      <c r="DH44" s="228">
        <v>-0.06</v>
      </c>
      <c r="DI44" s="228">
        <v>22.98</v>
      </c>
      <c r="DJ44" s="228">
        <v>22.55</v>
      </c>
      <c r="DK44" s="228">
        <v>0.43</v>
      </c>
      <c r="DL44" s="228">
        <v>0.43</v>
      </c>
      <c r="DM44" s="228">
        <v>25.61</v>
      </c>
      <c r="DN44" s="228">
        <v>26.13</v>
      </c>
      <c r="DO44" s="228">
        <v>-0.52</v>
      </c>
      <c r="DP44" s="228">
        <v>-0.52</v>
      </c>
      <c r="DQ44" s="228">
        <v>1.02</v>
      </c>
      <c r="DR44" s="228">
        <v>0.98</v>
      </c>
      <c r="DS44" s="228">
        <v>0.04</v>
      </c>
      <c r="DT44" s="229">
        <v>4.0800000000000003E-2</v>
      </c>
      <c r="DU44" s="231">
        <v>1720</v>
      </c>
      <c r="DV44" s="231">
        <v>1500</v>
      </c>
      <c r="DW44" s="228">
        <v>0.49</v>
      </c>
      <c r="DX44" s="228">
        <v>0.67</v>
      </c>
      <c r="DY44" s="228">
        <v>-0.18</v>
      </c>
      <c r="DZ44" s="229">
        <v>-0.26869999999999999</v>
      </c>
      <c r="EA44" s="229">
        <v>1.2800000000000001E-2</v>
      </c>
      <c r="EB44" s="230">
        <v>141250</v>
      </c>
      <c r="EC44" s="229">
        <v>-5.9999999999999995E-4</v>
      </c>
      <c r="ED44" s="229">
        <v>1.2800000000000001E-2</v>
      </c>
      <c r="EE44" s="228">
        <v>-0.95</v>
      </c>
      <c r="EF44" s="229">
        <v>-5.9999999999999995E-4</v>
      </c>
      <c r="EG44" s="230">
        <v>165307</v>
      </c>
      <c r="EH44" s="230">
        <v>384383</v>
      </c>
      <c r="EI44" s="229">
        <v>-0.56989999999999996</v>
      </c>
      <c r="EJ44" s="229">
        <v>0.40160000000000001</v>
      </c>
      <c r="EK44" s="228">
        <v>890.2</v>
      </c>
      <c r="EL44" s="228">
        <v>405.51</v>
      </c>
      <c r="EM44" s="228">
        <v>249</v>
      </c>
      <c r="EN44" s="228">
        <v>107.27</v>
      </c>
      <c r="EO44" s="231">
        <v>1544.71</v>
      </c>
      <c r="EP44" s="231">
        <v>1131.46</v>
      </c>
      <c r="EQ44" s="228">
        <v>413.25</v>
      </c>
      <c r="ER44" s="229">
        <v>0.36520000000000002</v>
      </c>
      <c r="ES44" s="228">
        <v>596.38</v>
      </c>
      <c r="ET44" s="228">
        <v>554.59</v>
      </c>
      <c r="EU44" s="231">
        <v>2096.52</v>
      </c>
      <c r="EV44" s="231">
        <v>63257923</v>
      </c>
      <c r="EW44" s="231">
        <v>3247.49</v>
      </c>
      <c r="EX44" s="231">
        <v>3161.16</v>
      </c>
      <c r="EY44" s="228">
        <v>86.33</v>
      </c>
      <c r="EZ44" s="229">
        <v>2.7300000000000001E-2</v>
      </c>
      <c r="FA44" s="229">
        <v>0.30020000000000002</v>
      </c>
      <c r="FB44" s="227" t="s">
        <v>555</v>
      </c>
      <c r="FC44">
        <f t="shared" si="0"/>
        <v>27</v>
      </c>
    </row>
    <row r="45" spans="1:159" ht="17.25" thickBot="1" x14ac:dyDescent="0.3">
      <c r="A45" s="226">
        <v>46023</v>
      </c>
      <c r="B45" s="227" t="s">
        <v>170</v>
      </c>
      <c r="C45" s="227" t="s">
        <v>199</v>
      </c>
      <c r="D45" s="228">
        <v>375</v>
      </c>
      <c r="E45" s="228">
        <v>26</v>
      </c>
      <c r="F45" s="231">
        <v>1510.2</v>
      </c>
      <c r="G45" s="231">
        <v>1516.4</v>
      </c>
      <c r="H45" s="228">
        <v>-6.2</v>
      </c>
      <c r="I45" s="229">
        <v>-4.1000000000000003E-3</v>
      </c>
      <c r="J45" s="231">
        <v>1500.9</v>
      </c>
      <c r="K45" s="231">
        <v>1511.3</v>
      </c>
      <c r="L45" s="228">
        <v>-10.4</v>
      </c>
      <c r="M45" s="229">
        <v>-6.8999999999999999E-3</v>
      </c>
      <c r="N45" s="231">
        <v>1510.2</v>
      </c>
      <c r="O45" s="231">
        <v>1516.4</v>
      </c>
      <c r="P45" s="228">
        <v>-6.2</v>
      </c>
      <c r="Q45" s="229">
        <v>-4.1000000000000003E-3</v>
      </c>
      <c r="R45" s="231">
        <v>1518.7</v>
      </c>
      <c r="S45" s="231">
        <v>1525.4</v>
      </c>
      <c r="T45" s="228">
        <v>-6.7</v>
      </c>
      <c r="U45" s="229">
        <v>-4.4000000000000003E-3</v>
      </c>
      <c r="V45" s="231">
        <v>1529.9</v>
      </c>
      <c r="W45" s="231">
        <v>1535.4</v>
      </c>
      <c r="X45" s="228">
        <v>-5.5</v>
      </c>
      <c r="Y45" s="229">
        <v>-3.5999999999999999E-3</v>
      </c>
      <c r="Z45" s="228">
        <v>9.3000000000000007</v>
      </c>
      <c r="AA45" s="228">
        <v>5.0999999999999996</v>
      </c>
      <c r="AB45" s="228">
        <v>4.2</v>
      </c>
      <c r="AC45" s="229">
        <v>6.1999999999999998E-3</v>
      </c>
      <c r="AD45" s="228">
        <v>9.3000000000000007</v>
      </c>
      <c r="AE45" s="228">
        <v>5.0999999999999996</v>
      </c>
      <c r="AF45" s="228">
        <v>4.2</v>
      </c>
      <c r="AG45" s="229">
        <v>6.1999999999999998E-3</v>
      </c>
      <c r="AH45" s="228">
        <v>17.8</v>
      </c>
      <c r="AI45" s="228">
        <v>14.1</v>
      </c>
      <c r="AJ45" s="228">
        <v>3.7</v>
      </c>
      <c r="AK45" s="229">
        <v>1.1900000000000001E-2</v>
      </c>
      <c r="AL45" s="228">
        <v>29</v>
      </c>
      <c r="AM45" s="228">
        <v>24.1</v>
      </c>
      <c r="AN45" s="228">
        <v>4.9000000000000004</v>
      </c>
      <c r="AO45" s="229">
        <v>1.9300000000000001E-2</v>
      </c>
      <c r="AP45" s="231">
        <v>1508.79</v>
      </c>
      <c r="AQ45" s="231">
        <v>1518.15</v>
      </c>
      <c r="AR45" s="228">
        <v>0</v>
      </c>
      <c r="AS45" s="228">
        <v>61</v>
      </c>
      <c r="AT45" s="228">
        <v>170</v>
      </c>
      <c r="AU45" s="228">
        <v>-109</v>
      </c>
      <c r="AV45" s="229">
        <v>-0.6411</v>
      </c>
      <c r="AW45" s="228">
        <v>57</v>
      </c>
      <c r="AX45" s="228">
        <v>161</v>
      </c>
      <c r="AY45" s="228">
        <v>-104</v>
      </c>
      <c r="AZ45" s="229">
        <v>-0.64380000000000004</v>
      </c>
      <c r="BA45" s="228">
        <v>2</v>
      </c>
      <c r="BB45" s="228">
        <v>8</v>
      </c>
      <c r="BC45" s="228">
        <v>-6</v>
      </c>
      <c r="BD45" s="229">
        <v>-0.73909999999999998</v>
      </c>
      <c r="BE45" s="228">
        <v>2</v>
      </c>
      <c r="BF45" s="228">
        <v>1</v>
      </c>
      <c r="BG45" s="228">
        <v>0</v>
      </c>
      <c r="BH45" s="229">
        <v>0.38100000000000001</v>
      </c>
      <c r="BI45" s="228">
        <v>269</v>
      </c>
      <c r="BJ45" s="228">
        <v>450</v>
      </c>
      <c r="BK45" s="228">
        <v>-181</v>
      </c>
      <c r="BL45" s="229">
        <v>-0.40179999999999999</v>
      </c>
      <c r="BM45" s="228">
        <v>196</v>
      </c>
      <c r="BN45" s="228">
        <v>236</v>
      </c>
      <c r="BO45" s="228">
        <v>-40</v>
      </c>
      <c r="BP45" s="229">
        <v>-0.16819999999999999</v>
      </c>
      <c r="BQ45" s="228">
        <v>527</v>
      </c>
      <c r="BR45" s="228">
        <v>856</v>
      </c>
      <c r="BS45" s="228">
        <v>-330</v>
      </c>
      <c r="BT45" s="229">
        <v>-0.38500000000000001</v>
      </c>
      <c r="BU45" s="230">
        <v>235299</v>
      </c>
      <c r="BV45" s="230">
        <v>893926</v>
      </c>
      <c r="BW45" s="230">
        <v>-658627</v>
      </c>
      <c r="BX45" s="229">
        <v>-0.73680000000000001</v>
      </c>
      <c r="BY45" s="230">
        <v>1864</v>
      </c>
      <c r="BZ45" s="230">
        <v>1872</v>
      </c>
      <c r="CA45" s="228">
        <v>-8</v>
      </c>
      <c r="CB45" s="229">
        <v>-4.1000000000000003E-3</v>
      </c>
      <c r="CC45" s="230">
        <v>1842</v>
      </c>
      <c r="CD45" s="230">
        <v>1851</v>
      </c>
      <c r="CE45" s="228">
        <v>-9</v>
      </c>
      <c r="CF45" s="229">
        <v>-5.0000000000000001E-3</v>
      </c>
      <c r="CG45" s="228">
        <v>19</v>
      </c>
      <c r="CH45" s="228">
        <v>19</v>
      </c>
      <c r="CI45" s="228">
        <v>0</v>
      </c>
      <c r="CJ45" s="229">
        <v>5.7999999999999996E-3</v>
      </c>
      <c r="CK45" s="228">
        <v>3</v>
      </c>
      <c r="CL45" s="228">
        <v>1</v>
      </c>
      <c r="CM45" s="228">
        <v>1</v>
      </c>
      <c r="CN45" s="229">
        <v>1.1904999999999999</v>
      </c>
      <c r="CO45" s="228">
        <v>408</v>
      </c>
      <c r="CP45" s="228">
        <v>374</v>
      </c>
      <c r="CQ45" s="228">
        <v>34</v>
      </c>
      <c r="CR45" s="229">
        <v>9.1899999999999996E-2</v>
      </c>
      <c r="CS45" s="228">
        <v>348</v>
      </c>
      <c r="CT45" s="228">
        <v>308</v>
      </c>
      <c r="CU45" s="228">
        <v>40</v>
      </c>
      <c r="CV45" s="229">
        <v>0.12909999999999999</v>
      </c>
      <c r="CW45" s="230">
        <v>2620</v>
      </c>
      <c r="CX45" s="230">
        <v>2554</v>
      </c>
      <c r="CY45" s="228">
        <v>66</v>
      </c>
      <c r="CZ45" s="229">
        <v>2.5999999999999999E-2</v>
      </c>
      <c r="DA45" s="228">
        <v>16.670000000000002</v>
      </c>
      <c r="DB45" s="228">
        <v>17.11</v>
      </c>
      <c r="DC45" s="228">
        <v>-0.44</v>
      </c>
      <c r="DD45" s="228">
        <v>-0.44</v>
      </c>
      <c r="DE45" s="228">
        <v>25.22</v>
      </c>
      <c r="DF45" s="228">
        <v>25.28</v>
      </c>
      <c r="DG45" s="228">
        <v>-8.5500000000000007</v>
      </c>
      <c r="DH45" s="228">
        <v>-0.06</v>
      </c>
      <c r="DI45" s="228">
        <v>16.260000000000002</v>
      </c>
      <c r="DJ45" s="228">
        <v>16.829999999999998</v>
      </c>
      <c r="DK45" s="228">
        <v>-0.56999999999999995</v>
      </c>
      <c r="DL45" s="228">
        <v>-0.56999999999999995</v>
      </c>
      <c r="DM45" s="228">
        <v>17.239999999999998</v>
      </c>
      <c r="DN45" s="228">
        <v>17.649999999999999</v>
      </c>
      <c r="DO45" s="228">
        <v>-0.41</v>
      </c>
      <c r="DP45" s="228">
        <v>-0.41</v>
      </c>
      <c r="DQ45" s="228">
        <v>0.85</v>
      </c>
      <c r="DR45" s="228">
        <v>0.82</v>
      </c>
      <c r="DS45" s="228">
        <v>0.03</v>
      </c>
      <c r="DT45" s="229">
        <v>3.6600000000000001E-2</v>
      </c>
      <c r="DU45" s="231">
        <v>1500</v>
      </c>
      <c r="DV45" s="231">
        <v>1500</v>
      </c>
      <c r="DW45" s="228">
        <v>0.73</v>
      </c>
      <c r="DX45" s="228">
        <v>0.52</v>
      </c>
      <c r="DY45" s="228">
        <v>0.21</v>
      </c>
      <c r="DZ45" s="229">
        <v>0.40379999999999999</v>
      </c>
      <c r="EA45" s="229">
        <v>1.18E-2</v>
      </c>
      <c r="EB45" s="230">
        <v>136125</v>
      </c>
      <c r="EC45" s="229">
        <v>5.5999999999999999E-3</v>
      </c>
      <c r="ED45" s="229">
        <v>1.18E-2</v>
      </c>
      <c r="EE45" s="228">
        <v>9.36</v>
      </c>
      <c r="EF45" s="229">
        <v>6.1999999999999998E-3</v>
      </c>
      <c r="EG45" s="230">
        <v>100302</v>
      </c>
      <c r="EH45" s="230">
        <v>564725</v>
      </c>
      <c r="EI45" s="229">
        <v>-0.82240000000000002</v>
      </c>
      <c r="EJ45" s="229">
        <v>0.42630000000000001</v>
      </c>
      <c r="EK45" s="228">
        <v>279.56</v>
      </c>
      <c r="EL45" s="228">
        <v>192.47</v>
      </c>
      <c r="EM45" s="228">
        <v>61.08</v>
      </c>
      <c r="EN45" s="228">
        <v>117.02</v>
      </c>
      <c r="EO45" s="228">
        <v>533.1</v>
      </c>
      <c r="EP45" s="228">
        <v>868.12</v>
      </c>
      <c r="EQ45" s="228">
        <v>-335.02</v>
      </c>
      <c r="ER45" s="229">
        <v>-0.38590000000000002</v>
      </c>
      <c r="ES45" s="228">
        <v>420.5</v>
      </c>
      <c r="ET45" s="228">
        <v>337.4</v>
      </c>
      <c r="EU45" s="231">
        <v>1864.37</v>
      </c>
      <c r="EV45" s="231">
        <v>59297360</v>
      </c>
      <c r="EW45" s="231">
        <v>2622.27</v>
      </c>
      <c r="EX45" s="231">
        <v>2562.9</v>
      </c>
      <c r="EY45" s="228">
        <v>59.37</v>
      </c>
      <c r="EZ45" s="229">
        <v>2.3199999999999998E-2</v>
      </c>
      <c r="FA45" s="229">
        <v>0.29260000000000003</v>
      </c>
      <c r="FB45" s="227" t="s">
        <v>568</v>
      </c>
      <c r="FC45">
        <f t="shared" si="0"/>
        <v>22</v>
      </c>
    </row>
    <row r="46" spans="1:159" ht="17.25" thickBot="1" x14ac:dyDescent="0.3">
      <c r="A46" s="226">
        <v>46023</v>
      </c>
      <c r="B46" s="227" t="s">
        <v>227</v>
      </c>
      <c r="C46" s="227" t="s">
        <v>200</v>
      </c>
      <c r="D46" s="228">
        <v>1350</v>
      </c>
      <c r="E46" s="228">
        <v>26</v>
      </c>
      <c r="F46" s="228">
        <v>402.4</v>
      </c>
      <c r="G46" s="228">
        <v>400.45</v>
      </c>
      <c r="H46" s="228">
        <v>1.95</v>
      </c>
      <c r="I46" s="229">
        <v>4.8999999999999998E-3</v>
      </c>
      <c r="J46" s="228">
        <v>400.45</v>
      </c>
      <c r="K46" s="228">
        <v>399</v>
      </c>
      <c r="L46" s="228">
        <v>1.45</v>
      </c>
      <c r="M46" s="229">
        <v>3.5999999999999999E-3</v>
      </c>
      <c r="N46" s="228">
        <v>402.4</v>
      </c>
      <c r="O46" s="228">
        <v>400.45</v>
      </c>
      <c r="P46" s="228">
        <v>1.95</v>
      </c>
      <c r="Q46" s="229">
        <v>4.8999999999999998E-3</v>
      </c>
      <c r="R46" s="228">
        <v>400.35</v>
      </c>
      <c r="S46" s="228">
        <v>398.65</v>
      </c>
      <c r="T46" s="228">
        <v>1.7</v>
      </c>
      <c r="U46" s="229">
        <v>4.3E-3</v>
      </c>
      <c r="V46" s="228">
        <v>402.9</v>
      </c>
      <c r="W46" s="228">
        <v>400.6</v>
      </c>
      <c r="X46" s="228">
        <v>2.2999999999999998</v>
      </c>
      <c r="Y46" s="229">
        <v>5.7000000000000002E-3</v>
      </c>
      <c r="Z46" s="228">
        <v>1.95</v>
      </c>
      <c r="AA46" s="228">
        <v>1.45</v>
      </c>
      <c r="AB46" s="228">
        <v>0.5</v>
      </c>
      <c r="AC46" s="229">
        <v>4.8999999999999998E-3</v>
      </c>
      <c r="AD46" s="228">
        <v>1.95</v>
      </c>
      <c r="AE46" s="228">
        <v>1.45</v>
      </c>
      <c r="AF46" s="228">
        <v>0.5</v>
      </c>
      <c r="AG46" s="229">
        <v>4.8999999999999998E-3</v>
      </c>
      <c r="AH46" s="228">
        <v>-0.1</v>
      </c>
      <c r="AI46" s="228">
        <v>-0.35</v>
      </c>
      <c r="AJ46" s="228">
        <v>0.25</v>
      </c>
      <c r="AK46" s="229">
        <v>-2.0000000000000001E-4</v>
      </c>
      <c r="AL46" s="228">
        <v>2.4500000000000002</v>
      </c>
      <c r="AM46" s="228">
        <v>1.6</v>
      </c>
      <c r="AN46" s="228">
        <v>0.85</v>
      </c>
      <c r="AO46" s="229">
        <v>6.1000000000000004E-3</v>
      </c>
      <c r="AP46" s="228">
        <v>402.03</v>
      </c>
      <c r="AQ46" s="228">
        <v>399.84</v>
      </c>
      <c r="AR46" s="228">
        <v>0</v>
      </c>
      <c r="AS46" s="228">
        <v>296</v>
      </c>
      <c r="AT46" s="228">
        <v>440</v>
      </c>
      <c r="AU46" s="228">
        <v>-145</v>
      </c>
      <c r="AV46" s="229">
        <v>-0.32890000000000003</v>
      </c>
      <c r="AW46" s="228">
        <v>266</v>
      </c>
      <c r="AX46" s="228">
        <v>404</v>
      </c>
      <c r="AY46" s="228">
        <v>-138</v>
      </c>
      <c r="AZ46" s="229">
        <v>-0.34189999999999998</v>
      </c>
      <c r="BA46" s="228">
        <v>27</v>
      </c>
      <c r="BB46" s="228">
        <v>35</v>
      </c>
      <c r="BC46" s="228">
        <v>-8</v>
      </c>
      <c r="BD46" s="229">
        <v>-0.22359999999999999</v>
      </c>
      <c r="BE46" s="228">
        <v>2</v>
      </c>
      <c r="BF46" s="228">
        <v>1</v>
      </c>
      <c r="BG46" s="228">
        <v>1</v>
      </c>
      <c r="BH46" s="229">
        <v>1.1000000000000001</v>
      </c>
      <c r="BI46" s="228">
        <v>807</v>
      </c>
      <c r="BJ46" s="230">
        <v>1601</v>
      </c>
      <c r="BK46" s="228">
        <v>-794</v>
      </c>
      <c r="BL46" s="229">
        <v>-0.49590000000000001</v>
      </c>
      <c r="BM46" s="228">
        <v>291</v>
      </c>
      <c r="BN46" s="228">
        <v>573</v>
      </c>
      <c r="BO46" s="228">
        <v>-282</v>
      </c>
      <c r="BP46" s="229">
        <v>-0.49220000000000003</v>
      </c>
      <c r="BQ46" s="230">
        <v>1394</v>
      </c>
      <c r="BR46" s="230">
        <v>2615</v>
      </c>
      <c r="BS46" s="230">
        <v>-1221</v>
      </c>
      <c r="BT46" s="229">
        <v>-0.46700000000000003</v>
      </c>
      <c r="BU46" s="230">
        <v>3434661</v>
      </c>
      <c r="BV46" s="230">
        <v>4847089</v>
      </c>
      <c r="BW46" s="230">
        <v>-1412428</v>
      </c>
      <c r="BX46" s="229">
        <v>-0.29139999999999999</v>
      </c>
      <c r="BY46" s="230">
        <v>2348</v>
      </c>
      <c r="BZ46" s="230">
        <v>2345</v>
      </c>
      <c r="CA46" s="228">
        <v>2</v>
      </c>
      <c r="CB46" s="229">
        <v>1E-3</v>
      </c>
      <c r="CC46" s="230">
        <v>2237</v>
      </c>
      <c r="CD46" s="230">
        <v>2248</v>
      </c>
      <c r="CE46" s="228">
        <v>-11</v>
      </c>
      <c r="CF46" s="229">
        <v>-4.7999999999999996E-3</v>
      </c>
      <c r="CG46" s="228">
        <v>107</v>
      </c>
      <c r="CH46" s="228">
        <v>96</v>
      </c>
      <c r="CI46" s="228">
        <v>12</v>
      </c>
      <c r="CJ46" s="229">
        <v>0.12130000000000001</v>
      </c>
      <c r="CK46" s="228">
        <v>3</v>
      </c>
      <c r="CL46" s="228">
        <v>1</v>
      </c>
      <c r="CM46" s="228">
        <v>2</v>
      </c>
      <c r="CN46" s="229">
        <v>1.5</v>
      </c>
      <c r="CO46" s="230">
        <v>1299</v>
      </c>
      <c r="CP46" s="230">
        <v>1256</v>
      </c>
      <c r="CQ46" s="228">
        <v>42</v>
      </c>
      <c r="CR46" s="229">
        <v>3.3500000000000002E-2</v>
      </c>
      <c r="CS46" s="228">
        <v>727</v>
      </c>
      <c r="CT46" s="228">
        <v>675</v>
      </c>
      <c r="CU46" s="228">
        <v>52</v>
      </c>
      <c r="CV46" s="229">
        <v>7.7299999999999994E-2</v>
      </c>
      <c r="CW46" s="230">
        <v>4373</v>
      </c>
      <c r="CX46" s="230">
        <v>4276</v>
      </c>
      <c r="CY46" s="228">
        <v>97</v>
      </c>
      <c r="CZ46" s="229">
        <v>2.2599999999999999E-2</v>
      </c>
      <c r="DA46" s="228">
        <v>19.98</v>
      </c>
      <c r="DB46" s="228">
        <v>21.12</v>
      </c>
      <c r="DC46" s="228">
        <v>-1.1399999999999999</v>
      </c>
      <c r="DD46" s="228">
        <v>-1.1399999999999999</v>
      </c>
      <c r="DE46" s="228">
        <v>26.65</v>
      </c>
      <c r="DF46" s="228">
        <v>26.71</v>
      </c>
      <c r="DG46" s="228">
        <v>-6.67</v>
      </c>
      <c r="DH46" s="228">
        <v>-0.06</v>
      </c>
      <c r="DI46" s="228">
        <v>19.97</v>
      </c>
      <c r="DJ46" s="228">
        <v>21.29</v>
      </c>
      <c r="DK46" s="228">
        <v>-1.32</v>
      </c>
      <c r="DL46" s="228">
        <v>-1.32</v>
      </c>
      <c r="DM46" s="228">
        <v>20.010000000000002</v>
      </c>
      <c r="DN46" s="228">
        <v>20.62</v>
      </c>
      <c r="DO46" s="228">
        <v>-0.61</v>
      </c>
      <c r="DP46" s="228">
        <v>-0.61</v>
      </c>
      <c r="DQ46" s="228">
        <v>0.56000000000000005</v>
      </c>
      <c r="DR46" s="228">
        <v>0.54</v>
      </c>
      <c r="DS46" s="228">
        <v>0.02</v>
      </c>
      <c r="DT46" s="229">
        <v>3.6999999999999998E-2</v>
      </c>
      <c r="DU46" s="228">
        <v>410</v>
      </c>
      <c r="DV46" s="228">
        <v>400</v>
      </c>
      <c r="DW46" s="228">
        <v>0.36</v>
      </c>
      <c r="DX46" s="228">
        <v>0.36</v>
      </c>
      <c r="DY46" s="228">
        <v>0</v>
      </c>
      <c r="DZ46" s="229">
        <v>0</v>
      </c>
      <c r="EA46" s="229">
        <v>4.6899999999999997E-2</v>
      </c>
      <c r="EB46" s="230">
        <v>2408400</v>
      </c>
      <c r="EC46" s="229">
        <v>-5.1000000000000004E-3</v>
      </c>
      <c r="ED46" s="229">
        <v>4.6899999999999997E-2</v>
      </c>
      <c r="EE46" s="228">
        <v>-2.19</v>
      </c>
      <c r="EF46" s="229">
        <v>-5.4000000000000003E-3</v>
      </c>
      <c r="EG46" s="230">
        <v>1726190</v>
      </c>
      <c r="EH46" s="230">
        <v>1761195</v>
      </c>
      <c r="EI46" s="229">
        <v>-1.9900000000000001E-2</v>
      </c>
      <c r="EJ46" s="229">
        <v>0.50260000000000005</v>
      </c>
      <c r="EK46" s="228">
        <v>839.2</v>
      </c>
      <c r="EL46" s="228">
        <v>286.66000000000003</v>
      </c>
      <c r="EM46" s="228">
        <v>295.16000000000003</v>
      </c>
      <c r="EN46" s="228">
        <v>196.98</v>
      </c>
      <c r="EO46" s="231">
        <v>1421.01</v>
      </c>
      <c r="EP46" s="231">
        <v>2674.93</v>
      </c>
      <c r="EQ46" s="231">
        <v>-1253.9100000000001</v>
      </c>
      <c r="ER46" s="229">
        <v>-0.46879999999999999</v>
      </c>
      <c r="ES46" s="231">
        <v>1348.27</v>
      </c>
      <c r="ET46" s="228">
        <v>714.08</v>
      </c>
      <c r="EU46" s="231">
        <v>2347.0100000000002</v>
      </c>
      <c r="EV46" s="231">
        <v>278206904</v>
      </c>
      <c r="EW46" s="231">
        <v>4409.37</v>
      </c>
      <c r="EX46" s="231">
        <v>4302.9399999999996</v>
      </c>
      <c r="EY46" s="228">
        <v>106.43</v>
      </c>
      <c r="EZ46" s="229">
        <v>2.47E-2</v>
      </c>
      <c r="FA46" s="229">
        <v>0.3906</v>
      </c>
      <c r="FB46" s="227" t="s">
        <v>555</v>
      </c>
      <c r="FC46">
        <f t="shared" si="0"/>
        <v>111</v>
      </c>
    </row>
    <row r="47" spans="1:159" ht="17.25" thickBot="1" x14ac:dyDescent="0.3">
      <c r="A47" s="226">
        <v>46023</v>
      </c>
      <c r="B47" s="227" t="s">
        <v>221</v>
      </c>
      <c r="C47" s="227" t="s">
        <v>470</v>
      </c>
      <c r="D47" s="228">
        <v>375</v>
      </c>
      <c r="E47" s="228">
        <v>26</v>
      </c>
      <c r="F47" s="231">
        <v>1667.2</v>
      </c>
      <c r="G47" s="231">
        <v>1669</v>
      </c>
      <c r="H47" s="228">
        <v>-1.8</v>
      </c>
      <c r="I47" s="229">
        <v>-1.1000000000000001E-3</v>
      </c>
      <c r="J47" s="231">
        <v>1655.8</v>
      </c>
      <c r="K47" s="231">
        <v>1663</v>
      </c>
      <c r="L47" s="228">
        <v>-7.2</v>
      </c>
      <c r="M47" s="229">
        <v>-4.3E-3</v>
      </c>
      <c r="N47" s="231">
        <v>1667.2</v>
      </c>
      <c r="O47" s="231">
        <v>1669</v>
      </c>
      <c r="P47" s="228">
        <v>-1.8</v>
      </c>
      <c r="Q47" s="229">
        <v>-1.1000000000000001E-3</v>
      </c>
      <c r="R47" s="231">
        <v>1673.9</v>
      </c>
      <c r="S47" s="231">
        <v>1675.8</v>
      </c>
      <c r="T47" s="228">
        <v>-1.9</v>
      </c>
      <c r="U47" s="229">
        <v>-1.1000000000000001E-3</v>
      </c>
      <c r="V47" s="231">
        <v>1681.4</v>
      </c>
      <c r="W47" s="231">
        <v>1680.8</v>
      </c>
      <c r="X47" s="228">
        <v>0.6</v>
      </c>
      <c r="Y47" s="229">
        <v>4.0000000000000002E-4</v>
      </c>
      <c r="Z47" s="228">
        <v>11.4</v>
      </c>
      <c r="AA47" s="228">
        <v>6</v>
      </c>
      <c r="AB47" s="228">
        <v>5.4</v>
      </c>
      <c r="AC47" s="229">
        <v>6.8999999999999999E-3</v>
      </c>
      <c r="AD47" s="228">
        <v>11.4</v>
      </c>
      <c r="AE47" s="228">
        <v>6</v>
      </c>
      <c r="AF47" s="228">
        <v>5.4</v>
      </c>
      <c r="AG47" s="229">
        <v>6.8999999999999999E-3</v>
      </c>
      <c r="AH47" s="228">
        <v>18.100000000000001</v>
      </c>
      <c r="AI47" s="228">
        <v>12.8</v>
      </c>
      <c r="AJ47" s="228">
        <v>5.3</v>
      </c>
      <c r="AK47" s="229">
        <v>1.09E-2</v>
      </c>
      <c r="AL47" s="228">
        <v>25.6</v>
      </c>
      <c r="AM47" s="228">
        <v>17.8</v>
      </c>
      <c r="AN47" s="228">
        <v>7.8</v>
      </c>
      <c r="AO47" s="229">
        <v>1.55E-2</v>
      </c>
      <c r="AP47" s="231">
        <v>1668.7</v>
      </c>
      <c r="AQ47" s="231">
        <v>1674.85</v>
      </c>
      <c r="AR47" s="228">
        <v>0</v>
      </c>
      <c r="AS47" s="228">
        <v>213</v>
      </c>
      <c r="AT47" s="228">
        <v>478</v>
      </c>
      <c r="AU47" s="228">
        <v>-265</v>
      </c>
      <c r="AV47" s="229">
        <v>-0.55510000000000004</v>
      </c>
      <c r="AW47" s="228">
        <v>200</v>
      </c>
      <c r="AX47" s="228">
        <v>455</v>
      </c>
      <c r="AY47" s="228">
        <v>-255</v>
      </c>
      <c r="AZ47" s="229">
        <v>-0.56010000000000004</v>
      </c>
      <c r="BA47" s="228">
        <v>9</v>
      </c>
      <c r="BB47" s="228">
        <v>19</v>
      </c>
      <c r="BC47" s="228">
        <v>-10</v>
      </c>
      <c r="BD47" s="229">
        <v>-0.51519999999999999</v>
      </c>
      <c r="BE47" s="228">
        <v>4</v>
      </c>
      <c r="BF47" s="228">
        <v>5</v>
      </c>
      <c r="BG47" s="228">
        <v>-1</v>
      </c>
      <c r="BH47" s="229">
        <v>-0.21920000000000001</v>
      </c>
      <c r="BI47" s="228">
        <v>747</v>
      </c>
      <c r="BJ47" s="230">
        <v>1359</v>
      </c>
      <c r="BK47" s="228">
        <v>-613</v>
      </c>
      <c r="BL47" s="229">
        <v>-0.45079999999999998</v>
      </c>
      <c r="BM47" s="228">
        <v>290</v>
      </c>
      <c r="BN47" s="228">
        <v>599</v>
      </c>
      <c r="BO47" s="228">
        <v>-308</v>
      </c>
      <c r="BP47" s="229">
        <v>-0.51500000000000001</v>
      </c>
      <c r="BQ47" s="230">
        <v>1250</v>
      </c>
      <c r="BR47" s="230">
        <v>2437</v>
      </c>
      <c r="BS47" s="230">
        <v>-1187</v>
      </c>
      <c r="BT47" s="229">
        <v>-0.48709999999999998</v>
      </c>
      <c r="BU47" s="230">
        <v>1217208</v>
      </c>
      <c r="BV47" s="230">
        <v>2746815</v>
      </c>
      <c r="BW47" s="230">
        <v>-1529607</v>
      </c>
      <c r="BX47" s="229">
        <v>-0.55689999999999995</v>
      </c>
      <c r="BY47" s="230">
        <v>2909</v>
      </c>
      <c r="BZ47" s="230">
        <v>2891</v>
      </c>
      <c r="CA47" s="228">
        <v>18</v>
      </c>
      <c r="CB47" s="229">
        <v>6.3E-3</v>
      </c>
      <c r="CC47" s="230">
        <v>2828</v>
      </c>
      <c r="CD47" s="230">
        <v>2814</v>
      </c>
      <c r="CE47" s="228">
        <v>14</v>
      </c>
      <c r="CF47" s="229">
        <v>5.1000000000000004E-3</v>
      </c>
      <c r="CG47" s="228">
        <v>78</v>
      </c>
      <c r="CH47" s="228">
        <v>76</v>
      </c>
      <c r="CI47" s="228">
        <v>2</v>
      </c>
      <c r="CJ47" s="229">
        <v>2.8899999999999999E-2</v>
      </c>
      <c r="CK47" s="228">
        <v>3</v>
      </c>
      <c r="CL47" s="228">
        <v>1</v>
      </c>
      <c r="CM47" s="228">
        <v>2</v>
      </c>
      <c r="CN47" s="229">
        <v>1.35</v>
      </c>
      <c r="CO47" s="230">
        <v>1633</v>
      </c>
      <c r="CP47" s="230">
        <v>1578</v>
      </c>
      <c r="CQ47" s="228">
        <v>55</v>
      </c>
      <c r="CR47" s="229">
        <v>3.5000000000000003E-2</v>
      </c>
      <c r="CS47" s="228">
        <v>812</v>
      </c>
      <c r="CT47" s="228">
        <v>804</v>
      </c>
      <c r="CU47" s="228">
        <v>7</v>
      </c>
      <c r="CV47" s="229">
        <v>9.2999999999999992E-3</v>
      </c>
      <c r="CW47" s="230">
        <v>5354</v>
      </c>
      <c r="CX47" s="230">
        <v>5273</v>
      </c>
      <c r="CY47" s="228">
        <v>81</v>
      </c>
      <c r="CZ47" s="229">
        <v>1.54E-2</v>
      </c>
      <c r="DA47" s="228">
        <v>34.19</v>
      </c>
      <c r="DB47" s="228">
        <v>34.869999999999997</v>
      </c>
      <c r="DC47" s="228">
        <v>-0.68</v>
      </c>
      <c r="DD47" s="228">
        <v>-0.68</v>
      </c>
      <c r="DE47" s="228">
        <v>41.18</v>
      </c>
      <c r="DF47" s="228">
        <v>41.28</v>
      </c>
      <c r="DG47" s="228">
        <v>-6.99</v>
      </c>
      <c r="DH47" s="228">
        <v>-0.1</v>
      </c>
      <c r="DI47" s="228">
        <v>34.340000000000003</v>
      </c>
      <c r="DJ47" s="228">
        <v>34.96</v>
      </c>
      <c r="DK47" s="228">
        <v>-0.62</v>
      </c>
      <c r="DL47" s="228">
        <v>-0.62</v>
      </c>
      <c r="DM47" s="228">
        <v>33.82</v>
      </c>
      <c r="DN47" s="228">
        <v>34.65</v>
      </c>
      <c r="DO47" s="228">
        <v>-0.83</v>
      </c>
      <c r="DP47" s="228">
        <v>-0.83</v>
      </c>
      <c r="DQ47" s="228">
        <v>0.5</v>
      </c>
      <c r="DR47" s="228">
        <v>0.51</v>
      </c>
      <c r="DS47" s="228">
        <v>-0.01</v>
      </c>
      <c r="DT47" s="229">
        <v>-1.9599999999999999E-2</v>
      </c>
      <c r="DU47" s="231">
        <v>1700</v>
      </c>
      <c r="DV47" s="231">
        <v>1700</v>
      </c>
      <c r="DW47" s="228">
        <v>0.39</v>
      </c>
      <c r="DX47" s="228">
        <v>0.44</v>
      </c>
      <c r="DY47" s="228">
        <v>-0.05</v>
      </c>
      <c r="DZ47" s="229">
        <v>-0.11360000000000001</v>
      </c>
      <c r="EA47" s="229">
        <v>2.7799999999999998E-2</v>
      </c>
      <c r="EB47" s="230">
        <v>461625</v>
      </c>
      <c r="EC47" s="229">
        <v>4.0000000000000001E-3</v>
      </c>
      <c r="ED47" s="229">
        <v>2.7799999999999998E-2</v>
      </c>
      <c r="EE47" s="228">
        <v>6.15</v>
      </c>
      <c r="EF47" s="229">
        <v>3.7000000000000002E-3</v>
      </c>
      <c r="EG47" s="230">
        <v>656883</v>
      </c>
      <c r="EH47" s="230">
        <v>1669510</v>
      </c>
      <c r="EI47" s="229">
        <v>-0.60650000000000004</v>
      </c>
      <c r="EJ47" s="229">
        <v>0.53969999999999996</v>
      </c>
      <c r="EK47" s="228">
        <v>804.24</v>
      </c>
      <c r="EL47" s="228">
        <v>287.5</v>
      </c>
      <c r="EM47" s="228">
        <v>213.01</v>
      </c>
      <c r="EN47" s="228">
        <v>308.58999999999997</v>
      </c>
      <c r="EO47" s="231">
        <v>1304.74</v>
      </c>
      <c r="EP47" s="231">
        <v>2537.27</v>
      </c>
      <c r="EQ47" s="231">
        <v>-1232.53</v>
      </c>
      <c r="ER47" s="229">
        <v>-0.48580000000000001</v>
      </c>
      <c r="ES47" s="231">
        <v>1744.13</v>
      </c>
      <c r="ET47" s="228">
        <v>797.93</v>
      </c>
      <c r="EU47" s="231">
        <v>2909.39</v>
      </c>
      <c r="EV47" s="231">
        <v>50189409</v>
      </c>
      <c r="EW47" s="231">
        <v>5451.45</v>
      </c>
      <c r="EX47" s="231">
        <v>5370.34</v>
      </c>
      <c r="EY47" s="228">
        <v>81.11</v>
      </c>
      <c r="EZ47" s="229">
        <v>1.5100000000000001E-2</v>
      </c>
      <c r="FA47" s="229">
        <v>0.63980000000000004</v>
      </c>
      <c r="FB47" s="227" t="s">
        <v>567</v>
      </c>
      <c r="FC47">
        <f t="shared" si="0"/>
        <v>81</v>
      </c>
    </row>
    <row r="48" spans="1:159" ht="17.25" thickBot="1" x14ac:dyDescent="0.3">
      <c r="A48" s="226">
        <v>46023</v>
      </c>
      <c r="B48" s="227" t="s">
        <v>168</v>
      </c>
      <c r="C48" s="227" t="s">
        <v>201</v>
      </c>
      <c r="D48" s="228">
        <v>225</v>
      </c>
      <c r="E48" s="228">
        <v>26</v>
      </c>
      <c r="F48" s="231">
        <v>2098.6999999999998</v>
      </c>
      <c r="G48" s="231">
        <v>2089.3000000000002</v>
      </c>
      <c r="H48" s="228">
        <v>9.4</v>
      </c>
      <c r="I48" s="229">
        <v>4.4999999999999997E-3</v>
      </c>
      <c r="J48" s="231">
        <v>2093.8000000000002</v>
      </c>
      <c r="K48" s="231">
        <v>2075.6999999999998</v>
      </c>
      <c r="L48" s="228">
        <v>18.100000000000001</v>
      </c>
      <c r="M48" s="229">
        <v>8.6999999999999994E-3</v>
      </c>
      <c r="N48" s="231">
        <v>2098.6999999999998</v>
      </c>
      <c r="O48" s="231">
        <v>2089.3000000000002</v>
      </c>
      <c r="P48" s="228">
        <v>9.4</v>
      </c>
      <c r="Q48" s="229">
        <v>4.4999999999999997E-3</v>
      </c>
      <c r="R48" s="231">
        <v>2107.4</v>
      </c>
      <c r="S48" s="231">
        <v>2099.1999999999998</v>
      </c>
      <c r="T48" s="228">
        <v>8.1999999999999993</v>
      </c>
      <c r="U48" s="229">
        <v>3.8999999999999998E-3</v>
      </c>
      <c r="V48" s="231">
        <v>2120.9</v>
      </c>
      <c r="W48" s="231">
        <v>2111</v>
      </c>
      <c r="X48" s="228">
        <v>9.9</v>
      </c>
      <c r="Y48" s="229">
        <v>4.7000000000000002E-3</v>
      </c>
      <c r="Z48" s="228">
        <v>4.9000000000000004</v>
      </c>
      <c r="AA48" s="228">
        <v>13.6</v>
      </c>
      <c r="AB48" s="228">
        <v>-8.6999999999999993</v>
      </c>
      <c r="AC48" s="229">
        <v>2.3E-3</v>
      </c>
      <c r="AD48" s="228">
        <v>4.9000000000000004</v>
      </c>
      <c r="AE48" s="228">
        <v>13.6</v>
      </c>
      <c r="AF48" s="228">
        <v>-8.6999999999999993</v>
      </c>
      <c r="AG48" s="229">
        <v>2.3E-3</v>
      </c>
      <c r="AH48" s="228">
        <v>13.6</v>
      </c>
      <c r="AI48" s="228">
        <v>23.5</v>
      </c>
      <c r="AJ48" s="228">
        <v>-9.9</v>
      </c>
      <c r="AK48" s="229">
        <v>6.4999999999999997E-3</v>
      </c>
      <c r="AL48" s="228">
        <v>27.1</v>
      </c>
      <c r="AM48" s="228">
        <v>35.299999999999997</v>
      </c>
      <c r="AN48" s="228">
        <v>-8.1999999999999993</v>
      </c>
      <c r="AO48" s="229">
        <v>1.29E-2</v>
      </c>
      <c r="AP48" s="231">
        <v>2095.88</v>
      </c>
      <c r="AQ48" s="231">
        <v>2105.65</v>
      </c>
      <c r="AR48" s="228">
        <v>0</v>
      </c>
      <c r="AS48" s="228">
        <v>100</v>
      </c>
      <c r="AT48" s="228">
        <v>162</v>
      </c>
      <c r="AU48" s="228">
        <v>-62</v>
      </c>
      <c r="AV48" s="229">
        <v>-0.3841</v>
      </c>
      <c r="AW48" s="228">
        <v>92</v>
      </c>
      <c r="AX48" s="228">
        <v>153</v>
      </c>
      <c r="AY48" s="228">
        <v>-61</v>
      </c>
      <c r="AZ48" s="229">
        <v>-0.39910000000000001</v>
      </c>
      <c r="BA48" s="228">
        <v>6</v>
      </c>
      <c r="BB48" s="228">
        <v>8</v>
      </c>
      <c r="BC48" s="228">
        <v>-1</v>
      </c>
      <c r="BD48" s="229">
        <v>-0.17580000000000001</v>
      </c>
      <c r="BE48" s="228">
        <v>1</v>
      </c>
      <c r="BF48" s="228">
        <v>1</v>
      </c>
      <c r="BG48" s="228">
        <v>0</v>
      </c>
      <c r="BH48" s="229">
        <v>0.47060000000000002</v>
      </c>
      <c r="BI48" s="228">
        <v>209</v>
      </c>
      <c r="BJ48" s="228">
        <v>233</v>
      </c>
      <c r="BK48" s="228">
        <v>-24</v>
      </c>
      <c r="BL48" s="229">
        <v>-0.1043</v>
      </c>
      <c r="BM48" s="228">
        <v>95</v>
      </c>
      <c r="BN48" s="228">
        <v>106</v>
      </c>
      <c r="BO48" s="228">
        <v>-11</v>
      </c>
      <c r="BP48" s="229">
        <v>-0.1022</v>
      </c>
      <c r="BQ48" s="228">
        <v>403</v>
      </c>
      <c r="BR48" s="228">
        <v>501</v>
      </c>
      <c r="BS48" s="228">
        <v>-97</v>
      </c>
      <c r="BT48" s="229">
        <v>-0.19420000000000001</v>
      </c>
      <c r="BU48" s="230">
        <v>358630</v>
      </c>
      <c r="BV48" s="230">
        <v>685211</v>
      </c>
      <c r="BW48" s="230">
        <v>-326581</v>
      </c>
      <c r="BX48" s="229">
        <v>-0.47660000000000002</v>
      </c>
      <c r="BY48" s="230">
        <v>1360</v>
      </c>
      <c r="BZ48" s="230">
        <v>1356</v>
      </c>
      <c r="CA48" s="228">
        <v>4</v>
      </c>
      <c r="CB48" s="229">
        <v>2.7000000000000001E-3</v>
      </c>
      <c r="CC48" s="230">
        <v>1308</v>
      </c>
      <c r="CD48" s="230">
        <v>1304</v>
      </c>
      <c r="CE48" s="228">
        <v>4</v>
      </c>
      <c r="CF48" s="229">
        <v>3.0000000000000001E-3</v>
      </c>
      <c r="CG48" s="228">
        <v>50</v>
      </c>
      <c r="CH48" s="228">
        <v>51</v>
      </c>
      <c r="CI48" s="228">
        <v>-1</v>
      </c>
      <c r="CJ48" s="229">
        <v>-2.3E-2</v>
      </c>
      <c r="CK48" s="228">
        <v>2</v>
      </c>
      <c r="CL48" s="228">
        <v>1</v>
      </c>
      <c r="CM48" s="228">
        <v>1</v>
      </c>
      <c r="CN48" s="229">
        <v>1.5</v>
      </c>
      <c r="CO48" s="228">
        <v>283</v>
      </c>
      <c r="CP48" s="228">
        <v>261</v>
      </c>
      <c r="CQ48" s="228">
        <v>22</v>
      </c>
      <c r="CR48" s="229">
        <v>8.4599999999999995E-2</v>
      </c>
      <c r="CS48" s="228">
        <v>288</v>
      </c>
      <c r="CT48" s="228">
        <v>281</v>
      </c>
      <c r="CU48" s="228">
        <v>8</v>
      </c>
      <c r="CV48" s="229">
        <v>2.6700000000000002E-2</v>
      </c>
      <c r="CW48" s="230">
        <v>1931</v>
      </c>
      <c r="CX48" s="230">
        <v>1898</v>
      </c>
      <c r="CY48" s="228">
        <v>33</v>
      </c>
      <c r="CZ48" s="229">
        <v>1.7500000000000002E-2</v>
      </c>
      <c r="DA48" s="228">
        <v>18.149999999999999</v>
      </c>
      <c r="DB48" s="228">
        <v>18.57</v>
      </c>
      <c r="DC48" s="228">
        <v>-0.42</v>
      </c>
      <c r="DD48" s="228">
        <v>-0.42</v>
      </c>
      <c r="DE48" s="228">
        <v>26.62</v>
      </c>
      <c r="DF48" s="228">
        <v>26.68</v>
      </c>
      <c r="DG48" s="228">
        <v>-8.4700000000000006</v>
      </c>
      <c r="DH48" s="228">
        <v>-0.06</v>
      </c>
      <c r="DI48" s="228">
        <v>18.079999999999998</v>
      </c>
      <c r="DJ48" s="228">
        <v>18.45</v>
      </c>
      <c r="DK48" s="228">
        <v>-0.37</v>
      </c>
      <c r="DL48" s="228">
        <v>-0.37</v>
      </c>
      <c r="DM48" s="228">
        <v>18.3</v>
      </c>
      <c r="DN48" s="228">
        <v>18.84</v>
      </c>
      <c r="DO48" s="228">
        <v>-0.54</v>
      </c>
      <c r="DP48" s="228">
        <v>-0.54</v>
      </c>
      <c r="DQ48" s="228">
        <v>1.02</v>
      </c>
      <c r="DR48" s="228">
        <v>1.08</v>
      </c>
      <c r="DS48" s="228">
        <v>-0.06</v>
      </c>
      <c r="DT48" s="229">
        <v>-5.5599999999999997E-2</v>
      </c>
      <c r="DU48" s="231">
        <v>2100</v>
      </c>
      <c r="DV48" s="231">
        <v>2100</v>
      </c>
      <c r="DW48" s="228">
        <v>0.45</v>
      </c>
      <c r="DX48" s="228">
        <v>0.45</v>
      </c>
      <c r="DY48" s="228">
        <v>0</v>
      </c>
      <c r="DZ48" s="229">
        <v>0</v>
      </c>
      <c r="EA48" s="229">
        <v>3.8100000000000002E-2</v>
      </c>
      <c r="EB48" s="230">
        <v>247725</v>
      </c>
      <c r="EC48" s="229">
        <v>4.1000000000000003E-3</v>
      </c>
      <c r="ED48" s="229">
        <v>3.8100000000000002E-2</v>
      </c>
      <c r="EE48" s="228">
        <v>9.77</v>
      </c>
      <c r="EF48" s="229">
        <v>4.7000000000000002E-3</v>
      </c>
      <c r="EG48" s="230">
        <v>191872</v>
      </c>
      <c r="EH48" s="230">
        <v>561067</v>
      </c>
      <c r="EI48" s="229">
        <v>-0.65800000000000003</v>
      </c>
      <c r="EJ48" s="229">
        <v>0.53500000000000003</v>
      </c>
      <c r="EK48" s="228">
        <v>215.91</v>
      </c>
      <c r="EL48" s="228">
        <v>93.36</v>
      </c>
      <c r="EM48" s="228">
        <v>99.5</v>
      </c>
      <c r="EN48" s="228">
        <v>128.27000000000001</v>
      </c>
      <c r="EO48" s="228">
        <v>408.77</v>
      </c>
      <c r="EP48" s="228">
        <v>503.51</v>
      </c>
      <c r="EQ48" s="228">
        <v>-94.73</v>
      </c>
      <c r="ER48" s="229">
        <v>-0.18809999999999999</v>
      </c>
      <c r="ES48" s="228">
        <v>291.12</v>
      </c>
      <c r="ET48" s="228">
        <v>287.24</v>
      </c>
      <c r="EU48" s="231">
        <v>1359.85</v>
      </c>
      <c r="EV48" s="231">
        <v>19546143</v>
      </c>
      <c r="EW48" s="231">
        <v>1938.22</v>
      </c>
      <c r="EX48" s="231">
        <v>1897.57</v>
      </c>
      <c r="EY48" s="228">
        <v>40.65</v>
      </c>
      <c r="EZ48" s="229">
        <v>2.1399999999999999E-2</v>
      </c>
      <c r="FA48" s="229">
        <v>0.47070000000000001</v>
      </c>
      <c r="FB48" s="227" t="s">
        <v>555</v>
      </c>
      <c r="FC48">
        <f t="shared" si="0"/>
        <v>52</v>
      </c>
    </row>
    <row r="49" spans="1:159" ht="17.25" thickBot="1" x14ac:dyDescent="0.3">
      <c r="A49" s="226">
        <v>46023</v>
      </c>
      <c r="B49" s="227" t="s">
        <v>215</v>
      </c>
      <c r="C49" s="227" t="s">
        <v>202</v>
      </c>
      <c r="D49" s="228">
        <v>1250</v>
      </c>
      <c r="E49" s="228">
        <v>26</v>
      </c>
      <c r="F49" s="228">
        <v>527</v>
      </c>
      <c r="G49" s="228">
        <v>526.85</v>
      </c>
      <c r="H49" s="228">
        <v>0.15</v>
      </c>
      <c r="I49" s="229">
        <v>2.9999999999999997E-4</v>
      </c>
      <c r="J49" s="228">
        <v>524.25</v>
      </c>
      <c r="K49" s="228">
        <v>524.95000000000005</v>
      </c>
      <c r="L49" s="228">
        <v>-0.7</v>
      </c>
      <c r="M49" s="229">
        <v>-1.2999999999999999E-3</v>
      </c>
      <c r="N49" s="228">
        <v>527</v>
      </c>
      <c r="O49" s="228">
        <v>526.85</v>
      </c>
      <c r="P49" s="228">
        <v>0.15</v>
      </c>
      <c r="Q49" s="229">
        <v>2.9999999999999997E-4</v>
      </c>
      <c r="R49" s="228">
        <v>527.4</v>
      </c>
      <c r="S49" s="228">
        <v>527.29999999999995</v>
      </c>
      <c r="T49" s="228">
        <v>0.1</v>
      </c>
      <c r="U49" s="229">
        <v>2.0000000000000001E-4</v>
      </c>
      <c r="V49" s="228">
        <v>531.35</v>
      </c>
      <c r="W49" s="228">
        <v>531.15</v>
      </c>
      <c r="X49" s="228">
        <v>0.2</v>
      </c>
      <c r="Y49" s="229">
        <v>4.0000000000000002E-4</v>
      </c>
      <c r="Z49" s="228">
        <v>2.75</v>
      </c>
      <c r="AA49" s="228">
        <v>1.9</v>
      </c>
      <c r="AB49" s="228">
        <v>0.85</v>
      </c>
      <c r="AC49" s="229">
        <v>5.1999999999999998E-3</v>
      </c>
      <c r="AD49" s="228">
        <v>2.75</v>
      </c>
      <c r="AE49" s="228">
        <v>1.9</v>
      </c>
      <c r="AF49" s="228">
        <v>0.85</v>
      </c>
      <c r="AG49" s="229">
        <v>5.1999999999999998E-3</v>
      </c>
      <c r="AH49" s="228">
        <v>3.15</v>
      </c>
      <c r="AI49" s="228">
        <v>2.35</v>
      </c>
      <c r="AJ49" s="228">
        <v>0.8</v>
      </c>
      <c r="AK49" s="229">
        <v>6.0000000000000001E-3</v>
      </c>
      <c r="AL49" s="228">
        <v>7.1</v>
      </c>
      <c r="AM49" s="228">
        <v>6.2</v>
      </c>
      <c r="AN49" s="228">
        <v>0.9</v>
      </c>
      <c r="AO49" s="229">
        <v>1.35E-2</v>
      </c>
      <c r="AP49" s="228">
        <v>526.78</v>
      </c>
      <c r="AQ49" s="228">
        <v>527.33000000000004</v>
      </c>
      <c r="AR49" s="228">
        <v>0</v>
      </c>
      <c r="AS49" s="228">
        <v>96</v>
      </c>
      <c r="AT49" s="228">
        <v>215</v>
      </c>
      <c r="AU49" s="228">
        <v>-118</v>
      </c>
      <c r="AV49" s="229">
        <v>-0.55120000000000002</v>
      </c>
      <c r="AW49" s="228">
        <v>86</v>
      </c>
      <c r="AX49" s="228">
        <v>184</v>
      </c>
      <c r="AY49" s="228">
        <v>-98</v>
      </c>
      <c r="AZ49" s="229">
        <v>-0.53149999999999997</v>
      </c>
      <c r="BA49" s="228">
        <v>10</v>
      </c>
      <c r="BB49" s="228">
        <v>30</v>
      </c>
      <c r="BC49" s="228">
        <v>-20</v>
      </c>
      <c r="BD49" s="229">
        <v>-0.67979999999999996</v>
      </c>
      <c r="BE49" s="228">
        <v>1</v>
      </c>
      <c r="BF49" s="228">
        <v>1</v>
      </c>
      <c r="BG49" s="228">
        <v>0</v>
      </c>
      <c r="BH49" s="229">
        <v>-0.3125</v>
      </c>
      <c r="BI49" s="228">
        <v>287</v>
      </c>
      <c r="BJ49" s="228">
        <v>712</v>
      </c>
      <c r="BK49" s="228">
        <v>-425</v>
      </c>
      <c r="BL49" s="229">
        <v>-0.59730000000000005</v>
      </c>
      <c r="BM49" s="228">
        <v>73</v>
      </c>
      <c r="BN49" s="228">
        <v>169</v>
      </c>
      <c r="BO49" s="228">
        <v>-96</v>
      </c>
      <c r="BP49" s="229">
        <v>-0.57079999999999997</v>
      </c>
      <c r="BQ49" s="228">
        <v>456</v>
      </c>
      <c r="BR49" s="230">
        <v>1095</v>
      </c>
      <c r="BS49" s="228">
        <v>-640</v>
      </c>
      <c r="BT49" s="229">
        <v>-0.58409999999999995</v>
      </c>
      <c r="BU49" s="230">
        <v>536662</v>
      </c>
      <c r="BV49" s="230">
        <v>1207052</v>
      </c>
      <c r="BW49" s="230">
        <v>-670390</v>
      </c>
      <c r="BX49" s="229">
        <v>-0.5554</v>
      </c>
      <c r="BY49" s="230">
        <v>1914</v>
      </c>
      <c r="BZ49" s="230">
        <v>1907</v>
      </c>
      <c r="CA49" s="228">
        <v>7</v>
      </c>
      <c r="CB49" s="229">
        <v>3.8999999999999998E-3</v>
      </c>
      <c r="CC49" s="230">
        <v>1797</v>
      </c>
      <c r="CD49" s="230">
        <v>1792</v>
      </c>
      <c r="CE49" s="228">
        <v>5</v>
      </c>
      <c r="CF49" s="229">
        <v>2.5999999999999999E-3</v>
      </c>
      <c r="CG49" s="228">
        <v>116</v>
      </c>
      <c r="CH49" s="228">
        <v>114</v>
      </c>
      <c r="CI49" s="228">
        <v>2</v>
      </c>
      <c r="CJ49" s="229">
        <v>1.7399999999999999E-2</v>
      </c>
      <c r="CK49" s="228">
        <v>2</v>
      </c>
      <c r="CL49" s="228">
        <v>1</v>
      </c>
      <c r="CM49" s="228">
        <v>1</v>
      </c>
      <c r="CN49" s="229">
        <v>0.66669999999999996</v>
      </c>
      <c r="CO49" s="228">
        <v>600</v>
      </c>
      <c r="CP49" s="228">
        <v>585</v>
      </c>
      <c r="CQ49" s="228">
        <v>16</v>
      </c>
      <c r="CR49" s="229">
        <v>2.6599999999999999E-2</v>
      </c>
      <c r="CS49" s="228">
        <v>421</v>
      </c>
      <c r="CT49" s="228">
        <v>411</v>
      </c>
      <c r="CU49" s="228">
        <v>10</v>
      </c>
      <c r="CV49" s="229">
        <v>2.52E-2</v>
      </c>
      <c r="CW49" s="230">
        <v>2935</v>
      </c>
      <c r="CX49" s="230">
        <v>2902</v>
      </c>
      <c r="CY49" s="228">
        <v>33</v>
      </c>
      <c r="CZ49" s="229">
        <v>1.15E-2</v>
      </c>
      <c r="DA49" s="228">
        <v>23.93</v>
      </c>
      <c r="DB49" s="228">
        <v>23.82</v>
      </c>
      <c r="DC49" s="228">
        <v>0.11</v>
      </c>
      <c r="DD49" s="228">
        <v>0.11</v>
      </c>
      <c r="DE49" s="228">
        <v>33.51</v>
      </c>
      <c r="DF49" s="228">
        <v>33.590000000000003</v>
      </c>
      <c r="DG49" s="228">
        <v>-9.58</v>
      </c>
      <c r="DH49" s="228">
        <v>-0.08</v>
      </c>
      <c r="DI49" s="228">
        <v>23.96</v>
      </c>
      <c r="DJ49" s="228">
        <v>23.83</v>
      </c>
      <c r="DK49" s="228">
        <v>0.13</v>
      </c>
      <c r="DL49" s="228">
        <v>0.13</v>
      </c>
      <c r="DM49" s="228">
        <v>23.81</v>
      </c>
      <c r="DN49" s="228">
        <v>23.76</v>
      </c>
      <c r="DO49" s="228">
        <v>0.05</v>
      </c>
      <c r="DP49" s="228">
        <v>0.05</v>
      </c>
      <c r="DQ49" s="228">
        <v>0.7</v>
      </c>
      <c r="DR49" s="228">
        <v>0.7</v>
      </c>
      <c r="DS49" s="228">
        <v>0</v>
      </c>
      <c r="DT49" s="229">
        <v>0</v>
      </c>
      <c r="DU49" s="228">
        <v>520</v>
      </c>
      <c r="DV49" s="228">
        <v>520</v>
      </c>
      <c r="DW49" s="228">
        <v>0.25</v>
      </c>
      <c r="DX49" s="228">
        <v>0.24</v>
      </c>
      <c r="DY49" s="228">
        <v>0.01</v>
      </c>
      <c r="DZ49" s="229">
        <v>4.1700000000000001E-2</v>
      </c>
      <c r="EA49" s="229">
        <v>6.1400000000000003E-2</v>
      </c>
      <c r="EB49" s="230">
        <v>2180000</v>
      </c>
      <c r="EC49" s="229">
        <v>8.0000000000000004E-4</v>
      </c>
      <c r="ED49" s="229">
        <v>6.1400000000000003E-2</v>
      </c>
      <c r="EE49" s="228">
        <v>0.55000000000000004</v>
      </c>
      <c r="EF49" s="229">
        <v>1E-3</v>
      </c>
      <c r="EG49" s="230">
        <v>231235</v>
      </c>
      <c r="EH49" s="230">
        <v>660508</v>
      </c>
      <c r="EI49" s="229">
        <v>-0.64990000000000003</v>
      </c>
      <c r="EJ49" s="229">
        <v>0.43090000000000001</v>
      </c>
      <c r="EK49" s="228">
        <v>301.91000000000003</v>
      </c>
      <c r="EL49" s="228">
        <v>70.5</v>
      </c>
      <c r="EM49" s="228">
        <v>96.42</v>
      </c>
      <c r="EN49" s="228">
        <v>157.44</v>
      </c>
      <c r="EO49" s="228">
        <v>468.82</v>
      </c>
      <c r="EP49" s="231">
        <v>1122.8</v>
      </c>
      <c r="EQ49" s="228">
        <v>-653.98</v>
      </c>
      <c r="ER49" s="229">
        <v>-0.58250000000000002</v>
      </c>
      <c r="ES49" s="228">
        <v>623.26</v>
      </c>
      <c r="ET49" s="228">
        <v>417.01</v>
      </c>
      <c r="EU49" s="231">
        <v>1914.23</v>
      </c>
      <c r="EV49" s="231">
        <v>51639257</v>
      </c>
      <c r="EW49" s="231">
        <v>2954.5</v>
      </c>
      <c r="EX49" s="231">
        <v>2920.15</v>
      </c>
      <c r="EY49" s="228">
        <v>34.35</v>
      </c>
      <c r="EZ49" s="229">
        <v>1.18E-2</v>
      </c>
      <c r="FA49" s="229">
        <v>1.0786</v>
      </c>
      <c r="FB49" s="227" t="s">
        <v>555</v>
      </c>
      <c r="FC49">
        <f t="shared" si="0"/>
        <v>117</v>
      </c>
    </row>
    <row r="50" spans="1:159" ht="17.25" thickBot="1" x14ac:dyDescent="0.3">
      <c r="A50" s="226">
        <v>46023</v>
      </c>
      <c r="B50" s="227" t="s">
        <v>184</v>
      </c>
      <c r="C50" s="227" t="s">
        <v>523</v>
      </c>
      <c r="D50" s="228">
        <v>1800</v>
      </c>
      <c r="E50" s="228">
        <v>26</v>
      </c>
      <c r="F50" s="228">
        <v>250.85</v>
      </c>
      <c r="G50" s="228">
        <v>254.05</v>
      </c>
      <c r="H50" s="228">
        <v>-3.2</v>
      </c>
      <c r="I50" s="229">
        <v>-1.26E-2</v>
      </c>
      <c r="J50" s="228">
        <v>249.25</v>
      </c>
      <c r="K50" s="228">
        <v>252.25</v>
      </c>
      <c r="L50" s="228">
        <v>-3</v>
      </c>
      <c r="M50" s="229">
        <v>-1.1900000000000001E-2</v>
      </c>
      <c r="N50" s="228">
        <v>250.85</v>
      </c>
      <c r="O50" s="228">
        <v>254.05</v>
      </c>
      <c r="P50" s="228">
        <v>-3.2</v>
      </c>
      <c r="Q50" s="229">
        <v>-1.26E-2</v>
      </c>
      <c r="R50" s="228">
        <v>252.25</v>
      </c>
      <c r="S50" s="228">
        <v>255.8</v>
      </c>
      <c r="T50" s="228">
        <v>-3.55</v>
      </c>
      <c r="U50" s="229">
        <v>-1.3899999999999999E-2</v>
      </c>
      <c r="V50" s="228">
        <v>254.25</v>
      </c>
      <c r="W50" s="228">
        <v>257.35000000000002</v>
      </c>
      <c r="X50" s="228">
        <v>-3.1</v>
      </c>
      <c r="Y50" s="229">
        <v>-1.2E-2</v>
      </c>
      <c r="Z50" s="228">
        <v>1.6</v>
      </c>
      <c r="AA50" s="228">
        <v>1.8</v>
      </c>
      <c r="AB50" s="228">
        <v>-0.2</v>
      </c>
      <c r="AC50" s="229">
        <v>6.4000000000000003E-3</v>
      </c>
      <c r="AD50" s="228">
        <v>1.6</v>
      </c>
      <c r="AE50" s="228">
        <v>1.8</v>
      </c>
      <c r="AF50" s="228">
        <v>-0.2</v>
      </c>
      <c r="AG50" s="229">
        <v>6.4000000000000003E-3</v>
      </c>
      <c r="AH50" s="228">
        <v>3</v>
      </c>
      <c r="AI50" s="228">
        <v>3.55</v>
      </c>
      <c r="AJ50" s="228">
        <v>-0.55000000000000004</v>
      </c>
      <c r="AK50" s="229">
        <v>1.2E-2</v>
      </c>
      <c r="AL50" s="228">
        <v>5</v>
      </c>
      <c r="AM50" s="228">
        <v>5.0999999999999996</v>
      </c>
      <c r="AN50" s="228">
        <v>-0.1</v>
      </c>
      <c r="AO50" s="229">
        <v>2.01E-2</v>
      </c>
      <c r="AP50" s="228">
        <v>251.68</v>
      </c>
      <c r="AQ50" s="228">
        <v>253.29</v>
      </c>
      <c r="AR50" s="228">
        <v>0</v>
      </c>
      <c r="AS50" s="228">
        <v>51</v>
      </c>
      <c r="AT50" s="228">
        <v>171</v>
      </c>
      <c r="AU50" s="228">
        <v>-120</v>
      </c>
      <c r="AV50" s="229">
        <v>-0.70109999999999995</v>
      </c>
      <c r="AW50" s="228">
        <v>46</v>
      </c>
      <c r="AX50" s="228">
        <v>156</v>
      </c>
      <c r="AY50" s="228">
        <v>-110</v>
      </c>
      <c r="AZ50" s="229">
        <v>-0.70469999999999999</v>
      </c>
      <c r="BA50" s="228">
        <v>4</v>
      </c>
      <c r="BB50" s="228">
        <v>15</v>
      </c>
      <c r="BC50" s="228">
        <v>-11</v>
      </c>
      <c r="BD50" s="229">
        <v>-0.74460000000000004</v>
      </c>
      <c r="BE50" s="228">
        <v>1</v>
      </c>
      <c r="BF50" s="228">
        <v>1</v>
      </c>
      <c r="BG50" s="228">
        <v>1</v>
      </c>
      <c r="BH50" s="229">
        <v>0.77780000000000005</v>
      </c>
      <c r="BI50" s="228">
        <v>128</v>
      </c>
      <c r="BJ50" s="228">
        <v>351</v>
      </c>
      <c r="BK50" s="228">
        <v>-224</v>
      </c>
      <c r="BL50" s="229">
        <v>-0.63690000000000002</v>
      </c>
      <c r="BM50" s="228">
        <v>37</v>
      </c>
      <c r="BN50" s="228">
        <v>167</v>
      </c>
      <c r="BO50" s="228">
        <v>-130</v>
      </c>
      <c r="BP50" s="229">
        <v>-0.77569999999999995</v>
      </c>
      <c r="BQ50" s="228">
        <v>216</v>
      </c>
      <c r="BR50" s="228">
        <v>689</v>
      </c>
      <c r="BS50" s="228">
        <v>-473</v>
      </c>
      <c r="BT50" s="229">
        <v>-0.68640000000000001</v>
      </c>
      <c r="BU50" s="230">
        <v>1789341</v>
      </c>
      <c r="BV50" s="230">
        <v>3559555</v>
      </c>
      <c r="BW50" s="230">
        <v>-1770214</v>
      </c>
      <c r="BX50" s="229">
        <v>-0.49730000000000002</v>
      </c>
      <c r="BY50" s="230">
        <v>1366</v>
      </c>
      <c r="BZ50" s="230">
        <v>1365</v>
      </c>
      <c r="CA50" s="228">
        <v>1</v>
      </c>
      <c r="CB50" s="229">
        <v>5.0000000000000001E-4</v>
      </c>
      <c r="CC50" s="230">
        <v>1304</v>
      </c>
      <c r="CD50" s="230">
        <v>1305</v>
      </c>
      <c r="CE50" s="228">
        <v>-2</v>
      </c>
      <c r="CF50" s="229">
        <v>-1.1999999999999999E-3</v>
      </c>
      <c r="CG50" s="228">
        <v>60</v>
      </c>
      <c r="CH50" s="228">
        <v>59</v>
      </c>
      <c r="CI50" s="228">
        <v>1</v>
      </c>
      <c r="CJ50" s="229">
        <v>1.7500000000000002E-2</v>
      </c>
      <c r="CK50" s="228">
        <v>2</v>
      </c>
      <c r="CL50" s="228">
        <v>1</v>
      </c>
      <c r="CM50" s="228">
        <v>1</v>
      </c>
      <c r="CN50" s="229">
        <v>1.9286000000000001</v>
      </c>
      <c r="CO50" s="228">
        <v>339</v>
      </c>
      <c r="CP50" s="228">
        <v>319</v>
      </c>
      <c r="CQ50" s="228">
        <v>20</v>
      </c>
      <c r="CR50" s="229">
        <v>6.1800000000000001E-2</v>
      </c>
      <c r="CS50" s="228">
        <v>227</v>
      </c>
      <c r="CT50" s="228">
        <v>229</v>
      </c>
      <c r="CU50" s="228">
        <v>-2</v>
      </c>
      <c r="CV50" s="229">
        <v>-8.6999999999999994E-3</v>
      </c>
      <c r="CW50" s="230">
        <v>1933</v>
      </c>
      <c r="CX50" s="230">
        <v>1914</v>
      </c>
      <c r="CY50" s="228">
        <v>18</v>
      </c>
      <c r="CZ50" s="229">
        <v>9.5999999999999992E-3</v>
      </c>
      <c r="DA50" s="228">
        <v>25.33</v>
      </c>
      <c r="DB50" s="228">
        <v>25.19</v>
      </c>
      <c r="DC50" s="228">
        <v>0.14000000000000001</v>
      </c>
      <c r="DD50" s="228">
        <v>0.14000000000000001</v>
      </c>
      <c r="DE50" s="228">
        <v>30.43</v>
      </c>
      <c r="DF50" s="228">
        <v>30.46</v>
      </c>
      <c r="DG50" s="228">
        <v>-5.0999999999999996</v>
      </c>
      <c r="DH50" s="228">
        <v>-0.03</v>
      </c>
      <c r="DI50" s="228">
        <v>25.65</v>
      </c>
      <c r="DJ50" s="228">
        <v>25.27</v>
      </c>
      <c r="DK50" s="228">
        <v>0.38</v>
      </c>
      <c r="DL50" s="228">
        <v>0.38</v>
      </c>
      <c r="DM50" s="228">
        <v>24.25</v>
      </c>
      <c r="DN50" s="228">
        <v>25.02</v>
      </c>
      <c r="DO50" s="228">
        <v>-0.77</v>
      </c>
      <c r="DP50" s="228">
        <v>-0.77</v>
      </c>
      <c r="DQ50" s="228">
        <v>0.67</v>
      </c>
      <c r="DR50" s="228">
        <v>0.72</v>
      </c>
      <c r="DS50" s="228">
        <v>-0.05</v>
      </c>
      <c r="DT50" s="229">
        <v>-6.9400000000000003E-2</v>
      </c>
      <c r="DU50" s="228">
        <v>260</v>
      </c>
      <c r="DV50" s="228">
        <v>250</v>
      </c>
      <c r="DW50" s="228">
        <v>0.28999999999999998</v>
      </c>
      <c r="DX50" s="228">
        <v>0.48</v>
      </c>
      <c r="DY50" s="228">
        <v>-0.19</v>
      </c>
      <c r="DZ50" s="229">
        <v>-0.39579999999999999</v>
      </c>
      <c r="EA50" s="229">
        <v>4.5600000000000002E-2</v>
      </c>
      <c r="EB50" s="230">
        <v>2390400</v>
      </c>
      <c r="EC50" s="229">
        <v>5.5999999999999999E-3</v>
      </c>
      <c r="ED50" s="229">
        <v>4.5600000000000002E-2</v>
      </c>
      <c r="EE50" s="228">
        <v>1.61</v>
      </c>
      <c r="EF50" s="229">
        <v>6.4000000000000003E-3</v>
      </c>
      <c r="EG50" s="230">
        <v>1068970</v>
      </c>
      <c r="EH50" s="230">
        <v>1211434</v>
      </c>
      <c r="EI50" s="229">
        <v>-0.1176</v>
      </c>
      <c r="EJ50" s="229">
        <v>0.59740000000000004</v>
      </c>
      <c r="EK50" s="228">
        <v>136.03</v>
      </c>
      <c r="EL50" s="228">
        <v>37.380000000000003</v>
      </c>
      <c r="EM50" s="228">
        <v>51.32</v>
      </c>
      <c r="EN50" s="228">
        <v>117.85</v>
      </c>
      <c r="EO50" s="228">
        <v>224.73</v>
      </c>
      <c r="EP50" s="228">
        <v>713.21</v>
      </c>
      <c r="EQ50" s="228">
        <v>-488.48</v>
      </c>
      <c r="ER50" s="229">
        <v>-0.68489999999999995</v>
      </c>
      <c r="ES50" s="228">
        <v>366.09</v>
      </c>
      <c r="ET50" s="228">
        <v>233.53</v>
      </c>
      <c r="EU50" s="231">
        <v>1366.33</v>
      </c>
      <c r="EV50" s="231">
        <v>96587231</v>
      </c>
      <c r="EW50" s="231">
        <v>1965.95</v>
      </c>
      <c r="EX50" s="231">
        <v>1964.4</v>
      </c>
      <c r="EY50" s="228">
        <v>1.55</v>
      </c>
      <c r="EZ50" s="229">
        <v>8.0000000000000004E-4</v>
      </c>
      <c r="FA50" s="229">
        <v>0.79759999999999998</v>
      </c>
      <c r="FB50" s="227" t="s">
        <v>567</v>
      </c>
      <c r="FC50">
        <f t="shared" si="0"/>
        <v>62</v>
      </c>
    </row>
    <row r="51" spans="1:159" ht="17.25" thickBot="1" x14ac:dyDescent="0.3">
      <c r="A51" s="226">
        <v>46023</v>
      </c>
      <c r="B51" s="227" t="s">
        <v>184</v>
      </c>
      <c r="C51" s="227" t="s">
        <v>203</v>
      </c>
      <c r="D51" s="228">
        <v>200</v>
      </c>
      <c r="E51" s="228">
        <v>26</v>
      </c>
      <c r="F51" s="231">
        <v>4495.3</v>
      </c>
      <c r="G51" s="231">
        <v>4444.6000000000004</v>
      </c>
      <c r="H51" s="228">
        <v>50.7</v>
      </c>
      <c r="I51" s="229">
        <v>1.14E-2</v>
      </c>
      <c r="J51" s="231">
        <v>4470.6000000000004</v>
      </c>
      <c r="K51" s="231">
        <v>4434.3999999999996</v>
      </c>
      <c r="L51" s="228">
        <v>36.200000000000003</v>
      </c>
      <c r="M51" s="229">
        <v>8.2000000000000007E-3</v>
      </c>
      <c r="N51" s="231">
        <v>4495.3</v>
      </c>
      <c r="O51" s="231">
        <v>4444.6000000000004</v>
      </c>
      <c r="P51" s="228">
        <v>50.7</v>
      </c>
      <c r="Q51" s="229">
        <v>1.14E-2</v>
      </c>
      <c r="R51" s="231">
        <v>4500.7</v>
      </c>
      <c r="S51" s="231">
        <v>4448.8</v>
      </c>
      <c r="T51" s="228">
        <v>51.9</v>
      </c>
      <c r="U51" s="229">
        <v>1.17E-2</v>
      </c>
      <c r="V51" s="231">
        <v>4529</v>
      </c>
      <c r="W51" s="228">
        <v>0</v>
      </c>
      <c r="X51" s="231">
        <v>4529</v>
      </c>
      <c r="Y51" s="229">
        <v>0</v>
      </c>
      <c r="Z51" s="228">
        <v>24.7</v>
      </c>
      <c r="AA51" s="228">
        <v>10.199999999999999</v>
      </c>
      <c r="AB51" s="228">
        <v>14.5</v>
      </c>
      <c r="AC51" s="229">
        <v>5.4999999999999997E-3</v>
      </c>
      <c r="AD51" s="228">
        <v>24.7</v>
      </c>
      <c r="AE51" s="228">
        <v>10.199999999999999</v>
      </c>
      <c r="AF51" s="228">
        <v>14.5</v>
      </c>
      <c r="AG51" s="229">
        <v>5.4999999999999997E-3</v>
      </c>
      <c r="AH51" s="228">
        <v>30.1</v>
      </c>
      <c r="AI51" s="228">
        <v>14.4</v>
      </c>
      <c r="AJ51" s="228">
        <v>15.7</v>
      </c>
      <c r="AK51" s="229">
        <v>6.7000000000000002E-3</v>
      </c>
      <c r="AL51" s="228">
        <v>58.4</v>
      </c>
      <c r="AM51" s="228">
        <v>0</v>
      </c>
      <c r="AN51" s="228">
        <v>58.4</v>
      </c>
      <c r="AO51" s="229">
        <v>1.3100000000000001E-2</v>
      </c>
      <c r="AP51" s="231">
        <v>4493.72</v>
      </c>
      <c r="AQ51" s="231">
        <v>4507.05</v>
      </c>
      <c r="AR51" s="228">
        <v>0</v>
      </c>
      <c r="AS51" s="228">
        <v>188</v>
      </c>
      <c r="AT51" s="228">
        <v>223</v>
      </c>
      <c r="AU51" s="228">
        <v>-35</v>
      </c>
      <c r="AV51" s="229">
        <v>-0.15590000000000001</v>
      </c>
      <c r="AW51" s="228">
        <v>182</v>
      </c>
      <c r="AX51" s="228">
        <v>218</v>
      </c>
      <c r="AY51" s="228">
        <v>-36</v>
      </c>
      <c r="AZ51" s="229">
        <v>-0.16439999999999999</v>
      </c>
      <c r="BA51" s="228">
        <v>6</v>
      </c>
      <c r="BB51" s="228">
        <v>5</v>
      </c>
      <c r="BC51" s="228">
        <v>1</v>
      </c>
      <c r="BD51" s="229">
        <v>0.2</v>
      </c>
      <c r="BE51" s="228">
        <v>0</v>
      </c>
      <c r="BF51" s="228">
        <v>0</v>
      </c>
      <c r="BG51" s="228">
        <v>0</v>
      </c>
      <c r="BH51" s="229">
        <v>0</v>
      </c>
      <c r="BI51" s="228">
        <v>596</v>
      </c>
      <c r="BJ51" s="228">
        <v>480</v>
      </c>
      <c r="BK51" s="228">
        <v>116</v>
      </c>
      <c r="BL51" s="229">
        <v>0.24110000000000001</v>
      </c>
      <c r="BM51" s="228">
        <v>221</v>
      </c>
      <c r="BN51" s="228">
        <v>332</v>
      </c>
      <c r="BO51" s="228">
        <v>-111</v>
      </c>
      <c r="BP51" s="229">
        <v>-0.33429999999999999</v>
      </c>
      <c r="BQ51" s="230">
        <v>1006</v>
      </c>
      <c r="BR51" s="230">
        <v>1036</v>
      </c>
      <c r="BS51" s="228">
        <v>-30</v>
      </c>
      <c r="BT51" s="229">
        <v>-2.9100000000000001E-2</v>
      </c>
      <c r="BU51" s="230">
        <v>324815</v>
      </c>
      <c r="BV51" s="230">
        <v>294381</v>
      </c>
      <c r="BW51" s="230">
        <v>30434</v>
      </c>
      <c r="BX51" s="229">
        <v>0.10340000000000001</v>
      </c>
      <c r="BY51" s="230">
        <v>1473</v>
      </c>
      <c r="BZ51" s="230">
        <v>1474</v>
      </c>
      <c r="CA51" s="228">
        <v>-1</v>
      </c>
      <c r="CB51" s="229">
        <v>-8.9999999999999998E-4</v>
      </c>
      <c r="CC51" s="230">
        <v>1462</v>
      </c>
      <c r="CD51" s="230">
        <v>1464</v>
      </c>
      <c r="CE51" s="228">
        <v>-2</v>
      </c>
      <c r="CF51" s="229">
        <v>-1.6000000000000001E-3</v>
      </c>
      <c r="CG51" s="228">
        <v>11</v>
      </c>
      <c r="CH51" s="228">
        <v>10</v>
      </c>
      <c r="CI51" s="228">
        <v>1</v>
      </c>
      <c r="CJ51" s="229">
        <v>9.7299999999999998E-2</v>
      </c>
      <c r="CK51" s="228">
        <v>0</v>
      </c>
      <c r="CL51" s="228">
        <v>0</v>
      </c>
      <c r="CM51" s="228">
        <v>0</v>
      </c>
      <c r="CN51" s="229">
        <v>0</v>
      </c>
      <c r="CO51" s="228">
        <v>252</v>
      </c>
      <c r="CP51" s="228">
        <v>211</v>
      </c>
      <c r="CQ51" s="228">
        <v>41</v>
      </c>
      <c r="CR51" s="229">
        <v>0.1918</v>
      </c>
      <c r="CS51" s="228">
        <v>197</v>
      </c>
      <c r="CT51" s="228">
        <v>172</v>
      </c>
      <c r="CU51" s="228">
        <v>25</v>
      </c>
      <c r="CV51" s="229">
        <v>0.1449</v>
      </c>
      <c r="CW51" s="230">
        <v>1922</v>
      </c>
      <c r="CX51" s="230">
        <v>1858</v>
      </c>
      <c r="CY51" s="228">
        <v>64</v>
      </c>
      <c r="CZ51" s="229">
        <v>3.4599999999999999E-2</v>
      </c>
      <c r="DA51" s="228">
        <v>21.87</v>
      </c>
      <c r="DB51" s="228">
        <v>23.28</v>
      </c>
      <c r="DC51" s="228">
        <v>-1.41</v>
      </c>
      <c r="DD51" s="228">
        <v>-1.41</v>
      </c>
      <c r="DE51" s="228">
        <v>33.29</v>
      </c>
      <c r="DF51" s="228">
        <v>33.36</v>
      </c>
      <c r="DG51" s="228">
        <v>-11.42</v>
      </c>
      <c r="DH51" s="228">
        <v>-7.0000000000000007E-2</v>
      </c>
      <c r="DI51" s="228">
        <v>21.83</v>
      </c>
      <c r="DJ51" s="228">
        <v>23.07</v>
      </c>
      <c r="DK51" s="228">
        <v>-1.24</v>
      </c>
      <c r="DL51" s="228">
        <v>-1.24</v>
      </c>
      <c r="DM51" s="228">
        <v>21.97</v>
      </c>
      <c r="DN51" s="228">
        <v>23.58</v>
      </c>
      <c r="DO51" s="228">
        <v>-1.61</v>
      </c>
      <c r="DP51" s="228">
        <v>-1.61</v>
      </c>
      <c r="DQ51" s="228">
        <v>0.78</v>
      </c>
      <c r="DR51" s="228">
        <v>0.82</v>
      </c>
      <c r="DS51" s="228">
        <v>-0.04</v>
      </c>
      <c r="DT51" s="229">
        <v>-4.8800000000000003E-2</v>
      </c>
      <c r="DU51" s="231">
        <v>4500</v>
      </c>
      <c r="DV51" s="231">
        <v>4400</v>
      </c>
      <c r="DW51" s="228">
        <v>0.37</v>
      </c>
      <c r="DX51" s="228">
        <v>0.69</v>
      </c>
      <c r="DY51" s="228">
        <v>-0.32</v>
      </c>
      <c r="DZ51" s="229">
        <v>-0.46379999999999999</v>
      </c>
      <c r="EA51" s="229">
        <v>7.6E-3</v>
      </c>
      <c r="EB51" s="230">
        <v>22600</v>
      </c>
      <c r="EC51" s="229">
        <v>1.1999999999999999E-3</v>
      </c>
      <c r="ED51" s="229">
        <v>7.6E-3</v>
      </c>
      <c r="EE51" s="228">
        <v>13.33</v>
      </c>
      <c r="EF51" s="229">
        <v>3.0000000000000001E-3</v>
      </c>
      <c r="EG51" s="230">
        <v>199696</v>
      </c>
      <c r="EH51" s="230">
        <v>177488</v>
      </c>
      <c r="EI51" s="229">
        <v>0.12509999999999999</v>
      </c>
      <c r="EJ51" s="229">
        <v>0.61480000000000001</v>
      </c>
      <c r="EK51" s="228">
        <v>616.91999999999996</v>
      </c>
      <c r="EL51" s="228">
        <v>217.76</v>
      </c>
      <c r="EM51" s="228">
        <v>188.31</v>
      </c>
      <c r="EN51" s="228">
        <v>95.95</v>
      </c>
      <c r="EO51" s="231">
        <v>1022.99</v>
      </c>
      <c r="EP51" s="231">
        <v>1040.04</v>
      </c>
      <c r="EQ51" s="228">
        <v>-17.059999999999999</v>
      </c>
      <c r="ER51" s="229">
        <v>-1.6400000000000001E-2</v>
      </c>
      <c r="ES51" s="228">
        <v>257.51</v>
      </c>
      <c r="ET51" s="228">
        <v>188.55</v>
      </c>
      <c r="EU51" s="231">
        <v>1472.85</v>
      </c>
      <c r="EV51" s="231">
        <v>19131188</v>
      </c>
      <c r="EW51" s="231">
        <v>1918.91</v>
      </c>
      <c r="EX51" s="231">
        <v>1836.33</v>
      </c>
      <c r="EY51" s="228">
        <v>82.58</v>
      </c>
      <c r="EZ51" s="229">
        <v>4.4999999999999998E-2</v>
      </c>
      <c r="FA51" s="229">
        <v>0.2235</v>
      </c>
      <c r="FB51" s="227" t="s">
        <v>556</v>
      </c>
      <c r="FC51">
        <f t="shared" si="0"/>
        <v>11</v>
      </c>
    </row>
    <row r="52" spans="1:159" ht="17.25" thickBot="1" x14ac:dyDescent="0.3">
      <c r="A52" s="226">
        <v>46023</v>
      </c>
      <c r="B52" s="227" t="s">
        <v>168</v>
      </c>
      <c r="C52" s="227" t="s">
        <v>204</v>
      </c>
      <c r="D52" s="228">
        <v>1250</v>
      </c>
      <c r="E52" s="228">
        <v>26</v>
      </c>
      <c r="F52" s="228">
        <v>503.3</v>
      </c>
      <c r="G52" s="228">
        <v>506.85</v>
      </c>
      <c r="H52" s="228">
        <v>-3.55</v>
      </c>
      <c r="I52" s="229">
        <v>-7.0000000000000001E-3</v>
      </c>
      <c r="J52" s="228">
        <v>499.95</v>
      </c>
      <c r="K52" s="228">
        <v>503.6</v>
      </c>
      <c r="L52" s="228">
        <v>-3.65</v>
      </c>
      <c r="M52" s="229">
        <v>-7.1999999999999998E-3</v>
      </c>
      <c r="N52" s="228">
        <v>503.3</v>
      </c>
      <c r="O52" s="228">
        <v>506.85</v>
      </c>
      <c r="P52" s="228">
        <v>-3.55</v>
      </c>
      <c r="Q52" s="229">
        <v>-7.0000000000000001E-3</v>
      </c>
      <c r="R52" s="228">
        <v>506.3</v>
      </c>
      <c r="S52" s="228">
        <v>509.65</v>
      </c>
      <c r="T52" s="228">
        <v>-3.35</v>
      </c>
      <c r="U52" s="229">
        <v>-6.6E-3</v>
      </c>
      <c r="V52" s="228">
        <v>507</v>
      </c>
      <c r="W52" s="228">
        <v>512.75</v>
      </c>
      <c r="X52" s="228">
        <v>-5.75</v>
      </c>
      <c r="Y52" s="229">
        <v>-1.12E-2</v>
      </c>
      <c r="Z52" s="228">
        <v>3.35</v>
      </c>
      <c r="AA52" s="228">
        <v>3.25</v>
      </c>
      <c r="AB52" s="228">
        <v>0.1</v>
      </c>
      <c r="AC52" s="229">
        <v>6.7000000000000002E-3</v>
      </c>
      <c r="AD52" s="228">
        <v>3.35</v>
      </c>
      <c r="AE52" s="228">
        <v>3.25</v>
      </c>
      <c r="AF52" s="228">
        <v>0.1</v>
      </c>
      <c r="AG52" s="229">
        <v>6.7000000000000002E-3</v>
      </c>
      <c r="AH52" s="228">
        <v>6.35</v>
      </c>
      <c r="AI52" s="228">
        <v>6.05</v>
      </c>
      <c r="AJ52" s="228">
        <v>0.3</v>
      </c>
      <c r="AK52" s="229">
        <v>1.2699999999999999E-2</v>
      </c>
      <c r="AL52" s="228">
        <v>7.05</v>
      </c>
      <c r="AM52" s="228">
        <v>9.15</v>
      </c>
      <c r="AN52" s="228">
        <v>-2.1</v>
      </c>
      <c r="AO52" s="229">
        <v>1.41E-2</v>
      </c>
      <c r="AP52" s="228">
        <v>503.08</v>
      </c>
      <c r="AQ52" s="228">
        <v>506.38</v>
      </c>
      <c r="AR52" s="228">
        <v>0</v>
      </c>
      <c r="AS52" s="228">
        <v>102</v>
      </c>
      <c r="AT52" s="228">
        <v>389</v>
      </c>
      <c r="AU52" s="228">
        <v>-288</v>
      </c>
      <c r="AV52" s="229">
        <v>-0.73929999999999996</v>
      </c>
      <c r="AW52" s="228">
        <v>99</v>
      </c>
      <c r="AX52" s="228">
        <v>377</v>
      </c>
      <c r="AY52" s="228">
        <v>-279</v>
      </c>
      <c r="AZ52" s="229">
        <v>-0.73860000000000003</v>
      </c>
      <c r="BA52" s="228">
        <v>3</v>
      </c>
      <c r="BB52" s="228">
        <v>11</v>
      </c>
      <c r="BC52" s="228">
        <v>-8</v>
      </c>
      <c r="BD52" s="229">
        <v>-0.75</v>
      </c>
      <c r="BE52" s="228">
        <v>0</v>
      </c>
      <c r="BF52" s="228">
        <v>1</v>
      </c>
      <c r="BG52" s="228">
        <v>-1</v>
      </c>
      <c r="BH52" s="229">
        <v>-0.92310000000000003</v>
      </c>
      <c r="BI52" s="228">
        <v>282</v>
      </c>
      <c r="BJ52" s="230">
        <v>1303</v>
      </c>
      <c r="BK52" s="230">
        <v>-1021</v>
      </c>
      <c r="BL52" s="229">
        <v>-0.78369999999999995</v>
      </c>
      <c r="BM52" s="228">
        <v>149</v>
      </c>
      <c r="BN52" s="228">
        <v>582</v>
      </c>
      <c r="BO52" s="228">
        <v>-433</v>
      </c>
      <c r="BP52" s="229">
        <v>-0.74390000000000001</v>
      </c>
      <c r="BQ52" s="228">
        <v>532</v>
      </c>
      <c r="BR52" s="230">
        <v>2274</v>
      </c>
      <c r="BS52" s="230">
        <v>-1742</v>
      </c>
      <c r="BT52" s="229">
        <v>-0.76590000000000003</v>
      </c>
      <c r="BU52" s="230">
        <v>722330</v>
      </c>
      <c r="BV52" s="230">
        <v>2500671</v>
      </c>
      <c r="BW52" s="230">
        <v>-1778341</v>
      </c>
      <c r="BX52" s="229">
        <v>-0.71109999999999995</v>
      </c>
      <c r="BY52" s="230">
        <v>1063</v>
      </c>
      <c r="BZ52" s="230">
        <v>1044</v>
      </c>
      <c r="CA52" s="228">
        <v>20</v>
      </c>
      <c r="CB52" s="229">
        <v>1.9099999999999999E-2</v>
      </c>
      <c r="CC52" s="230">
        <v>1040</v>
      </c>
      <c r="CD52" s="230">
        <v>1021</v>
      </c>
      <c r="CE52" s="228">
        <v>19</v>
      </c>
      <c r="CF52" s="229">
        <v>1.8200000000000001E-2</v>
      </c>
      <c r="CG52" s="228">
        <v>23</v>
      </c>
      <c r="CH52" s="228">
        <v>22</v>
      </c>
      <c r="CI52" s="228">
        <v>1</v>
      </c>
      <c r="CJ52" s="229">
        <v>6.0499999999999998E-2</v>
      </c>
      <c r="CK52" s="228">
        <v>1</v>
      </c>
      <c r="CL52" s="228">
        <v>0</v>
      </c>
      <c r="CM52" s="228">
        <v>0</v>
      </c>
      <c r="CN52" s="229">
        <v>0.1429</v>
      </c>
      <c r="CO52" s="228">
        <v>480</v>
      </c>
      <c r="CP52" s="228">
        <v>436</v>
      </c>
      <c r="CQ52" s="228">
        <v>44</v>
      </c>
      <c r="CR52" s="229">
        <v>0.1013</v>
      </c>
      <c r="CS52" s="228">
        <v>309</v>
      </c>
      <c r="CT52" s="228">
        <v>286</v>
      </c>
      <c r="CU52" s="228">
        <v>24</v>
      </c>
      <c r="CV52" s="229">
        <v>8.2500000000000004E-2</v>
      </c>
      <c r="CW52" s="230">
        <v>1853</v>
      </c>
      <c r="CX52" s="230">
        <v>1766</v>
      </c>
      <c r="CY52" s="228">
        <v>88</v>
      </c>
      <c r="CZ52" s="229">
        <v>4.9700000000000001E-2</v>
      </c>
      <c r="DA52" s="228">
        <v>20.57</v>
      </c>
      <c r="DB52" s="228">
        <v>20.239999999999998</v>
      </c>
      <c r="DC52" s="228">
        <v>0.33</v>
      </c>
      <c r="DD52" s="228">
        <v>0.33</v>
      </c>
      <c r="DE52" s="228">
        <v>24.23</v>
      </c>
      <c r="DF52" s="228">
        <v>24.27</v>
      </c>
      <c r="DG52" s="228">
        <v>-3.66</v>
      </c>
      <c r="DH52" s="228">
        <v>-0.04</v>
      </c>
      <c r="DI52" s="228">
        <v>20.69</v>
      </c>
      <c r="DJ52" s="228">
        <v>20.39</v>
      </c>
      <c r="DK52" s="228">
        <v>0.3</v>
      </c>
      <c r="DL52" s="228">
        <v>0.3</v>
      </c>
      <c r="DM52" s="228">
        <v>20.34</v>
      </c>
      <c r="DN52" s="228">
        <v>19.91</v>
      </c>
      <c r="DO52" s="228">
        <v>0.43</v>
      </c>
      <c r="DP52" s="228">
        <v>0.43</v>
      </c>
      <c r="DQ52" s="228">
        <v>0.64</v>
      </c>
      <c r="DR52" s="228">
        <v>0.66</v>
      </c>
      <c r="DS52" s="228">
        <v>-0.02</v>
      </c>
      <c r="DT52" s="229">
        <v>-3.0300000000000001E-2</v>
      </c>
      <c r="DU52" s="228">
        <v>500</v>
      </c>
      <c r="DV52" s="228">
        <v>500</v>
      </c>
      <c r="DW52" s="228">
        <v>0.53</v>
      </c>
      <c r="DX52" s="228">
        <v>0.45</v>
      </c>
      <c r="DY52" s="228">
        <v>0.08</v>
      </c>
      <c r="DZ52" s="229">
        <v>0.17780000000000001</v>
      </c>
      <c r="EA52" s="229">
        <v>2.2200000000000001E-2</v>
      </c>
      <c r="EB52" s="230">
        <v>442500</v>
      </c>
      <c r="EC52" s="229">
        <v>6.0000000000000001E-3</v>
      </c>
      <c r="ED52" s="229">
        <v>2.2200000000000001E-2</v>
      </c>
      <c r="EE52" s="228">
        <v>3.3</v>
      </c>
      <c r="EF52" s="229">
        <v>6.6E-3</v>
      </c>
      <c r="EG52" s="230">
        <v>402378</v>
      </c>
      <c r="EH52" s="230">
        <v>1389619</v>
      </c>
      <c r="EI52" s="229">
        <v>-0.71040000000000003</v>
      </c>
      <c r="EJ52" s="229">
        <v>0.55710000000000004</v>
      </c>
      <c r="EK52" s="228">
        <v>296.20999999999998</v>
      </c>
      <c r="EL52" s="228">
        <v>146.12</v>
      </c>
      <c r="EM52" s="228">
        <v>101.52</v>
      </c>
      <c r="EN52" s="228">
        <v>84.98</v>
      </c>
      <c r="EO52" s="228">
        <v>543.85</v>
      </c>
      <c r="EP52" s="231">
        <v>2332.2800000000002</v>
      </c>
      <c r="EQ52" s="231">
        <v>-1788.43</v>
      </c>
      <c r="ER52" s="229">
        <v>-0.76680000000000004</v>
      </c>
      <c r="ES52" s="228">
        <v>500.23</v>
      </c>
      <c r="ET52" s="228">
        <v>297.56</v>
      </c>
      <c r="EU52" s="231">
        <v>1063.6099999999999</v>
      </c>
      <c r="EV52" s="231">
        <v>89873278</v>
      </c>
      <c r="EW52" s="231">
        <v>1861.41</v>
      </c>
      <c r="EX52" s="231">
        <v>1781.71</v>
      </c>
      <c r="EY52" s="228">
        <v>79.7</v>
      </c>
      <c r="EZ52" s="229">
        <v>4.4699999999999997E-2</v>
      </c>
      <c r="FA52" s="229">
        <v>0.40970000000000001</v>
      </c>
      <c r="FB52" s="227" t="s">
        <v>567</v>
      </c>
      <c r="FC52">
        <f t="shared" si="0"/>
        <v>23</v>
      </c>
    </row>
    <row r="53" spans="1:159" ht="17.25" thickBot="1" x14ac:dyDescent="0.3">
      <c r="A53" s="226">
        <v>46023</v>
      </c>
      <c r="B53" s="227" t="s">
        <v>157</v>
      </c>
      <c r="C53" s="227" t="s">
        <v>524</v>
      </c>
      <c r="D53" s="228">
        <v>325</v>
      </c>
      <c r="E53" s="228">
        <v>26</v>
      </c>
      <c r="F53" s="231">
        <v>2150.4</v>
      </c>
      <c r="G53" s="231">
        <v>2147.1</v>
      </c>
      <c r="H53" s="228">
        <v>3.3</v>
      </c>
      <c r="I53" s="229">
        <v>1.5E-3</v>
      </c>
      <c r="J53" s="231">
        <v>2136.1999999999998</v>
      </c>
      <c r="K53" s="231">
        <v>2130.9</v>
      </c>
      <c r="L53" s="228">
        <v>5.3</v>
      </c>
      <c r="M53" s="229">
        <v>2.5000000000000001E-3</v>
      </c>
      <c r="N53" s="231">
        <v>2150.4</v>
      </c>
      <c r="O53" s="231">
        <v>2147.1</v>
      </c>
      <c r="P53" s="228">
        <v>3.3</v>
      </c>
      <c r="Q53" s="229">
        <v>1.5E-3</v>
      </c>
      <c r="R53" s="231">
        <v>2164.3000000000002</v>
      </c>
      <c r="S53" s="231">
        <v>2157.6999999999998</v>
      </c>
      <c r="T53" s="228">
        <v>6.6</v>
      </c>
      <c r="U53" s="229">
        <v>3.0999999999999999E-3</v>
      </c>
      <c r="V53" s="231">
        <v>2175.1999999999998</v>
      </c>
      <c r="W53" s="231">
        <v>2181.4</v>
      </c>
      <c r="X53" s="228">
        <v>-6.2</v>
      </c>
      <c r="Y53" s="229">
        <v>-2.8E-3</v>
      </c>
      <c r="Z53" s="228">
        <v>14.2</v>
      </c>
      <c r="AA53" s="228">
        <v>16.2</v>
      </c>
      <c r="AB53" s="228">
        <v>-2</v>
      </c>
      <c r="AC53" s="229">
        <v>6.6E-3</v>
      </c>
      <c r="AD53" s="228">
        <v>14.2</v>
      </c>
      <c r="AE53" s="228">
        <v>16.2</v>
      </c>
      <c r="AF53" s="228">
        <v>-2</v>
      </c>
      <c r="AG53" s="229">
        <v>6.6E-3</v>
      </c>
      <c r="AH53" s="228">
        <v>28.1</v>
      </c>
      <c r="AI53" s="228">
        <v>26.8</v>
      </c>
      <c r="AJ53" s="228">
        <v>1.3</v>
      </c>
      <c r="AK53" s="229">
        <v>1.32E-2</v>
      </c>
      <c r="AL53" s="228">
        <v>39</v>
      </c>
      <c r="AM53" s="228">
        <v>50.5</v>
      </c>
      <c r="AN53" s="228">
        <v>-11.5</v>
      </c>
      <c r="AO53" s="229">
        <v>1.83E-2</v>
      </c>
      <c r="AP53" s="231">
        <v>2148.06</v>
      </c>
      <c r="AQ53" s="231">
        <v>2166.0100000000002</v>
      </c>
      <c r="AR53" s="228">
        <v>0</v>
      </c>
      <c r="AS53" s="228">
        <v>82</v>
      </c>
      <c r="AT53" s="228">
        <v>100</v>
      </c>
      <c r="AU53" s="228">
        <v>-19</v>
      </c>
      <c r="AV53" s="229">
        <v>-0.1845</v>
      </c>
      <c r="AW53" s="228">
        <v>79</v>
      </c>
      <c r="AX53" s="228">
        <v>98</v>
      </c>
      <c r="AY53" s="228">
        <v>-19</v>
      </c>
      <c r="AZ53" s="229">
        <v>-0.1946</v>
      </c>
      <c r="BA53" s="228">
        <v>3</v>
      </c>
      <c r="BB53" s="228">
        <v>2</v>
      </c>
      <c r="BC53" s="228">
        <v>1</v>
      </c>
      <c r="BD53" s="229">
        <v>0.26469999999999999</v>
      </c>
      <c r="BE53" s="228">
        <v>0</v>
      </c>
      <c r="BF53" s="228">
        <v>0</v>
      </c>
      <c r="BG53" s="228">
        <v>0</v>
      </c>
      <c r="BH53" s="229">
        <v>-0.5</v>
      </c>
      <c r="BI53" s="228">
        <v>125</v>
      </c>
      <c r="BJ53" s="228">
        <v>65</v>
      </c>
      <c r="BK53" s="228">
        <v>60</v>
      </c>
      <c r="BL53" s="229">
        <v>0.92800000000000005</v>
      </c>
      <c r="BM53" s="228">
        <v>33</v>
      </c>
      <c r="BN53" s="228">
        <v>37</v>
      </c>
      <c r="BO53" s="228">
        <v>-4</v>
      </c>
      <c r="BP53" s="229">
        <v>-0.1033</v>
      </c>
      <c r="BQ53" s="228">
        <v>240</v>
      </c>
      <c r="BR53" s="228">
        <v>202</v>
      </c>
      <c r="BS53" s="228">
        <v>38</v>
      </c>
      <c r="BT53" s="229">
        <v>0.1883</v>
      </c>
      <c r="BU53" s="230">
        <v>140469</v>
      </c>
      <c r="BV53" s="230">
        <v>180429</v>
      </c>
      <c r="BW53" s="230">
        <v>-39960</v>
      </c>
      <c r="BX53" s="229">
        <v>-0.2215</v>
      </c>
      <c r="BY53" s="228">
        <v>592</v>
      </c>
      <c r="BZ53" s="228">
        <v>589</v>
      </c>
      <c r="CA53" s="228">
        <v>3</v>
      </c>
      <c r="CB53" s="229">
        <v>5.5999999999999999E-3</v>
      </c>
      <c r="CC53" s="228">
        <v>580</v>
      </c>
      <c r="CD53" s="228">
        <v>577</v>
      </c>
      <c r="CE53" s="228">
        <v>3</v>
      </c>
      <c r="CF53" s="229">
        <v>4.7999999999999996E-3</v>
      </c>
      <c r="CG53" s="228">
        <v>12</v>
      </c>
      <c r="CH53" s="228">
        <v>11</v>
      </c>
      <c r="CI53" s="228">
        <v>0</v>
      </c>
      <c r="CJ53" s="229">
        <v>3.09E-2</v>
      </c>
      <c r="CK53" s="228">
        <v>0</v>
      </c>
      <c r="CL53" s="228">
        <v>0</v>
      </c>
      <c r="CM53" s="228">
        <v>0</v>
      </c>
      <c r="CN53" s="229">
        <v>0.5</v>
      </c>
      <c r="CO53" s="228">
        <v>147</v>
      </c>
      <c r="CP53" s="228">
        <v>136</v>
      </c>
      <c r="CQ53" s="228">
        <v>11</v>
      </c>
      <c r="CR53" s="229">
        <v>8.0600000000000005E-2</v>
      </c>
      <c r="CS53" s="228">
        <v>87</v>
      </c>
      <c r="CT53" s="228">
        <v>83</v>
      </c>
      <c r="CU53" s="228">
        <v>4</v>
      </c>
      <c r="CV53" s="229">
        <v>4.2900000000000001E-2</v>
      </c>
      <c r="CW53" s="228">
        <v>826</v>
      </c>
      <c r="CX53" s="228">
        <v>808</v>
      </c>
      <c r="CY53" s="228">
        <v>18</v>
      </c>
      <c r="CZ53" s="229">
        <v>2.2100000000000002E-2</v>
      </c>
      <c r="DA53" s="228">
        <v>24.51</v>
      </c>
      <c r="DB53" s="228">
        <v>24.71</v>
      </c>
      <c r="DC53" s="228">
        <v>-0.2</v>
      </c>
      <c r="DD53" s="228">
        <v>-0.2</v>
      </c>
      <c r="DE53" s="228">
        <v>29.06</v>
      </c>
      <c r="DF53" s="228">
        <v>29.13</v>
      </c>
      <c r="DG53" s="228">
        <v>-4.55</v>
      </c>
      <c r="DH53" s="228">
        <v>-7.0000000000000007E-2</v>
      </c>
      <c r="DI53" s="228">
        <v>24.56</v>
      </c>
      <c r="DJ53" s="228">
        <v>24.83</v>
      </c>
      <c r="DK53" s="228">
        <v>-0.27</v>
      </c>
      <c r="DL53" s="228">
        <v>-0.27</v>
      </c>
      <c r="DM53" s="228">
        <v>24.32</v>
      </c>
      <c r="DN53" s="228">
        <v>24.51</v>
      </c>
      <c r="DO53" s="228">
        <v>-0.19</v>
      </c>
      <c r="DP53" s="228">
        <v>-0.19</v>
      </c>
      <c r="DQ53" s="228">
        <v>0.59</v>
      </c>
      <c r="DR53" s="228">
        <v>0.61</v>
      </c>
      <c r="DS53" s="228">
        <v>-0.02</v>
      </c>
      <c r="DT53" s="229">
        <v>-3.2800000000000003E-2</v>
      </c>
      <c r="DU53" s="231">
        <v>2200</v>
      </c>
      <c r="DV53" s="231">
        <v>2100</v>
      </c>
      <c r="DW53" s="228">
        <v>0.26</v>
      </c>
      <c r="DX53" s="228">
        <v>0.56000000000000005</v>
      </c>
      <c r="DY53" s="228">
        <v>-0.3</v>
      </c>
      <c r="DZ53" s="229">
        <v>-0.53569999999999995</v>
      </c>
      <c r="EA53" s="229">
        <v>2.0400000000000001E-2</v>
      </c>
      <c r="EB53" s="230">
        <v>53950</v>
      </c>
      <c r="EC53" s="229">
        <v>6.4999999999999997E-3</v>
      </c>
      <c r="ED53" s="229">
        <v>2.0400000000000001E-2</v>
      </c>
      <c r="EE53" s="228">
        <v>17.95</v>
      </c>
      <c r="EF53" s="229">
        <v>8.3999999999999995E-3</v>
      </c>
      <c r="EG53" s="230">
        <v>64393</v>
      </c>
      <c r="EH53" s="230">
        <v>113311</v>
      </c>
      <c r="EI53" s="229">
        <v>-0.43169999999999997</v>
      </c>
      <c r="EJ53" s="229">
        <v>0.45839999999999997</v>
      </c>
      <c r="EK53" s="228">
        <v>130.1</v>
      </c>
      <c r="EL53" s="228">
        <v>32.33</v>
      </c>
      <c r="EM53" s="228">
        <v>81.78</v>
      </c>
      <c r="EN53" s="228">
        <v>45.89</v>
      </c>
      <c r="EO53" s="228">
        <v>244.2</v>
      </c>
      <c r="EP53" s="228">
        <v>203.78</v>
      </c>
      <c r="EQ53" s="228">
        <v>40.42</v>
      </c>
      <c r="ER53" s="229">
        <v>0.1983</v>
      </c>
      <c r="ES53" s="228">
        <v>151.47</v>
      </c>
      <c r="ET53" s="228">
        <v>82.75</v>
      </c>
      <c r="EU53" s="228">
        <v>591.96</v>
      </c>
      <c r="EV53" s="231">
        <v>12425041</v>
      </c>
      <c r="EW53" s="228">
        <v>826.18</v>
      </c>
      <c r="EX53" s="228">
        <v>807.16</v>
      </c>
      <c r="EY53" s="228">
        <v>19.02</v>
      </c>
      <c r="EZ53" s="229">
        <v>2.3599999999999999E-2</v>
      </c>
      <c r="FA53" s="229">
        <v>0.309</v>
      </c>
      <c r="FB53" s="227" t="s">
        <v>555</v>
      </c>
      <c r="FC53">
        <f t="shared" si="0"/>
        <v>12</v>
      </c>
    </row>
    <row r="54" spans="1:159" ht="17.25" thickBot="1" x14ac:dyDescent="0.3">
      <c r="A54" s="226">
        <v>46023</v>
      </c>
      <c r="B54" s="227" t="s">
        <v>615</v>
      </c>
      <c r="C54" s="227" t="s">
        <v>600</v>
      </c>
      <c r="D54" s="228">
        <v>2075</v>
      </c>
      <c r="E54" s="228">
        <v>26</v>
      </c>
      <c r="F54" s="228">
        <v>403.3</v>
      </c>
      <c r="G54" s="228">
        <v>406.15</v>
      </c>
      <c r="H54" s="228">
        <v>-2.85</v>
      </c>
      <c r="I54" s="229">
        <v>-7.0000000000000001E-3</v>
      </c>
      <c r="J54" s="228">
        <v>400.6</v>
      </c>
      <c r="K54" s="228">
        <v>403.85</v>
      </c>
      <c r="L54" s="228">
        <v>-3.25</v>
      </c>
      <c r="M54" s="229">
        <v>-8.0000000000000002E-3</v>
      </c>
      <c r="N54" s="228">
        <v>403.3</v>
      </c>
      <c r="O54" s="228">
        <v>406.15</v>
      </c>
      <c r="P54" s="228">
        <v>-2.85</v>
      </c>
      <c r="Q54" s="229">
        <v>-7.0000000000000001E-3</v>
      </c>
      <c r="R54" s="228">
        <v>406.05</v>
      </c>
      <c r="S54" s="228">
        <v>410.15</v>
      </c>
      <c r="T54" s="228">
        <v>-4.0999999999999996</v>
      </c>
      <c r="U54" s="229">
        <v>-0.01</v>
      </c>
      <c r="V54" s="228">
        <v>406.5</v>
      </c>
      <c r="W54" s="228">
        <v>412.7</v>
      </c>
      <c r="X54" s="228">
        <v>-6.2</v>
      </c>
      <c r="Y54" s="229">
        <v>-1.4999999999999999E-2</v>
      </c>
      <c r="Z54" s="228">
        <v>2.7</v>
      </c>
      <c r="AA54" s="228">
        <v>2.2999999999999998</v>
      </c>
      <c r="AB54" s="228">
        <v>0.4</v>
      </c>
      <c r="AC54" s="229">
        <v>6.7000000000000002E-3</v>
      </c>
      <c r="AD54" s="228">
        <v>2.7</v>
      </c>
      <c r="AE54" s="228">
        <v>2.2999999999999998</v>
      </c>
      <c r="AF54" s="228">
        <v>0.4</v>
      </c>
      <c r="AG54" s="229">
        <v>6.7000000000000002E-3</v>
      </c>
      <c r="AH54" s="228">
        <v>5.45</v>
      </c>
      <c r="AI54" s="228">
        <v>6.3</v>
      </c>
      <c r="AJ54" s="228">
        <v>-0.85</v>
      </c>
      <c r="AK54" s="229">
        <v>1.3599999999999999E-2</v>
      </c>
      <c r="AL54" s="228">
        <v>5.9</v>
      </c>
      <c r="AM54" s="228">
        <v>8.85</v>
      </c>
      <c r="AN54" s="228">
        <v>-2.95</v>
      </c>
      <c r="AO54" s="229">
        <v>1.47E-2</v>
      </c>
      <c r="AP54" s="228">
        <v>403.02</v>
      </c>
      <c r="AQ54" s="228">
        <v>406.03</v>
      </c>
      <c r="AR54" s="228">
        <v>0</v>
      </c>
      <c r="AS54" s="228">
        <v>52</v>
      </c>
      <c r="AT54" s="228">
        <v>82</v>
      </c>
      <c r="AU54" s="228">
        <v>-30</v>
      </c>
      <c r="AV54" s="229">
        <v>-0.36020000000000002</v>
      </c>
      <c r="AW54" s="228">
        <v>50</v>
      </c>
      <c r="AX54" s="228">
        <v>81</v>
      </c>
      <c r="AY54" s="228">
        <v>-31</v>
      </c>
      <c r="AZ54" s="229">
        <v>-0.3821</v>
      </c>
      <c r="BA54" s="228">
        <v>2</v>
      </c>
      <c r="BB54" s="228">
        <v>1</v>
      </c>
      <c r="BC54" s="228">
        <v>1</v>
      </c>
      <c r="BD54" s="229">
        <v>0.8</v>
      </c>
      <c r="BE54" s="228">
        <v>0</v>
      </c>
      <c r="BF54" s="228">
        <v>0</v>
      </c>
      <c r="BG54" s="228">
        <v>0</v>
      </c>
      <c r="BH54" s="229">
        <v>1.5</v>
      </c>
      <c r="BI54" s="228">
        <v>91</v>
      </c>
      <c r="BJ54" s="228">
        <v>161</v>
      </c>
      <c r="BK54" s="228">
        <v>-70</v>
      </c>
      <c r="BL54" s="229">
        <v>-0.43590000000000001</v>
      </c>
      <c r="BM54" s="228">
        <v>37</v>
      </c>
      <c r="BN54" s="228">
        <v>89</v>
      </c>
      <c r="BO54" s="228">
        <v>-52</v>
      </c>
      <c r="BP54" s="229">
        <v>-0.58579999999999999</v>
      </c>
      <c r="BQ54" s="228">
        <v>180</v>
      </c>
      <c r="BR54" s="228">
        <v>333</v>
      </c>
      <c r="BS54" s="228">
        <v>-152</v>
      </c>
      <c r="BT54" s="229">
        <v>-0.45750000000000002</v>
      </c>
      <c r="BU54" s="230">
        <v>827547</v>
      </c>
      <c r="BV54" s="230">
        <v>1226601</v>
      </c>
      <c r="BW54" s="230">
        <v>-399054</v>
      </c>
      <c r="BX54" s="229">
        <v>-0.32529999999999998</v>
      </c>
      <c r="BY54" s="228">
        <v>689</v>
      </c>
      <c r="BZ54" s="228">
        <v>685</v>
      </c>
      <c r="CA54" s="228">
        <v>3</v>
      </c>
      <c r="CB54" s="229">
        <v>4.7999999999999996E-3</v>
      </c>
      <c r="CC54" s="228">
        <v>679</v>
      </c>
      <c r="CD54" s="228">
        <v>677</v>
      </c>
      <c r="CE54" s="228">
        <v>2</v>
      </c>
      <c r="CF54" s="229">
        <v>2.8E-3</v>
      </c>
      <c r="CG54" s="228">
        <v>10</v>
      </c>
      <c r="CH54" s="228">
        <v>9</v>
      </c>
      <c r="CI54" s="228">
        <v>1</v>
      </c>
      <c r="CJ54" s="229">
        <v>0.1176</v>
      </c>
      <c r="CK54" s="228">
        <v>1</v>
      </c>
      <c r="CL54" s="228">
        <v>0</v>
      </c>
      <c r="CM54" s="228">
        <v>0</v>
      </c>
      <c r="CN54" s="229">
        <v>2</v>
      </c>
      <c r="CO54" s="228">
        <v>127</v>
      </c>
      <c r="CP54" s="228">
        <v>113</v>
      </c>
      <c r="CQ54" s="228">
        <v>15</v>
      </c>
      <c r="CR54" s="229">
        <v>0.1298</v>
      </c>
      <c r="CS54" s="228">
        <v>115</v>
      </c>
      <c r="CT54" s="228">
        <v>109</v>
      </c>
      <c r="CU54" s="228">
        <v>6</v>
      </c>
      <c r="CV54" s="229">
        <v>5.62E-2</v>
      </c>
      <c r="CW54" s="228">
        <v>931</v>
      </c>
      <c r="CX54" s="228">
        <v>907</v>
      </c>
      <c r="CY54" s="228">
        <v>24</v>
      </c>
      <c r="CZ54" s="229">
        <v>2.6499999999999999E-2</v>
      </c>
      <c r="DA54" s="228">
        <v>26.25</v>
      </c>
      <c r="DB54" s="228">
        <v>26.53</v>
      </c>
      <c r="DC54" s="228">
        <v>-0.28000000000000003</v>
      </c>
      <c r="DD54" s="228">
        <v>-0.28000000000000003</v>
      </c>
      <c r="DE54" s="228">
        <v>40.14</v>
      </c>
      <c r="DF54" s="228">
        <v>40.229999999999997</v>
      </c>
      <c r="DG54" s="228">
        <v>-13.89</v>
      </c>
      <c r="DH54" s="228">
        <v>-0.09</v>
      </c>
      <c r="DI54" s="228">
        <v>26.15</v>
      </c>
      <c r="DJ54" s="228">
        <v>26.5</v>
      </c>
      <c r="DK54" s="228">
        <v>-0.35</v>
      </c>
      <c r="DL54" s="228">
        <v>-0.35</v>
      </c>
      <c r="DM54" s="228">
        <v>26.5</v>
      </c>
      <c r="DN54" s="228">
        <v>26.59</v>
      </c>
      <c r="DO54" s="228">
        <v>-0.09</v>
      </c>
      <c r="DP54" s="228">
        <v>-0.09</v>
      </c>
      <c r="DQ54" s="228">
        <v>0.9</v>
      </c>
      <c r="DR54" s="228">
        <v>0.96</v>
      </c>
      <c r="DS54" s="228">
        <v>-0.06</v>
      </c>
      <c r="DT54" s="229">
        <v>-6.25E-2</v>
      </c>
      <c r="DU54" s="228">
        <v>410</v>
      </c>
      <c r="DV54" s="228">
        <v>400</v>
      </c>
      <c r="DW54" s="228">
        <v>0.41</v>
      </c>
      <c r="DX54" s="228">
        <v>0.55000000000000004</v>
      </c>
      <c r="DY54" s="228">
        <v>-0.14000000000000001</v>
      </c>
      <c r="DZ54" s="229">
        <v>-0.2545</v>
      </c>
      <c r="EA54" s="229">
        <v>1.46E-2</v>
      </c>
      <c r="EB54" s="230">
        <v>215800</v>
      </c>
      <c r="EC54" s="229">
        <v>6.7999999999999996E-3</v>
      </c>
      <c r="ED54" s="229">
        <v>1.46E-2</v>
      </c>
      <c r="EE54" s="228">
        <v>3.01</v>
      </c>
      <c r="EF54" s="229">
        <v>7.4999999999999997E-3</v>
      </c>
      <c r="EG54" s="230">
        <v>436504</v>
      </c>
      <c r="EH54" s="230">
        <v>729282</v>
      </c>
      <c r="EI54" s="229">
        <v>-0.40150000000000002</v>
      </c>
      <c r="EJ54" s="229">
        <v>0.52749999999999997</v>
      </c>
      <c r="EK54" s="228">
        <v>95.25</v>
      </c>
      <c r="EL54" s="228">
        <v>36.4</v>
      </c>
      <c r="EM54" s="228">
        <v>52.46</v>
      </c>
      <c r="EN54" s="228">
        <v>39.69</v>
      </c>
      <c r="EO54" s="228">
        <v>184.1</v>
      </c>
      <c r="EP54" s="228">
        <v>342.38</v>
      </c>
      <c r="EQ54" s="228">
        <v>-158.28</v>
      </c>
      <c r="ER54" s="229">
        <v>-0.46229999999999999</v>
      </c>
      <c r="ES54" s="228">
        <v>133.96</v>
      </c>
      <c r="ET54" s="228">
        <v>113.98</v>
      </c>
      <c r="EU54" s="228">
        <v>688.63</v>
      </c>
      <c r="EV54" s="231">
        <v>112112283</v>
      </c>
      <c r="EW54" s="228">
        <v>936.57</v>
      </c>
      <c r="EX54" s="228">
        <v>917.31</v>
      </c>
      <c r="EY54" s="228">
        <v>19.260000000000002</v>
      </c>
      <c r="EZ54" s="229">
        <v>2.1000000000000001E-2</v>
      </c>
      <c r="FA54" s="229">
        <v>0.2059</v>
      </c>
      <c r="FB54" s="227" t="s">
        <v>567</v>
      </c>
      <c r="FC54">
        <f t="shared" si="0"/>
        <v>10</v>
      </c>
    </row>
    <row r="55" spans="1:159" ht="17.25" thickBot="1" x14ac:dyDescent="0.3">
      <c r="A55" s="226">
        <v>46023</v>
      </c>
      <c r="B55" s="227" t="s">
        <v>170</v>
      </c>
      <c r="C55" s="227" t="s">
        <v>205</v>
      </c>
      <c r="D55" s="228">
        <v>100</v>
      </c>
      <c r="E55" s="228">
        <v>26</v>
      </c>
      <c r="F55" s="231">
        <v>6385</v>
      </c>
      <c r="G55" s="231">
        <v>6428</v>
      </c>
      <c r="H55" s="228">
        <v>-43</v>
      </c>
      <c r="I55" s="229">
        <v>-6.7000000000000002E-3</v>
      </c>
      <c r="J55" s="231">
        <v>6344</v>
      </c>
      <c r="K55" s="231">
        <v>6392.5</v>
      </c>
      <c r="L55" s="228">
        <v>-48.5</v>
      </c>
      <c r="M55" s="229">
        <v>-7.6E-3</v>
      </c>
      <c r="N55" s="231">
        <v>6385</v>
      </c>
      <c r="O55" s="231">
        <v>6428</v>
      </c>
      <c r="P55" s="228">
        <v>-43</v>
      </c>
      <c r="Q55" s="229">
        <v>-6.7000000000000002E-3</v>
      </c>
      <c r="R55" s="231">
        <v>6423</v>
      </c>
      <c r="S55" s="231">
        <v>6469</v>
      </c>
      <c r="T55" s="228">
        <v>-46</v>
      </c>
      <c r="U55" s="229">
        <v>-7.1000000000000004E-3</v>
      </c>
      <c r="V55" s="231">
        <v>6447.5</v>
      </c>
      <c r="W55" s="231">
        <v>6501</v>
      </c>
      <c r="X55" s="228">
        <v>-53.5</v>
      </c>
      <c r="Y55" s="229">
        <v>-8.2000000000000007E-3</v>
      </c>
      <c r="Z55" s="228">
        <v>41</v>
      </c>
      <c r="AA55" s="228">
        <v>35.5</v>
      </c>
      <c r="AB55" s="228">
        <v>5.5</v>
      </c>
      <c r="AC55" s="229">
        <v>6.4999999999999997E-3</v>
      </c>
      <c r="AD55" s="228">
        <v>41</v>
      </c>
      <c r="AE55" s="228">
        <v>35.5</v>
      </c>
      <c r="AF55" s="228">
        <v>5.5</v>
      </c>
      <c r="AG55" s="229">
        <v>6.4999999999999997E-3</v>
      </c>
      <c r="AH55" s="228">
        <v>79</v>
      </c>
      <c r="AI55" s="228">
        <v>76.5</v>
      </c>
      <c r="AJ55" s="228">
        <v>2.5</v>
      </c>
      <c r="AK55" s="229">
        <v>1.2500000000000001E-2</v>
      </c>
      <c r="AL55" s="228">
        <v>103.5</v>
      </c>
      <c r="AM55" s="228">
        <v>108.5</v>
      </c>
      <c r="AN55" s="228">
        <v>-5</v>
      </c>
      <c r="AO55" s="229">
        <v>1.6299999999999999E-2</v>
      </c>
      <c r="AP55" s="231">
        <v>6378.34</v>
      </c>
      <c r="AQ55" s="231">
        <v>6413.95</v>
      </c>
      <c r="AR55" s="228">
        <v>0</v>
      </c>
      <c r="AS55" s="228">
        <v>115</v>
      </c>
      <c r="AT55" s="228">
        <v>219</v>
      </c>
      <c r="AU55" s="228">
        <v>-104</v>
      </c>
      <c r="AV55" s="229">
        <v>-0.47510000000000002</v>
      </c>
      <c r="AW55" s="228">
        <v>110</v>
      </c>
      <c r="AX55" s="228">
        <v>214</v>
      </c>
      <c r="AY55" s="228">
        <v>-105</v>
      </c>
      <c r="AZ55" s="229">
        <v>-0.48880000000000001</v>
      </c>
      <c r="BA55" s="228">
        <v>5</v>
      </c>
      <c r="BB55" s="228">
        <v>5</v>
      </c>
      <c r="BC55" s="228">
        <v>1</v>
      </c>
      <c r="BD55" s="229">
        <v>0.125</v>
      </c>
      <c r="BE55" s="228">
        <v>0</v>
      </c>
      <c r="BF55" s="228">
        <v>0</v>
      </c>
      <c r="BG55" s="228">
        <v>0</v>
      </c>
      <c r="BH55" s="229">
        <v>0</v>
      </c>
      <c r="BI55" s="228">
        <v>367</v>
      </c>
      <c r="BJ55" s="228">
        <v>541</v>
      </c>
      <c r="BK55" s="228">
        <v>-175</v>
      </c>
      <c r="BL55" s="229">
        <v>-0.32250000000000001</v>
      </c>
      <c r="BM55" s="228">
        <v>181</v>
      </c>
      <c r="BN55" s="228">
        <v>313</v>
      </c>
      <c r="BO55" s="228">
        <v>-133</v>
      </c>
      <c r="BP55" s="229">
        <v>-0.42320000000000002</v>
      </c>
      <c r="BQ55" s="228">
        <v>663</v>
      </c>
      <c r="BR55" s="230">
        <v>1074</v>
      </c>
      <c r="BS55" s="228">
        <v>-411</v>
      </c>
      <c r="BT55" s="229">
        <v>-0.38300000000000001</v>
      </c>
      <c r="BU55" s="230">
        <v>149518</v>
      </c>
      <c r="BV55" s="230">
        <v>277048</v>
      </c>
      <c r="BW55" s="230">
        <v>-127530</v>
      </c>
      <c r="BX55" s="229">
        <v>-0.46029999999999999</v>
      </c>
      <c r="BY55" s="230">
        <v>2150</v>
      </c>
      <c r="BZ55" s="230">
        <v>2116</v>
      </c>
      <c r="CA55" s="228">
        <v>34</v>
      </c>
      <c r="CB55" s="229">
        <v>1.6E-2</v>
      </c>
      <c r="CC55" s="230">
        <v>2130</v>
      </c>
      <c r="CD55" s="230">
        <v>2098</v>
      </c>
      <c r="CE55" s="228">
        <v>32</v>
      </c>
      <c r="CF55" s="229">
        <v>1.52E-2</v>
      </c>
      <c r="CG55" s="228">
        <v>19</v>
      </c>
      <c r="CH55" s="228">
        <v>17</v>
      </c>
      <c r="CI55" s="228">
        <v>2</v>
      </c>
      <c r="CJ55" s="229">
        <v>9.6699999999999994E-2</v>
      </c>
      <c r="CK55" s="228">
        <v>1</v>
      </c>
      <c r="CL55" s="228">
        <v>0</v>
      </c>
      <c r="CM55" s="228">
        <v>0</v>
      </c>
      <c r="CN55" s="229">
        <v>0.83330000000000004</v>
      </c>
      <c r="CO55" s="228">
        <v>349</v>
      </c>
      <c r="CP55" s="228">
        <v>285</v>
      </c>
      <c r="CQ55" s="228">
        <v>64</v>
      </c>
      <c r="CR55" s="229">
        <v>0.22570000000000001</v>
      </c>
      <c r="CS55" s="228">
        <v>198</v>
      </c>
      <c r="CT55" s="228">
        <v>182</v>
      </c>
      <c r="CU55" s="228">
        <v>15</v>
      </c>
      <c r="CV55" s="229">
        <v>8.4000000000000005E-2</v>
      </c>
      <c r="CW55" s="230">
        <v>2696</v>
      </c>
      <c r="CX55" s="230">
        <v>2583</v>
      </c>
      <c r="CY55" s="228">
        <v>113</v>
      </c>
      <c r="CZ55" s="229">
        <v>4.3900000000000002E-2</v>
      </c>
      <c r="DA55" s="228">
        <v>20.81</v>
      </c>
      <c r="DB55" s="228">
        <v>20.85</v>
      </c>
      <c r="DC55" s="228">
        <v>-0.04</v>
      </c>
      <c r="DD55" s="228">
        <v>-0.04</v>
      </c>
      <c r="DE55" s="228">
        <v>29.86</v>
      </c>
      <c r="DF55" s="228">
        <v>29.92</v>
      </c>
      <c r="DG55" s="228">
        <v>-9.0500000000000007</v>
      </c>
      <c r="DH55" s="228">
        <v>-0.06</v>
      </c>
      <c r="DI55" s="228">
        <v>20.74</v>
      </c>
      <c r="DJ55" s="228">
        <v>20.8</v>
      </c>
      <c r="DK55" s="228">
        <v>-0.06</v>
      </c>
      <c r="DL55" s="228">
        <v>-0.06</v>
      </c>
      <c r="DM55" s="228">
        <v>20.95</v>
      </c>
      <c r="DN55" s="228">
        <v>20.93</v>
      </c>
      <c r="DO55" s="228">
        <v>0.02</v>
      </c>
      <c r="DP55" s="228">
        <v>0.02</v>
      </c>
      <c r="DQ55" s="228">
        <v>0.56999999999999995</v>
      </c>
      <c r="DR55" s="228">
        <v>0.64</v>
      </c>
      <c r="DS55" s="228">
        <v>-7.0000000000000007E-2</v>
      </c>
      <c r="DT55" s="229">
        <v>-0.1094</v>
      </c>
      <c r="DU55" s="231">
        <v>6500</v>
      </c>
      <c r="DV55" s="231">
        <v>6300</v>
      </c>
      <c r="DW55" s="228">
        <v>0.49</v>
      </c>
      <c r="DX55" s="228">
        <v>0.57999999999999996</v>
      </c>
      <c r="DY55" s="228">
        <v>-0.09</v>
      </c>
      <c r="DZ55" s="229">
        <v>-0.1552</v>
      </c>
      <c r="EA55" s="229">
        <v>9.1000000000000004E-3</v>
      </c>
      <c r="EB55" s="230">
        <v>27500</v>
      </c>
      <c r="EC55" s="229">
        <v>6.0000000000000001E-3</v>
      </c>
      <c r="ED55" s="229">
        <v>9.1000000000000004E-3</v>
      </c>
      <c r="EE55" s="228">
        <v>35.61</v>
      </c>
      <c r="EF55" s="229">
        <v>5.5999999999999999E-3</v>
      </c>
      <c r="EG55" s="230">
        <v>86174</v>
      </c>
      <c r="EH55" s="230">
        <v>152123</v>
      </c>
      <c r="EI55" s="229">
        <v>-0.4335</v>
      </c>
      <c r="EJ55" s="229">
        <v>0.57630000000000003</v>
      </c>
      <c r="EK55" s="228">
        <v>384.04</v>
      </c>
      <c r="EL55" s="228">
        <v>176.93</v>
      </c>
      <c r="EM55" s="228">
        <v>115.03</v>
      </c>
      <c r="EN55" s="228">
        <v>148.9</v>
      </c>
      <c r="EO55" s="228">
        <v>676</v>
      </c>
      <c r="EP55" s="231">
        <v>1093.48</v>
      </c>
      <c r="EQ55" s="228">
        <v>-417.48</v>
      </c>
      <c r="ER55" s="229">
        <v>-0.38179999999999997</v>
      </c>
      <c r="ES55" s="228">
        <v>360.74</v>
      </c>
      <c r="ET55" s="228">
        <v>193.69</v>
      </c>
      <c r="EU55" s="231">
        <v>2149.69</v>
      </c>
      <c r="EV55" s="231">
        <v>14898112</v>
      </c>
      <c r="EW55" s="231">
        <v>2704.12</v>
      </c>
      <c r="EX55" s="231">
        <v>2603.06</v>
      </c>
      <c r="EY55" s="228">
        <v>101.06</v>
      </c>
      <c r="EZ55" s="229">
        <v>3.8800000000000001E-2</v>
      </c>
      <c r="FA55" s="229">
        <v>0.28349999999999997</v>
      </c>
      <c r="FB55" s="227" t="s">
        <v>567</v>
      </c>
      <c r="FC55">
        <f t="shared" si="0"/>
        <v>20</v>
      </c>
    </row>
    <row r="56" spans="1:159" ht="17.25" thickBot="1" x14ac:dyDescent="0.3">
      <c r="A56" s="226">
        <v>46023</v>
      </c>
      <c r="B56" s="227" t="s">
        <v>184</v>
      </c>
      <c r="C56" s="227" t="s">
        <v>512</v>
      </c>
      <c r="D56" s="228">
        <v>50</v>
      </c>
      <c r="E56" s="228">
        <v>26</v>
      </c>
      <c r="F56" s="231">
        <v>12184</v>
      </c>
      <c r="G56" s="231">
        <v>12150</v>
      </c>
      <c r="H56" s="228">
        <v>34</v>
      </c>
      <c r="I56" s="229">
        <v>2.8E-3</v>
      </c>
      <c r="J56" s="231">
        <v>12091</v>
      </c>
      <c r="K56" s="231">
        <v>12102</v>
      </c>
      <c r="L56" s="228">
        <v>-11</v>
      </c>
      <c r="M56" s="229">
        <v>-8.9999999999999998E-4</v>
      </c>
      <c r="N56" s="231">
        <v>12184</v>
      </c>
      <c r="O56" s="231">
        <v>12150</v>
      </c>
      <c r="P56" s="228">
        <v>34</v>
      </c>
      <c r="Q56" s="229">
        <v>2.8E-3</v>
      </c>
      <c r="R56" s="231">
        <v>12272</v>
      </c>
      <c r="S56" s="231">
        <v>12221</v>
      </c>
      <c r="T56" s="228">
        <v>51</v>
      </c>
      <c r="U56" s="229">
        <v>4.1999999999999997E-3</v>
      </c>
      <c r="V56" s="231">
        <v>12334</v>
      </c>
      <c r="W56" s="231">
        <v>12307</v>
      </c>
      <c r="X56" s="228">
        <v>27</v>
      </c>
      <c r="Y56" s="229">
        <v>2.2000000000000001E-3</v>
      </c>
      <c r="Z56" s="228">
        <v>93</v>
      </c>
      <c r="AA56" s="228">
        <v>48</v>
      </c>
      <c r="AB56" s="228">
        <v>45</v>
      </c>
      <c r="AC56" s="229">
        <v>7.7000000000000002E-3</v>
      </c>
      <c r="AD56" s="228">
        <v>93</v>
      </c>
      <c r="AE56" s="228">
        <v>48</v>
      </c>
      <c r="AF56" s="228">
        <v>45</v>
      </c>
      <c r="AG56" s="229">
        <v>7.7000000000000002E-3</v>
      </c>
      <c r="AH56" s="228">
        <v>181</v>
      </c>
      <c r="AI56" s="228">
        <v>119</v>
      </c>
      <c r="AJ56" s="228">
        <v>62</v>
      </c>
      <c r="AK56" s="229">
        <v>1.4999999999999999E-2</v>
      </c>
      <c r="AL56" s="228">
        <v>243</v>
      </c>
      <c r="AM56" s="228">
        <v>205</v>
      </c>
      <c r="AN56" s="228">
        <v>38</v>
      </c>
      <c r="AO56" s="229">
        <v>2.01E-2</v>
      </c>
      <c r="AP56" s="231">
        <v>12064.94</v>
      </c>
      <c r="AQ56" s="231">
        <v>12119.18</v>
      </c>
      <c r="AR56" s="228">
        <v>0</v>
      </c>
      <c r="AS56" s="230">
        <v>1153</v>
      </c>
      <c r="AT56" s="230">
        <v>1364</v>
      </c>
      <c r="AU56" s="228">
        <v>-211</v>
      </c>
      <c r="AV56" s="229">
        <v>-0.15479999999999999</v>
      </c>
      <c r="AW56" s="230">
        <v>1082</v>
      </c>
      <c r="AX56" s="230">
        <v>1275</v>
      </c>
      <c r="AY56" s="228">
        <v>-193</v>
      </c>
      <c r="AZ56" s="229">
        <v>-0.15129999999999999</v>
      </c>
      <c r="BA56" s="228">
        <v>55</v>
      </c>
      <c r="BB56" s="228">
        <v>79</v>
      </c>
      <c r="BC56" s="228">
        <v>-24</v>
      </c>
      <c r="BD56" s="229">
        <v>-0.30680000000000002</v>
      </c>
      <c r="BE56" s="228">
        <v>16</v>
      </c>
      <c r="BF56" s="228">
        <v>10</v>
      </c>
      <c r="BG56" s="228">
        <v>6</v>
      </c>
      <c r="BH56" s="229">
        <v>0.56730000000000003</v>
      </c>
      <c r="BI56" s="230">
        <v>4607</v>
      </c>
      <c r="BJ56" s="230">
        <v>6423</v>
      </c>
      <c r="BK56" s="230">
        <v>-1816</v>
      </c>
      <c r="BL56" s="229">
        <v>-0.28270000000000001</v>
      </c>
      <c r="BM56" s="230">
        <v>2833</v>
      </c>
      <c r="BN56" s="230">
        <v>3937</v>
      </c>
      <c r="BO56" s="230">
        <v>-1105</v>
      </c>
      <c r="BP56" s="229">
        <v>-0.28060000000000002</v>
      </c>
      <c r="BQ56" s="230">
        <v>8593</v>
      </c>
      <c r="BR56" s="230">
        <v>11724</v>
      </c>
      <c r="BS56" s="230">
        <v>-3131</v>
      </c>
      <c r="BT56" s="229">
        <v>-0.2671</v>
      </c>
      <c r="BU56" s="230">
        <v>740780</v>
      </c>
      <c r="BV56" s="230">
        <v>1022066</v>
      </c>
      <c r="BW56" s="230">
        <v>-281286</v>
      </c>
      <c r="BX56" s="229">
        <v>-0.2752</v>
      </c>
      <c r="BY56" s="230">
        <v>3450</v>
      </c>
      <c r="BZ56" s="230">
        <v>3419</v>
      </c>
      <c r="CA56" s="228">
        <v>30</v>
      </c>
      <c r="CB56" s="229">
        <v>8.8999999999999999E-3</v>
      </c>
      <c r="CC56" s="230">
        <v>3251</v>
      </c>
      <c r="CD56" s="230">
        <v>3229</v>
      </c>
      <c r="CE56" s="228">
        <v>21</v>
      </c>
      <c r="CF56" s="229">
        <v>6.6E-3</v>
      </c>
      <c r="CG56" s="228">
        <v>189</v>
      </c>
      <c r="CH56" s="228">
        <v>184</v>
      </c>
      <c r="CI56" s="228">
        <v>5</v>
      </c>
      <c r="CJ56" s="229">
        <v>2.9100000000000001E-2</v>
      </c>
      <c r="CK56" s="228">
        <v>10</v>
      </c>
      <c r="CL56" s="228">
        <v>6</v>
      </c>
      <c r="CM56" s="228">
        <v>4</v>
      </c>
      <c r="CN56" s="229">
        <v>0.59599999999999997</v>
      </c>
      <c r="CO56" s="230">
        <v>2755</v>
      </c>
      <c r="CP56" s="230">
        <v>2712</v>
      </c>
      <c r="CQ56" s="228">
        <v>42</v>
      </c>
      <c r="CR56" s="229">
        <v>1.5599999999999999E-2</v>
      </c>
      <c r="CS56" s="230">
        <v>1793</v>
      </c>
      <c r="CT56" s="230">
        <v>1701</v>
      </c>
      <c r="CU56" s="228">
        <v>93</v>
      </c>
      <c r="CV56" s="229">
        <v>5.4399999999999997E-2</v>
      </c>
      <c r="CW56" s="230">
        <v>7998</v>
      </c>
      <c r="CX56" s="230">
        <v>7832</v>
      </c>
      <c r="CY56" s="228">
        <v>165</v>
      </c>
      <c r="CZ56" s="229">
        <v>2.1100000000000001E-2</v>
      </c>
      <c r="DA56" s="228">
        <v>41.83</v>
      </c>
      <c r="DB56" s="228">
        <v>42.38</v>
      </c>
      <c r="DC56" s="228">
        <v>-0.55000000000000004</v>
      </c>
      <c r="DD56" s="228">
        <v>-0.55000000000000004</v>
      </c>
      <c r="DE56" s="228">
        <v>44.71</v>
      </c>
      <c r="DF56" s="228">
        <v>44.82</v>
      </c>
      <c r="DG56" s="228">
        <v>-2.88</v>
      </c>
      <c r="DH56" s="228">
        <v>-0.11</v>
      </c>
      <c r="DI56" s="228">
        <v>41.02</v>
      </c>
      <c r="DJ56" s="228">
        <v>41.07</v>
      </c>
      <c r="DK56" s="228">
        <v>-0.05</v>
      </c>
      <c r="DL56" s="228">
        <v>-0.05</v>
      </c>
      <c r="DM56" s="228">
        <v>43.14</v>
      </c>
      <c r="DN56" s="228">
        <v>44.51</v>
      </c>
      <c r="DO56" s="228">
        <v>-1.37</v>
      </c>
      <c r="DP56" s="228">
        <v>-1.37</v>
      </c>
      <c r="DQ56" s="228">
        <v>0.65</v>
      </c>
      <c r="DR56" s="228">
        <v>0.63</v>
      </c>
      <c r="DS56" s="228">
        <v>0.02</v>
      </c>
      <c r="DT56" s="229">
        <v>3.1699999999999999E-2</v>
      </c>
      <c r="DU56" s="231">
        <v>13000</v>
      </c>
      <c r="DV56" s="231">
        <v>10000</v>
      </c>
      <c r="DW56" s="228">
        <v>0.61</v>
      </c>
      <c r="DX56" s="228">
        <v>0.61</v>
      </c>
      <c r="DY56" s="228">
        <v>0</v>
      </c>
      <c r="DZ56" s="229">
        <v>0</v>
      </c>
      <c r="EA56" s="229">
        <v>5.7700000000000001E-2</v>
      </c>
      <c r="EB56" s="230">
        <v>156050</v>
      </c>
      <c r="EC56" s="229">
        <v>7.1999999999999998E-3</v>
      </c>
      <c r="ED56" s="229">
        <v>5.7700000000000001E-2</v>
      </c>
      <c r="EE56" s="228">
        <v>54.24</v>
      </c>
      <c r="EF56" s="229">
        <v>4.4999999999999997E-3</v>
      </c>
      <c r="EG56" s="230">
        <v>245908</v>
      </c>
      <c r="EH56" s="230">
        <v>383699</v>
      </c>
      <c r="EI56" s="229">
        <v>-0.35909999999999997</v>
      </c>
      <c r="EJ56" s="229">
        <v>0.33200000000000002</v>
      </c>
      <c r="EK56" s="231">
        <v>4996.21</v>
      </c>
      <c r="EL56" s="231">
        <v>2697.41</v>
      </c>
      <c r="EM56" s="231">
        <v>1141.94</v>
      </c>
      <c r="EN56" s="228">
        <v>460.28</v>
      </c>
      <c r="EO56" s="231">
        <v>8835.56</v>
      </c>
      <c r="EP56" s="231">
        <v>12039.76</v>
      </c>
      <c r="EQ56" s="231">
        <v>-3204.2</v>
      </c>
      <c r="ER56" s="229">
        <v>-0.2661</v>
      </c>
      <c r="ES56" s="231">
        <v>3068.25</v>
      </c>
      <c r="ET56" s="231">
        <v>1697.58</v>
      </c>
      <c r="EU56" s="231">
        <v>3451.14</v>
      </c>
      <c r="EV56" s="231">
        <v>6452220</v>
      </c>
      <c r="EW56" s="231">
        <v>8216.98</v>
      </c>
      <c r="EX56" s="231">
        <v>8047.08</v>
      </c>
      <c r="EY56" s="228">
        <v>169.9</v>
      </c>
      <c r="EZ56" s="229">
        <v>2.1100000000000001E-2</v>
      </c>
      <c r="FA56" s="229">
        <v>1.0173000000000001</v>
      </c>
      <c r="FB56" s="227" t="s">
        <v>555</v>
      </c>
      <c r="FC56">
        <f t="shared" si="0"/>
        <v>199</v>
      </c>
    </row>
    <row r="57" spans="1:159" ht="17.25" thickBot="1" x14ac:dyDescent="0.3">
      <c r="A57" s="226">
        <v>46023</v>
      </c>
      <c r="B57" s="227" t="s">
        <v>206</v>
      </c>
      <c r="C57" s="227" t="s">
        <v>207</v>
      </c>
      <c r="D57" s="228">
        <v>825</v>
      </c>
      <c r="E57" s="228">
        <v>26</v>
      </c>
      <c r="F57" s="228">
        <v>695.45</v>
      </c>
      <c r="G57" s="228">
        <v>691.8</v>
      </c>
      <c r="H57" s="228">
        <v>3.65</v>
      </c>
      <c r="I57" s="229">
        <v>5.3E-3</v>
      </c>
      <c r="J57" s="228">
        <v>691.4</v>
      </c>
      <c r="K57" s="228">
        <v>687.4</v>
      </c>
      <c r="L57" s="228">
        <v>4</v>
      </c>
      <c r="M57" s="229">
        <v>5.7999999999999996E-3</v>
      </c>
      <c r="N57" s="228">
        <v>695.45</v>
      </c>
      <c r="O57" s="228">
        <v>691.8</v>
      </c>
      <c r="P57" s="228">
        <v>3.65</v>
      </c>
      <c r="Q57" s="229">
        <v>5.3E-3</v>
      </c>
      <c r="R57" s="228">
        <v>699.95</v>
      </c>
      <c r="S57" s="228">
        <v>695.6</v>
      </c>
      <c r="T57" s="228">
        <v>4.3499999999999996</v>
      </c>
      <c r="U57" s="229">
        <v>6.3E-3</v>
      </c>
      <c r="V57" s="228">
        <v>703.65</v>
      </c>
      <c r="W57" s="228">
        <v>700.25</v>
      </c>
      <c r="X57" s="228">
        <v>3.4</v>
      </c>
      <c r="Y57" s="229">
        <v>4.8999999999999998E-3</v>
      </c>
      <c r="Z57" s="228">
        <v>4.05</v>
      </c>
      <c r="AA57" s="228">
        <v>4.4000000000000004</v>
      </c>
      <c r="AB57" s="228">
        <v>-0.35</v>
      </c>
      <c r="AC57" s="229">
        <v>5.8999999999999999E-3</v>
      </c>
      <c r="AD57" s="228">
        <v>4.05</v>
      </c>
      <c r="AE57" s="228">
        <v>4.4000000000000004</v>
      </c>
      <c r="AF57" s="228">
        <v>-0.35</v>
      </c>
      <c r="AG57" s="229">
        <v>5.8999999999999999E-3</v>
      </c>
      <c r="AH57" s="228">
        <v>8.5500000000000007</v>
      </c>
      <c r="AI57" s="228">
        <v>8.1999999999999993</v>
      </c>
      <c r="AJ57" s="228">
        <v>0.35</v>
      </c>
      <c r="AK57" s="229">
        <v>1.24E-2</v>
      </c>
      <c r="AL57" s="228">
        <v>12.25</v>
      </c>
      <c r="AM57" s="228">
        <v>12.85</v>
      </c>
      <c r="AN57" s="228">
        <v>-0.6</v>
      </c>
      <c r="AO57" s="229">
        <v>1.77E-2</v>
      </c>
      <c r="AP57" s="228">
        <v>691.15</v>
      </c>
      <c r="AQ57" s="228">
        <v>695.74</v>
      </c>
      <c r="AR57" s="228">
        <v>0</v>
      </c>
      <c r="AS57" s="228">
        <v>267</v>
      </c>
      <c r="AT57" s="228">
        <v>324</v>
      </c>
      <c r="AU57" s="228">
        <v>-57</v>
      </c>
      <c r="AV57" s="229">
        <v>-0.17630000000000001</v>
      </c>
      <c r="AW57" s="228">
        <v>257</v>
      </c>
      <c r="AX57" s="228">
        <v>310</v>
      </c>
      <c r="AY57" s="228">
        <v>-53</v>
      </c>
      <c r="AZ57" s="229">
        <v>-0.17230000000000001</v>
      </c>
      <c r="BA57" s="228">
        <v>9</v>
      </c>
      <c r="BB57" s="228">
        <v>12</v>
      </c>
      <c r="BC57" s="228">
        <v>-3</v>
      </c>
      <c r="BD57" s="229">
        <v>-0.26790000000000003</v>
      </c>
      <c r="BE57" s="228">
        <v>1</v>
      </c>
      <c r="BF57" s="228">
        <v>1</v>
      </c>
      <c r="BG57" s="228">
        <v>0</v>
      </c>
      <c r="BH57" s="229">
        <v>-0.28000000000000003</v>
      </c>
      <c r="BI57" s="228">
        <v>659</v>
      </c>
      <c r="BJ57" s="228">
        <v>739</v>
      </c>
      <c r="BK57" s="228">
        <v>-80</v>
      </c>
      <c r="BL57" s="229">
        <v>-0.108</v>
      </c>
      <c r="BM57" s="228">
        <v>372</v>
      </c>
      <c r="BN57" s="228">
        <v>326</v>
      </c>
      <c r="BO57" s="228">
        <v>46</v>
      </c>
      <c r="BP57" s="229">
        <v>0.1416</v>
      </c>
      <c r="BQ57" s="230">
        <v>1299</v>
      </c>
      <c r="BR57" s="230">
        <v>1389</v>
      </c>
      <c r="BS57" s="228">
        <v>-91</v>
      </c>
      <c r="BT57" s="229">
        <v>-6.5299999999999997E-2</v>
      </c>
      <c r="BU57" s="230">
        <v>1659897</v>
      </c>
      <c r="BV57" s="230">
        <v>1880805</v>
      </c>
      <c r="BW57" s="230">
        <v>-220908</v>
      </c>
      <c r="BX57" s="229">
        <v>-0.11749999999999999</v>
      </c>
      <c r="BY57" s="230">
        <v>3357</v>
      </c>
      <c r="BZ57" s="230">
        <v>3330</v>
      </c>
      <c r="CA57" s="228">
        <v>27</v>
      </c>
      <c r="CB57" s="229">
        <v>8.0999999999999996E-3</v>
      </c>
      <c r="CC57" s="230">
        <v>3289</v>
      </c>
      <c r="CD57" s="230">
        <v>3264</v>
      </c>
      <c r="CE57" s="228">
        <v>25</v>
      </c>
      <c r="CF57" s="229">
        <v>7.7999999999999996E-3</v>
      </c>
      <c r="CG57" s="228">
        <v>66</v>
      </c>
      <c r="CH57" s="228">
        <v>65</v>
      </c>
      <c r="CI57" s="228">
        <v>1</v>
      </c>
      <c r="CJ57" s="229">
        <v>1.41E-2</v>
      </c>
      <c r="CK57" s="228">
        <v>1</v>
      </c>
      <c r="CL57" s="228">
        <v>1</v>
      </c>
      <c r="CM57" s="228">
        <v>1</v>
      </c>
      <c r="CN57" s="229">
        <v>0.85709999999999997</v>
      </c>
      <c r="CO57" s="228">
        <v>677</v>
      </c>
      <c r="CP57" s="228">
        <v>643</v>
      </c>
      <c r="CQ57" s="228">
        <v>34</v>
      </c>
      <c r="CR57" s="229">
        <v>5.2999999999999999E-2</v>
      </c>
      <c r="CS57" s="228">
        <v>578</v>
      </c>
      <c r="CT57" s="228">
        <v>568</v>
      </c>
      <c r="CU57" s="228">
        <v>10</v>
      </c>
      <c r="CV57" s="229">
        <v>1.7600000000000001E-2</v>
      </c>
      <c r="CW57" s="230">
        <v>4612</v>
      </c>
      <c r="CX57" s="230">
        <v>4541</v>
      </c>
      <c r="CY57" s="228">
        <v>71</v>
      </c>
      <c r="CZ57" s="229">
        <v>1.5699999999999999E-2</v>
      </c>
      <c r="DA57" s="228">
        <v>23.38</v>
      </c>
      <c r="DB57" s="228">
        <v>23.45</v>
      </c>
      <c r="DC57" s="228">
        <v>-7.0000000000000007E-2</v>
      </c>
      <c r="DD57" s="228">
        <v>-7.0000000000000007E-2</v>
      </c>
      <c r="DE57" s="228">
        <v>34.4</v>
      </c>
      <c r="DF57" s="228">
        <v>34.479999999999997</v>
      </c>
      <c r="DG57" s="228">
        <v>-11.02</v>
      </c>
      <c r="DH57" s="228">
        <v>-0.08</v>
      </c>
      <c r="DI57" s="228">
        <v>22.99</v>
      </c>
      <c r="DJ57" s="228">
        <v>23.3</v>
      </c>
      <c r="DK57" s="228">
        <v>-0.31</v>
      </c>
      <c r="DL57" s="228">
        <v>-0.31</v>
      </c>
      <c r="DM57" s="228">
        <v>24.09</v>
      </c>
      <c r="DN57" s="228">
        <v>23.79</v>
      </c>
      <c r="DO57" s="228">
        <v>0.3</v>
      </c>
      <c r="DP57" s="228">
        <v>0.3</v>
      </c>
      <c r="DQ57" s="228">
        <v>0.85</v>
      </c>
      <c r="DR57" s="228">
        <v>0.88</v>
      </c>
      <c r="DS57" s="228">
        <v>-0.03</v>
      </c>
      <c r="DT57" s="229">
        <v>-3.4099999999999998E-2</v>
      </c>
      <c r="DU57" s="228">
        <v>700</v>
      </c>
      <c r="DV57" s="228">
        <v>680</v>
      </c>
      <c r="DW57" s="228">
        <v>0.56000000000000005</v>
      </c>
      <c r="DX57" s="228">
        <v>0.44</v>
      </c>
      <c r="DY57" s="228">
        <v>0.12</v>
      </c>
      <c r="DZ57" s="229">
        <v>0.2727</v>
      </c>
      <c r="EA57" s="229">
        <v>2.01E-2</v>
      </c>
      <c r="EB57" s="230">
        <v>948750</v>
      </c>
      <c r="EC57" s="229">
        <v>6.4999999999999997E-3</v>
      </c>
      <c r="ED57" s="229">
        <v>2.01E-2</v>
      </c>
      <c r="EE57" s="228">
        <v>4.59</v>
      </c>
      <c r="EF57" s="229">
        <v>6.6E-3</v>
      </c>
      <c r="EG57" s="230">
        <v>757305</v>
      </c>
      <c r="EH57" s="230">
        <v>1038211</v>
      </c>
      <c r="EI57" s="229">
        <v>-0.27060000000000001</v>
      </c>
      <c r="EJ57" s="229">
        <v>0.45619999999999999</v>
      </c>
      <c r="EK57" s="228">
        <v>683.13</v>
      </c>
      <c r="EL57" s="228">
        <v>367.41</v>
      </c>
      <c r="EM57" s="228">
        <v>265.10000000000002</v>
      </c>
      <c r="EN57" s="228">
        <v>250.97</v>
      </c>
      <c r="EO57" s="231">
        <v>1315.64</v>
      </c>
      <c r="EP57" s="231">
        <v>1412.79</v>
      </c>
      <c r="EQ57" s="228">
        <v>-97.15</v>
      </c>
      <c r="ER57" s="229">
        <v>-6.88E-2</v>
      </c>
      <c r="ES57" s="228">
        <v>701.56</v>
      </c>
      <c r="ET57" s="228">
        <v>579.89</v>
      </c>
      <c r="EU57" s="231">
        <v>3357.49</v>
      </c>
      <c r="EV57" s="231">
        <v>96058266</v>
      </c>
      <c r="EW57" s="231">
        <v>4638.95</v>
      </c>
      <c r="EX57" s="231">
        <v>4549.41</v>
      </c>
      <c r="EY57" s="228">
        <v>89.54</v>
      </c>
      <c r="EZ57" s="229">
        <v>1.9699999999999999E-2</v>
      </c>
      <c r="FA57" s="229">
        <v>0.69040000000000001</v>
      </c>
      <c r="FB57" s="227" t="s">
        <v>555</v>
      </c>
      <c r="FC57">
        <f t="shared" si="0"/>
        <v>68</v>
      </c>
    </row>
    <row r="58" spans="1:159" ht="17.25" thickBot="1" x14ac:dyDescent="0.3">
      <c r="A58" s="226">
        <v>46023</v>
      </c>
      <c r="B58" s="227" t="s">
        <v>615</v>
      </c>
      <c r="C58" s="227" t="s">
        <v>583</v>
      </c>
      <c r="D58" s="228">
        <v>150</v>
      </c>
      <c r="E58" s="228">
        <v>26</v>
      </c>
      <c r="F58" s="231">
        <v>3714.2</v>
      </c>
      <c r="G58" s="231">
        <v>3796.2</v>
      </c>
      <c r="H58" s="228">
        <v>-82</v>
      </c>
      <c r="I58" s="229">
        <v>-2.1600000000000001E-2</v>
      </c>
      <c r="J58" s="231">
        <v>3716.1</v>
      </c>
      <c r="K58" s="231">
        <v>3782.2</v>
      </c>
      <c r="L58" s="228">
        <v>-66.099999999999994</v>
      </c>
      <c r="M58" s="229">
        <v>-1.7500000000000002E-2</v>
      </c>
      <c r="N58" s="231">
        <v>3714.2</v>
      </c>
      <c r="O58" s="231">
        <v>3796.2</v>
      </c>
      <c r="P58" s="228">
        <v>-82</v>
      </c>
      <c r="Q58" s="229">
        <v>-2.1600000000000001E-2</v>
      </c>
      <c r="R58" s="231">
        <v>3722.5</v>
      </c>
      <c r="S58" s="231">
        <v>3807.6</v>
      </c>
      <c r="T58" s="228">
        <v>-85.1</v>
      </c>
      <c r="U58" s="229">
        <v>-2.24E-2</v>
      </c>
      <c r="V58" s="231">
        <v>3731.8</v>
      </c>
      <c r="W58" s="231">
        <v>3823.6</v>
      </c>
      <c r="X58" s="228">
        <v>-91.8</v>
      </c>
      <c r="Y58" s="229">
        <v>-2.4E-2</v>
      </c>
      <c r="Z58" s="228">
        <v>-1.9</v>
      </c>
      <c r="AA58" s="228">
        <v>14</v>
      </c>
      <c r="AB58" s="228">
        <v>-15.9</v>
      </c>
      <c r="AC58" s="229">
        <v>-5.0000000000000001E-4</v>
      </c>
      <c r="AD58" s="228">
        <v>-1.9</v>
      </c>
      <c r="AE58" s="228">
        <v>14</v>
      </c>
      <c r="AF58" s="228">
        <v>-15.9</v>
      </c>
      <c r="AG58" s="229">
        <v>-5.0000000000000001E-4</v>
      </c>
      <c r="AH58" s="228">
        <v>6.4</v>
      </c>
      <c r="AI58" s="228">
        <v>25.4</v>
      </c>
      <c r="AJ58" s="228">
        <v>-19</v>
      </c>
      <c r="AK58" s="229">
        <v>1.6999999999999999E-3</v>
      </c>
      <c r="AL58" s="228">
        <v>15.7</v>
      </c>
      <c r="AM58" s="228">
        <v>41.4</v>
      </c>
      <c r="AN58" s="228">
        <v>-25.7</v>
      </c>
      <c r="AO58" s="229">
        <v>4.1999999999999997E-3</v>
      </c>
      <c r="AP58" s="231">
        <v>3729.65</v>
      </c>
      <c r="AQ58" s="231">
        <v>3738.79</v>
      </c>
      <c r="AR58" s="228">
        <v>0</v>
      </c>
      <c r="AS58" s="228">
        <v>302</v>
      </c>
      <c r="AT58" s="228">
        <v>268</v>
      </c>
      <c r="AU58" s="228">
        <v>34</v>
      </c>
      <c r="AV58" s="229">
        <v>0.12509999999999999</v>
      </c>
      <c r="AW58" s="228">
        <v>271</v>
      </c>
      <c r="AX58" s="228">
        <v>260</v>
      </c>
      <c r="AY58" s="228">
        <v>11</v>
      </c>
      <c r="AZ58" s="229">
        <v>4.0599999999999997E-2</v>
      </c>
      <c r="BA58" s="228">
        <v>26</v>
      </c>
      <c r="BB58" s="228">
        <v>6</v>
      </c>
      <c r="BC58" s="228">
        <v>20</v>
      </c>
      <c r="BD58" s="229">
        <v>3.0345</v>
      </c>
      <c r="BE58" s="228">
        <v>5</v>
      </c>
      <c r="BF58" s="228">
        <v>2</v>
      </c>
      <c r="BG58" s="228">
        <v>3</v>
      </c>
      <c r="BH58" s="229">
        <v>2.1785999999999999</v>
      </c>
      <c r="BI58" s="228">
        <v>516</v>
      </c>
      <c r="BJ58" s="228">
        <v>498</v>
      </c>
      <c r="BK58" s="228">
        <v>18</v>
      </c>
      <c r="BL58" s="229">
        <v>3.6299999999999999E-2</v>
      </c>
      <c r="BM58" s="228">
        <v>384</v>
      </c>
      <c r="BN58" s="228">
        <v>257</v>
      </c>
      <c r="BO58" s="228">
        <v>127</v>
      </c>
      <c r="BP58" s="229">
        <v>0.49480000000000002</v>
      </c>
      <c r="BQ58" s="230">
        <v>1202</v>
      </c>
      <c r="BR58" s="230">
        <v>1023</v>
      </c>
      <c r="BS58" s="228">
        <v>179</v>
      </c>
      <c r="BT58" s="229">
        <v>0.17469999999999999</v>
      </c>
      <c r="BU58" s="230">
        <v>525768</v>
      </c>
      <c r="BV58" s="230">
        <v>658750</v>
      </c>
      <c r="BW58" s="230">
        <v>-132982</v>
      </c>
      <c r="BX58" s="229">
        <v>-0.2019</v>
      </c>
      <c r="BY58" s="230">
        <v>2014</v>
      </c>
      <c r="BZ58" s="230">
        <v>1912</v>
      </c>
      <c r="CA58" s="228">
        <v>102</v>
      </c>
      <c r="CB58" s="229">
        <v>5.3199999999999997E-2</v>
      </c>
      <c r="CC58" s="230">
        <v>1961</v>
      </c>
      <c r="CD58" s="230">
        <v>1872</v>
      </c>
      <c r="CE58" s="228">
        <v>89</v>
      </c>
      <c r="CF58" s="229">
        <v>4.7699999999999999E-2</v>
      </c>
      <c r="CG58" s="228">
        <v>49</v>
      </c>
      <c r="CH58" s="228">
        <v>39</v>
      </c>
      <c r="CI58" s="228">
        <v>9</v>
      </c>
      <c r="CJ58" s="229">
        <v>0.2404</v>
      </c>
      <c r="CK58" s="228">
        <v>5</v>
      </c>
      <c r="CL58" s="228">
        <v>1</v>
      </c>
      <c r="CM58" s="228">
        <v>3</v>
      </c>
      <c r="CN58" s="229">
        <v>2.2400000000000002</v>
      </c>
      <c r="CO58" s="228">
        <v>430</v>
      </c>
      <c r="CP58" s="228">
        <v>358</v>
      </c>
      <c r="CQ58" s="228">
        <v>72</v>
      </c>
      <c r="CR58" s="229">
        <v>0.20119999999999999</v>
      </c>
      <c r="CS58" s="228">
        <v>352</v>
      </c>
      <c r="CT58" s="228">
        <v>303</v>
      </c>
      <c r="CU58" s="228">
        <v>49</v>
      </c>
      <c r="CV58" s="229">
        <v>0.16120000000000001</v>
      </c>
      <c r="CW58" s="230">
        <v>2796</v>
      </c>
      <c r="CX58" s="230">
        <v>2574</v>
      </c>
      <c r="CY58" s="228">
        <v>223</v>
      </c>
      <c r="CZ58" s="229">
        <v>8.6499999999999994E-2</v>
      </c>
      <c r="DA58" s="228">
        <v>29.64</v>
      </c>
      <c r="DB58" s="228">
        <v>28.15</v>
      </c>
      <c r="DC58" s="228">
        <v>1.49</v>
      </c>
      <c r="DD58" s="228">
        <v>1.49</v>
      </c>
      <c r="DE58" s="228">
        <v>30.3</v>
      </c>
      <c r="DF58" s="228">
        <v>30.28</v>
      </c>
      <c r="DG58" s="228">
        <v>-0.66</v>
      </c>
      <c r="DH58" s="228">
        <v>0.02</v>
      </c>
      <c r="DI58" s="228">
        <v>29.28</v>
      </c>
      <c r="DJ58" s="228">
        <v>27.76</v>
      </c>
      <c r="DK58" s="228">
        <v>1.52</v>
      </c>
      <c r="DL58" s="228">
        <v>1.52</v>
      </c>
      <c r="DM58" s="228">
        <v>30.12</v>
      </c>
      <c r="DN58" s="228">
        <v>28.88</v>
      </c>
      <c r="DO58" s="228">
        <v>1.24</v>
      </c>
      <c r="DP58" s="228">
        <v>1.24</v>
      </c>
      <c r="DQ58" s="228">
        <v>0.82</v>
      </c>
      <c r="DR58" s="228">
        <v>0.85</v>
      </c>
      <c r="DS58" s="228">
        <v>-0.03</v>
      </c>
      <c r="DT58" s="229">
        <v>-3.5299999999999998E-2</v>
      </c>
      <c r="DU58" s="231">
        <v>4000</v>
      </c>
      <c r="DV58" s="231">
        <v>3800</v>
      </c>
      <c r="DW58" s="228">
        <v>0.74</v>
      </c>
      <c r="DX58" s="228">
        <v>0.52</v>
      </c>
      <c r="DY58" s="228">
        <v>0.22</v>
      </c>
      <c r="DZ58" s="229">
        <v>0.42309999999999998</v>
      </c>
      <c r="EA58" s="229">
        <v>2.64E-2</v>
      </c>
      <c r="EB58" s="230">
        <v>109200</v>
      </c>
      <c r="EC58" s="229">
        <v>2.2000000000000001E-3</v>
      </c>
      <c r="ED58" s="229">
        <v>2.64E-2</v>
      </c>
      <c r="EE58" s="228">
        <v>9.14</v>
      </c>
      <c r="EF58" s="229">
        <v>2.5000000000000001E-3</v>
      </c>
      <c r="EG58" s="230">
        <v>339129</v>
      </c>
      <c r="EH58" s="230">
        <v>420905</v>
      </c>
      <c r="EI58" s="229">
        <v>-0.1943</v>
      </c>
      <c r="EJ58" s="229">
        <v>0.64500000000000002</v>
      </c>
      <c r="EK58" s="228">
        <v>551.99</v>
      </c>
      <c r="EL58" s="228">
        <v>382.18</v>
      </c>
      <c r="EM58" s="228">
        <v>303.44</v>
      </c>
      <c r="EN58" s="228">
        <v>139.38</v>
      </c>
      <c r="EO58" s="231">
        <v>1237.6099999999999</v>
      </c>
      <c r="EP58" s="231">
        <v>1066.1600000000001</v>
      </c>
      <c r="EQ58" s="228">
        <v>171.45</v>
      </c>
      <c r="ER58" s="229">
        <v>0.1608</v>
      </c>
      <c r="ES58" s="228">
        <v>458.32</v>
      </c>
      <c r="ET58" s="228">
        <v>348.59</v>
      </c>
      <c r="EU58" s="231">
        <v>2014.38</v>
      </c>
      <c r="EV58" s="231">
        <v>18750186</v>
      </c>
      <c r="EW58" s="231">
        <v>2821.28</v>
      </c>
      <c r="EX58" s="231">
        <v>2641.41</v>
      </c>
      <c r="EY58" s="228">
        <v>179.87</v>
      </c>
      <c r="EZ58" s="229">
        <v>6.8099999999999994E-2</v>
      </c>
      <c r="FA58" s="229">
        <v>0.40150000000000002</v>
      </c>
      <c r="FB58" s="227" t="s">
        <v>567</v>
      </c>
      <c r="FC58">
        <f t="shared" si="0"/>
        <v>53</v>
      </c>
    </row>
    <row r="59" spans="1:159" ht="17.25" thickBot="1" x14ac:dyDescent="0.3">
      <c r="A59" s="226">
        <v>46023</v>
      </c>
      <c r="B59" s="227" t="s">
        <v>170</v>
      </c>
      <c r="C59" s="227" t="s">
        <v>208</v>
      </c>
      <c r="D59" s="228">
        <v>625</v>
      </c>
      <c r="E59" s="228">
        <v>26</v>
      </c>
      <c r="F59" s="231">
        <v>1254.5999999999999</v>
      </c>
      <c r="G59" s="231">
        <v>1273.7</v>
      </c>
      <c r="H59" s="228">
        <v>-19.100000000000001</v>
      </c>
      <c r="I59" s="229">
        <v>-1.4999999999999999E-2</v>
      </c>
      <c r="J59" s="231">
        <v>1253.4000000000001</v>
      </c>
      <c r="K59" s="231">
        <v>1271.4000000000001</v>
      </c>
      <c r="L59" s="228">
        <v>-18</v>
      </c>
      <c r="M59" s="229">
        <v>-1.4200000000000001E-2</v>
      </c>
      <c r="N59" s="231">
        <v>1254.5999999999999</v>
      </c>
      <c r="O59" s="231">
        <v>1273.7</v>
      </c>
      <c r="P59" s="228">
        <v>-19.100000000000001</v>
      </c>
      <c r="Q59" s="229">
        <v>-1.4999999999999999E-2</v>
      </c>
      <c r="R59" s="231">
        <v>1259.4000000000001</v>
      </c>
      <c r="S59" s="231">
        <v>1279.2</v>
      </c>
      <c r="T59" s="228">
        <v>-19.8</v>
      </c>
      <c r="U59" s="229">
        <v>-1.55E-2</v>
      </c>
      <c r="V59" s="231">
        <v>1262.7</v>
      </c>
      <c r="W59" s="231">
        <v>1283.9000000000001</v>
      </c>
      <c r="X59" s="228">
        <v>-21.2</v>
      </c>
      <c r="Y59" s="229">
        <v>-1.6500000000000001E-2</v>
      </c>
      <c r="Z59" s="228">
        <v>1.2</v>
      </c>
      <c r="AA59" s="228">
        <v>2.2999999999999998</v>
      </c>
      <c r="AB59" s="228">
        <v>-1.1000000000000001</v>
      </c>
      <c r="AC59" s="229">
        <v>1E-3</v>
      </c>
      <c r="AD59" s="228">
        <v>1.2</v>
      </c>
      <c r="AE59" s="228">
        <v>2.2999999999999998</v>
      </c>
      <c r="AF59" s="228">
        <v>-1.1000000000000001</v>
      </c>
      <c r="AG59" s="229">
        <v>1E-3</v>
      </c>
      <c r="AH59" s="228">
        <v>6</v>
      </c>
      <c r="AI59" s="228">
        <v>7.8</v>
      </c>
      <c r="AJ59" s="228">
        <v>-1.8</v>
      </c>
      <c r="AK59" s="229">
        <v>4.7999999999999996E-3</v>
      </c>
      <c r="AL59" s="228">
        <v>9.3000000000000007</v>
      </c>
      <c r="AM59" s="228">
        <v>12.5</v>
      </c>
      <c r="AN59" s="228">
        <v>-3.2</v>
      </c>
      <c r="AO59" s="229">
        <v>7.4000000000000003E-3</v>
      </c>
      <c r="AP59" s="231">
        <v>1255.4000000000001</v>
      </c>
      <c r="AQ59" s="231">
        <v>1261.5999999999999</v>
      </c>
      <c r="AR59" s="228">
        <v>0</v>
      </c>
      <c r="AS59" s="228">
        <v>165</v>
      </c>
      <c r="AT59" s="228">
        <v>132</v>
      </c>
      <c r="AU59" s="228">
        <v>33</v>
      </c>
      <c r="AV59" s="229">
        <v>0.2487</v>
      </c>
      <c r="AW59" s="228">
        <v>154</v>
      </c>
      <c r="AX59" s="228">
        <v>126</v>
      </c>
      <c r="AY59" s="228">
        <v>28</v>
      </c>
      <c r="AZ59" s="229">
        <v>0.22359999999999999</v>
      </c>
      <c r="BA59" s="228">
        <v>9</v>
      </c>
      <c r="BB59" s="228">
        <v>6</v>
      </c>
      <c r="BC59" s="228">
        <v>3</v>
      </c>
      <c r="BD59" s="229">
        <v>0.48649999999999999</v>
      </c>
      <c r="BE59" s="228">
        <v>2</v>
      </c>
      <c r="BF59" s="228">
        <v>0</v>
      </c>
      <c r="BG59" s="228">
        <v>2</v>
      </c>
      <c r="BH59" s="229">
        <v>23</v>
      </c>
      <c r="BI59" s="228">
        <v>563</v>
      </c>
      <c r="BJ59" s="228">
        <v>366</v>
      </c>
      <c r="BK59" s="228">
        <v>198</v>
      </c>
      <c r="BL59" s="229">
        <v>0.54039999999999999</v>
      </c>
      <c r="BM59" s="228">
        <v>498</v>
      </c>
      <c r="BN59" s="228">
        <v>167</v>
      </c>
      <c r="BO59" s="228">
        <v>331</v>
      </c>
      <c r="BP59" s="229">
        <v>1.9821</v>
      </c>
      <c r="BQ59" s="230">
        <v>1226</v>
      </c>
      <c r="BR59" s="228">
        <v>665</v>
      </c>
      <c r="BS59" s="228">
        <v>561</v>
      </c>
      <c r="BT59" s="229">
        <v>0.84440000000000004</v>
      </c>
      <c r="BU59" s="230">
        <v>574549</v>
      </c>
      <c r="BV59" s="230">
        <v>717321</v>
      </c>
      <c r="BW59" s="230">
        <v>-142772</v>
      </c>
      <c r="BX59" s="229">
        <v>-0.19900000000000001</v>
      </c>
      <c r="BY59" s="230">
        <v>1561</v>
      </c>
      <c r="BZ59" s="230">
        <v>1536</v>
      </c>
      <c r="CA59" s="228">
        <v>25</v>
      </c>
      <c r="CB59" s="229">
        <v>1.6199999999999999E-2</v>
      </c>
      <c r="CC59" s="230">
        <v>1543</v>
      </c>
      <c r="CD59" s="230">
        <v>1524</v>
      </c>
      <c r="CE59" s="228">
        <v>19</v>
      </c>
      <c r="CF59" s="229">
        <v>1.2699999999999999E-2</v>
      </c>
      <c r="CG59" s="228">
        <v>16</v>
      </c>
      <c r="CH59" s="228">
        <v>12</v>
      </c>
      <c r="CI59" s="228">
        <v>4</v>
      </c>
      <c r="CJ59" s="229">
        <v>0.3553</v>
      </c>
      <c r="CK59" s="228">
        <v>1</v>
      </c>
      <c r="CL59" s="228">
        <v>0</v>
      </c>
      <c r="CM59" s="228">
        <v>1</v>
      </c>
      <c r="CN59" s="229">
        <v>17</v>
      </c>
      <c r="CO59" s="228">
        <v>452</v>
      </c>
      <c r="CP59" s="228">
        <v>296</v>
      </c>
      <c r="CQ59" s="228">
        <v>156</v>
      </c>
      <c r="CR59" s="229">
        <v>0.52729999999999999</v>
      </c>
      <c r="CS59" s="228">
        <v>256</v>
      </c>
      <c r="CT59" s="228">
        <v>179</v>
      </c>
      <c r="CU59" s="228">
        <v>77</v>
      </c>
      <c r="CV59" s="229">
        <v>0.43109999999999998</v>
      </c>
      <c r="CW59" s="230">
        <v>2269</v>
      </c>
      <c r="CX59" s="230">
        <v>2011</v>
      </c>
      <c r="CY59" s="228">
        <v>258</v>
      </c>
      <c r="CZ59" s="229">
        <v>0.12839999999999999</v>
      </c>
      <c r="DA59" s="228">
        <v>18.670000000000002</v>
      </c>
      <c r="DB59" s="228">
        <v>17.72</v>
      </c>
      <c r="DC59" s="228">
        <v>0.95</v>
      </c>
      <c r="DD59" s="228">
        <v>0.95</v>
      </c>
      <c r="DE59" s="228">
        <v>23.61</v>
      </c>
      <c r="DF59" s="228">
        <v>23.59</v>
      </c>
      <c r="DG59" s="228">
        <v>-4.9400000000000004</v>
      </c>
      <c r="DH59" s="228">
        <v>0.02</v>
      </c>
      <c r="DI59" s="228">
        <v>18.53</v>
      </c>
      <c r="DJ59" s="228">
        <v>17.36</v>
      </c>
      <c r="DK59" s="228">
        <v>1.17</v>
      </c>
      <c r="DL59" s="228">
        <v>1.17</v>
      </c>
      <c r="DM59" s="228">
        <v>18.82</v>
      </c>
      <c r="DN59" s="228">
        <v>18.510000000000002</v>
      </c>
      <c r="DO59" s="228">
        <v>0.31</v>
      </c>
      <c r="DP59" s="228">
        <v>0.31</v>
      </c>
      <c r="DQ59" s="228">
        <v>0.56999999999999995</v>
      </c>
      <c r="DR59" s="228">
        <v>0.61</v>
      </c>
      <c r="DS59" s="228">
        <v>-0.04</v>
      </c>
      <c r="DT59" s="229">
        <v>-6.5600000000000006E-2</v>
      </c>
      <c r="DU59" s="231">
        <v>1300</v>
      </c>
      <c r="DV59" s="231">
        <v>1150</v>
      </c>
      <c r="DW59" s="228">
        <v>0.88</v>
      </c>
      <c r="DX59" s="228">
        <v>0.46</v>
      </c>
      <c r="DY59" s="228">
        <v>0.42</v>
      </c>
      <c r="DZ59" s="229">
        <v>0.91300000000000003</v>
      </c>
      <c r="EA59" s="229">
        <v>1.1299999999999999E-2</v>
      </c>
      <c r="EB59" s="230">
        <v>95625</v>
      </c>
      <c r="EC59" s="229">
        <v>3.8E-3</v>
      </c>
      <c r="ED59" s="229">
        <v>1.1299999999999999E-2</v>
      </c>
      <c r="EE59" s="228">
        <v>6.2</v>
      </c>
      <c r="EF59" s="229">
        <v>4.8999999999999998E-3</v>
      </c>
      <c r="EG59" s="230">
        <v>168215</v>
      </c>
      <c r="EH59" s="230">
        <v>475597</v>
      </c>
      <c r="EI59" s="229">
        <v>-0.64629999999999999</v>
      </c>
      <c r="EJ59" s="229">
        <v>0.2928</v>
      </c>
      <c r="EK59" s="228">
        <v>588.34</v>
      </c>
      <c r="EL59" s="228">
        <v>495.35</v>
      </c>
      <c r="EM59" s="228">
        <v>165.14</v>
      </c>
      <c r="EN59" s="228">
        <v>81.09</v>
      </c>
      <c r="EO59" s="231">
        <v>1248.83</v>
      </c>
      <c r="EP59" s="228">
        <v>685.62</v>
      </c>
      <c r="EQ59" s="228">
        <v>563.21</v>
      </c>
      <c r="ER59" s="229">
        <v>0.82150000000000001</v>
      </c>
      <c r="ES59" s="228">
        <v>473.57</v>
      </c>
      <c r="ET59" s="228">
        <v>247.14</v>
      </c>
      <c r="EU59" s="231">
        <v>1560.87</v>
      </c>
      <c r="EV59" s="231">
        <v>91531454</v>
      </c>
      <c r="EW59" s="231">
        <v>2281.5700000000002</v>
      </c>
      <c r="EX59" s="231">
        <v>2043.71</v>
      </c>
      <c r="EY59" s="228">
        <v>237.86</v>
      </c>
      <c r="EZ59" s="229">
        <v>0.1164</v>
      </c>
      <c r="FA59" s="229">
        <v>0.1976</v>
      </c>
      <c r="FB59" s="227" t="s">
        <v>567</v>
      </c>
      <c r="FC59">
        <f t="shared" si="0"/>
        <v>18</v>
      </c>
    </row>
    <row r="60" spans="1:159" ht="17.25" thickBot="1" x14ac:dyDescent="0.3">
      <c r="A60" s="226">
        <v>46023</v>
      </c>
      <c r="B60" s="227" t="s">
        <v>162</v>
      </c>
      <c r="C60" s="227" t="s">
        <v>209</v>
      </c>
      <c r="D60" s="228">
        <v>100</v>
      </c>
      <c r="E60" s="228">
        <v>26</v>
      </c>
      <c r="F60" s="231">
        <v>7381.5</v>
      </c>
      <c r="G60" s="231">
        <v>7341</v>
      </c>
      <c r="H60" s="228">
        <v>40.5</v>
      </c>
      <c r="I60" s="229">
        <v>5.4999999999999997E-3</v>
      </c>
      <c r="J60" s="231">
        <v>7348</v>
      </c>
      <c r="K60" s="231">
        <v>7312.5</v>
      </c>
      <c r="L60" s="228">
        <v>35.5</v>
      </c>
      <c r="M60" s="229">
        <v>4.8999999999999998E-3</v>
      </c>
      <c r="N60" s="231">
        <v>7381.5</v>
      </c>
      <c r="O60" s="231">
        <v>7341</v>
      </c>
      <c r="P60" s="228">
        <v>40.5</v>
      </c>
      <c r="Q60" s="229">
        <v>5.4999999999999997E-3</v>
      </c>
      <c r="R60" s="231">
        <v>7423</v>
      </c>
      <c r="S60" s="231">
        <v>7380.5</v>
      </c>
      <c r="T60" s="228">
        <v>42.5</v>
      </c>
      <c r="U60" s="229">
        <v>5.7999999999999996E-3</v>
      </c>
      <c r="V60" s="231">
        <v>7458.5</v>
      </c>
      <c r="W60" s="231">
        <v>7422</v>
      </c>
      <c r="X60" s="228">
        <v>36.5</v>
      </c>
      <c r="Y60" s="229">
        <v>4.8999999999999998E-3</v>
      </c>
      <c r="Z60" s="228">
        <v>33.5</v>
      </c>
      <c r="AA60" s="228">
        <v>28.5</v>
      </c>
      <c r="AB60" s="228">
        <v>5</v>
      </c>
      <c r="AC60" s="229">
        <v>4.5999999999999999E-3</v>
      </c>
      <c r="AD60" s="228">
        <v>33.5</v>
      </c>
      <c r="AE60" s="228">
        <v>28.5</v>
      </c>
      <c r="AF60" s="228">
        <v>5</v>
      </c>
      <c r="AG60" s="229">
        <v>4.5999999999999999E-3</v>
      </c>
      <c r="AH60" s="228">
        <v>75</v>
      </c>
      <c r="AI60" s="228">
        <v>68</v>
      </c>
      <c r="AJ60" s="228">
        <v>7</v>
      </c>
      <c r="AK60" s="229">
        <v>1.0200000000000001E-2</v>
      </c>
      <c r="AL60" s="228">
        <v>110.5</v>
      </c>
      <c r="AM60" s="228">
        <v>109.5</v>
      </c>
      <c r="AN60" s="228">
        <v>1</v>
      </c>
      <c r="AO60" s="229">
        <v>1.4999999999999999E-2</v>
      </c>
      <c r="AP60" s="231">
        <v>7355.61</v>
      </c>
      <c r="AQ60" s="231">
        <v>7382.86</v>
      </c>
      <c r="AR60" s="228">
        <v>0</v>
      </c>
      <c r="AS60" s="228">
        <v>314</v>
      </c>
      <c r="AT60" s="228">
        <v>447</v>
      </c>
      <c r="AU60" s="228">
        <v>-133</v>
      </c>
      <c r="AV60" s="229">
        <v>-0.2984</v>
      </c>
      <c r="AW60" s="228">
        <v>296</v>
      </c>
      <c r="AX60" s="228">
        <v>433</v>
      </c>
      <c r="AY60" s="228">
        <v>-137</v>
      </c>
      <c r="AZ60" s="229">
        <v>-0.31609999999999999</v>
      </c>
      <c r="BA60" s="228">
        <v>11</v>
      </c>
      <c r="BB60" s="228">
        <v>10</v>
      </c>
      <c r="BC60" s="228">
        <v>1</v>
      </c>
      <c r="BD60" s="229">
        <v>0.1</v>
      </c>
      <c r="BE60" s="228">
        <v>6</v>
      </c>
      <c r="BF60" s="228">
        <v>3</v>
      </c>
      <c r="BG60" s="228">
        <v>3</v>
      </c>
      <c r="BH60" s="229">
        <v>0.72340000000000004</v>
      </c>
      <c r="BI60" s="230">
        <v>1536</v>
      </c>
      <c r="BJ60" s="230">
        <v>1831</v>
      </c>
      <c r="BK60" s="228">
        <v>-295</v>
      </c>
      <c r="BL60" s="229">
        <v>-0.161</v>
      </c>
      <c r="BM60" s="228">
        <v>714</v>
      </c>
      <c r="BN60" s="228">
        <v>765</v>
      </c>
      <c r="BO60" s="228">
        <v>-50</v>
      </c>
      <c r="BP60" s="229">
        <v>-6.59E-2</v>
      </c>
      <c r="BQ60" s="230">
        <v>2564</v>
      </c>
      <c r="BR60" s="230">
        <v>3043</v>
      </c>
      <c r="BS60" s="228">
        <v>-479</v>
      </c>
      <c r="BT60" s="229">
        <v>-0.1573</v>
      </c>
      <c r="BU60" s="230">
        <v>160097</v>
      </c>
      <c r="BV60" s="230">
        <v>365896</v>
      </c>
      <c r="BW60" s="230">
        <v>-205799</v>
      </c>
      <c r="BX60" s="229">
        <v>-0.5625</v>
      </c>
      <c r="BY60" s="230">
        <v>2187</v>
      </c>
      <c r="BZ60" s="230">
        <v>2169</v>
      </c>
      <c r="CA60" s="228">
        <v>18</v>
      </c>
      <c r="CB60" s="229">
        <v>8.0999999999999996E-3</v>
      </c>
      <c r="CC60" s="230">
        <v>2150</v>
      </c>
      <c r="CD60" s="230">
        <v>2140</v>
      </c>
      <c r="CE60" s="228">
        <v>10</v>
      </c>
      <c r="CF60" s="229">
        <v>4.7000000000000002E-3</v>
      </c>
      <c r="CG60" s="228">
        <v>30</v>
      </c>
      <c r="CH60" s="228">
        <v>27</v>
      </c>
      <c r="CI60" s="228">
        <v>3</v>
      </c>
      <c r="CJ60" s="229">
        <v>0.1298</v>
      </c>
      <c r="CK60" s="228">
        <v>7</v>
      </c>
      <c r="CL60" s="228">
        <v>3</v>
      </c>
      <c r="CM60" s="228">
        <v>4</v>
      </c>
      <c r="CN60" s="229">
        <v>1.4737</v>
      </c>
      <c r="CO60" s="228">
        <v>740</v>
      </c>
      <c r="CP60" s="228">
        <v>698</v>
      </c>
      <c r="CQ60" s="228">
        <v>42</v>
      </c>
      <c r="CR60" s="229">
        <v>5.9499999999999997E-2</v>
      </c>
      <c r="CS60" s="228">
        <v>626</v>
      </c>
      <c r="CT60" s="228">
        <v>565</v>
      </c>
      <c r="CU60" s="228">
        <v>61</v>
      </c>
      <c r="CV60" s="229">
        <v>0.1087</v>
      </c>
      <c r="CW60" s="230">
        <v>3553</v>
      </c>
      <c r="CX60" s="230">
        <v>3432</v>
      </c>
      <c r="CY60" s="228">
        <v>121</v>
      </c>
      <c r="CZ60" s="229">
        <v>3.5099999999999999E-2</v>
      </c>
      <c r="DA60" s="228">
        <v>18.510000000000002</v>
      </c>
      <c r="DB60" s="228">
        <v>19.760000000000002</v>
      </c>
      <c r="DC60" s="228">
        <v>-1.25</v>
      </c>
      <c r="DD60" s="228">
        <v>-1.25</v>
      </c>
      <c r="DE60" s="228">
        <v>26.75</v>
      </c>
      <c r="DF60" s="228">
        <v>26.81</v>
      </c>
      <c r="DG60" s="228">
        <v>-8.24</v>
      </c>
      <c r="DH60" s="228">
        <v>-0.06</v>
      </c>
      <c r="DI60" s="228">
        <v>18.14</v>
      </c>
      <c r="DJ60" s="228">
        <v>19.41</v>
      </c>
      <c r="DK60" s="228">
        <v>-1.27</v>
      </c>
      <c r="DL60" s="228">
        <v>-1.27</v>
      </c>
      <c r="DM60" s="228">
        <v>19.329999999999998</v>
      </c>
      <c r="DN60" s="228">
        <v>20.59</v>
      </c>
      <c r="DO60" s="228">
        <v>-1.26</v>
      </c>
      <c r="DP60" s="228">
        <v>-1.26</v>
      </c>
      <c r="DQ60" s="228">
        <v>0.85</v>
      </c>
      <c r="DR60" s="228">
        <v>0.81</v>
      </c>
      <c r="DS60" s="228">
        <v>0.04</v>
      </c>
      <c r="DT60" s="229">
        <v>4.9399999999999999E-2</v>
      </c>
      <c r="DU60" s="231">
        <v>8100</v>
      </c>
      <c r="DV60" s="231">
        <v>7200</v>
      </c>
      <c r="DW60" s="228">
        <v>0.47</v>
      </c>
      <c r="DX60" s="228">
        <v>0.42</v>
      </c>
      <c r="DY60" s="228">
        <v>0.05</v>
      </c>
      <c r="DZ60" s="229">
        <v>0.11899999999999999</v>
      </c>
      <c r="EA60" s="229">
        <v>1.7000000000000001E-2</v>
      </c>
      <c r="EB60" s="230">
        <v>40000</v>
      </c>
      <c r="EC60" s="229">
        <v>5.5999999999999999E-3</v>
      </c>
      <c r="ED60" s="229">
        <v>1.7000000000000001E-2</v>
      </c>
      <c r="EE60" s="228">
        <v>27.25</v>
      </c>
      <c r="EF60" s="229">
        <v>3.7000000000000002E-3</v>
      </c>
      <c r="EG60" s="230">
        <v>46586</v>
      </c>
      <c r="EH60" s="230">
        <v>196911</v>
      </c>
      <c r="EI60" s="229">
        <v>-0.76339999999999997</v>
      </c>
      <c r="EJ60" s="229">
        <v>0.29099999999999998</v>
      </c>
      <c r="EK60" s="231">
        <v>1578.88</v>
      </c>
      <c r="EL60" s="228">
        <v>699.74</v>
      </c>
      <c r="EM60" s="228">
        <v>312.55</v>
      </c>
      <c r="EN60" s="228">
        <v>173.72</v>
      </c>
      <c r="EO60" s="231">
        <v>2591.1799999999998</v>
      </c>
      <c r="EP60" s="231">
        <v>3060.14</v>
      </c>
      <c r="EQ60" s="228">
        <v>-468.96</v>
      </c>
      <c r="ER60" s="229">
        <v>-0.1532</v>
      </c>
      <c r="ES60" s="228">
        <v>752.6</v>
      </c>
      <c r="ET60" s="228">
        <v>599.55999999999995</v>
      </c>
      <c r="EU60" s="231">
        <v>2187.09</v>
      </c>
      <c r="EV60" s="231">
        <v>19199175</v>
      </c>
      <c r="EW60" s="231">
        <v>3539.25</v>
      </c>
      <c r="EX60" s="231">
        <v>3407.56</v>
      </c>
      <c r="EY60" s="228">
        <v>131.69</v>
      </c>
      <c r="EZ60" s="229">
        <v>3.8600000000000002E-2</v>
      </c>
      <c r="FA60" s="229">
        <v>0.25069999999999998</v>
      </c>
      <c r="FB60" s="227" t="s">
        <v>555</v>
      </c>
      <c r="FC60">
        <f t="shared" si="0"/>
        <v>37</v>
      </c>
    </row>
    <row r="61" spans="1:159" ht="17.25" thickBot="1" x14ac:dyDescent="0.3">
      <c r="A61" s="226">
        <v>46023</v>
      </c>
      <c r="B61" s="227" t="s">
        <v>615</v>
      </c>
      <c r="C61" s="227" t="s">
        <v>667</v>
      </c>
      <c r="D61" s="228">
        <v>2425</v>
      </c>
      <c r="E61" s="228">
        <v>26</v>
      </c>
      <c r="F61" s="228">
        <v>284.89999999999998</v>
      </c>
      <c r="G61" s="228">
        <v>279.8</v>
      </c>
      <c r="H61" s="228">
        <v>5.0999999999999996</v>
      </c>
      <c r="I61" s="229">
        <v>1.8200000000000001E-2</v>
      </c>
      <c r="J61" s="228">
        <v>283.8</v>
      </c>
      <c r="K61" s="228">
        <v>278.05</v>
      </c>
      <c r="L61" s="228">
        <v>5.75</v>
      </c>
      <c r="M61" s="229">
        <v>2.07E-2</v>
      </c>
      <c r="N61" s="228">
        <v>284.89999999999998</v>
      </c>
      <c r="O61" s="228">
        <v>279.8</v>
      </c>
      <c r="P61" s="228">
        <v>5.0999999999999996</v>
      </c>
      <c r="Q61" s="229">
        <v>1.8200000000000001E-2</v>
      </c>
      <c r="R61" s="228">
        <v>286.55</v>
      </c>
      <c r="S61" s="228">
        <v>281.5</v>
      </c>
      <c r="T61" s="228">
        <v>5.05</v>
      </c>
      <c r="U61" s="229">
        <v>1.7899999999999999E-2</v>
      </c>
      <c r="V61" s="228">
        <v>288.45</v>
      </c>
      <c r="W61" s="228">
        <v>283.2</v>
      </c>
      <c r="X61" s="228">
        <v>5.25</v>
      </c>
      <c r="Y61" s="229">
        <v>1.8499999999999999E-2</v>
      </c>
      <c r="Z61" s="228">
        <v>1.1000000000000001</v>
      </c>
      <c r="AA61" s="228">
        <v>1.75</v>
      </c>
      <c r="AB61" s="228">
        <v>-0.65</v>
      </c>
      <c r="AC61" s="229">
        <v>3.8999999999999998E-3</v>
      </c>
      <c r="AD61" s="228">
        <v>1.1000000000000001</v>
      </c>
      <c r="AE61" s="228">
        <v>1.75</v>
      </c>
      <c r="AF61" s="228">
        <v>-0.65</v>
      </c>
      <c r="AG61" s="229">
        <v>3.8999999999999998E-3</v>
      </c>
      <c r="AH61" s="228">
        <v>2.75</v>
      </c>
      <c r="AI61" s="228">
        <v>3.45</v>
      </c>
      <c r="AJ61" s="228">
        <v>-0.7</v>
      </c>
      <c r="AK61" s="229">
        <v>9.7000000000000003E-3</v>
      </c>
      <c r="AL61" s="228">
        <v>4.6500000000000004</v>
      </c>
      <c r="AM61" s="228">
        <v>5.15</v>
      </c>
      <c r="AN61" s="228">
        <v>-0.5</v>
      </c>
      <c r="AO61" s="229">
        <v>1.6400000000000001E-2</v>
      </c>
      <c r="AP61" s="228">
        <v>284.5</v>
      </c>
      <c r="AQ61" s="228">
        <v>285.86</v>
      </c>
      <c r="AR61" s="228">
        <v>0</v>
      </c>
      <c r="AS61" s="228">
        <v>469</v>
      </c>
      <c r="AT61" s="228">
        <v>582</v>
      </c>
      <c r="AU61" s="228">
        <v>-114</v>
      </c>
      <c r="AV61" s="229">
        <v>-0.1953</v>
      </c>
      <c r="AW61" s="228">
        <v>439</v>
      </c>
      <c r="AX61" s="228">
        <v>550</v>
      </c>
      <c r="AY61" s="228">
        <v>-110</v>
      </c>
      <c r="AZ61" s="229">
        <v>-0.2009</v>
      </c>
      <c r="BA61" s="228">
        <v>21</v>
      </c>
      <c r="BB61" s="228">
        <v>29</v>
      </c>
      <c r="BC61" s="228">
        <v>-8</v>
      </c>
      <c r="BD61" s="229">
        <v>-0.26569999999999999</v>
      </c>
      <c r="BE61" s="228">
        <v>8</v>
      </c>
      <c r="BF61" s="228">
        <v>4</v>
      </c>
      <c r="BG61" s="228">
        <v>4</v>
      </c>
      <c r="BH61" s="229">
        <v>1.1455</v>
      </c>
      <c r="BI61" s="230">
        <v>1275</v>
      </c>
      <c r="BJ61" s="230">
        <v>1109</v>
      </c>
      <c r="BK61" s="228">
        <v>167</v>
      </c>
      <c r="BL61" s="229">
        <v>0.1502</v>
      </c>
      <c r="BM61" s="228">
        <v>614</v>
      </c>
      <c r="BN61" s="228">
        <v>824</v>
      </c>
      <c r="BO61" s="228">
        <v>-210</v>
      </c>
      <c r="BP61" s="229">
        <v>-0.255</v>
      </c>
      <c r="BQ61" s="230">
        <v>2357</v>
      </c>
      <c r="BR61" s="230">
        <v>2515</v>
      </c>
      <c r="BS61" s="228">
        <v>-157</v>
      </c>
      <c r="BT61" s="229">
        <v>-6.25E-2</v>
      </c>
      <c r="BU61" s="230">
        <v>13871323</v>
      </c>
      <c r="BV61" s="230">
        <v>24831923</v>
      </c>
      <c r="BW61" s="230">
        <v>-10960600</v>
      </c>
      <c r="BX61" s="229">
        <v>-0.44140000000000001</v>
      </c>
      <c r="BY61" s="230">
        <v>8145</v>
      </c>
      <c r="BZ61" s="230">
        <v>8220</v>
      </c>
      <c r="CA61" s="228">
        <v>-75</v>
      </c>
      <c r="CB61" s="229">
        <v>-9.1000000000000004E-3</v>
      </c>
      <c r="CC61" s="230">
        <v>8009</v>
      </c>
      <c r="CD61" s="230">
        <v>8089</v>
      </c>
      <c r="CE61" s="228">
        <v>-80</v>
      </c>
      <c r="CF61" s="229">
        <v>-9.7999999999999997E-3</v>
      </c>
      <c r="CG61" s="228">
        <v>129</v>
      </c>
      <c r="CH61" s="228">
        <v>129</v>
      </c>
      <c r="CI61" s="228">
        <v>0</v>
      </c>
      <c r="CJ61" s="229">
        <v>0</v>
      </c>
      <c r="CK61" s="228">
        <v>7</v>
      </c>
      <c r="CL61" s="228">
        <v>2</v>
      </c>
      <c r="CM61" s="228">
        <v>5</v>
      </c>
      <c r="CN61" s="229">
        <v>1.9142999999999999</v>
      </c>
      <c r="CO61" s="228">
        <v>970</v>
      </c>
      <c r="CP61" s="228">
        <v>902</v>
      </c>
      <c r="CQ61" s="228">
        <v>68</v>
      </c>
      <c r="CR61" s="229">
        <v>7.5300000000000006E-2</v>
      </c>
      <c r="CS61" s="228">
        <v>852</v>
      </c>
      <c r="CT61" s="228">
        <v>766</v>
      </c>
      <c r="CU61" s="228">
        <v>86</v>
      </c>
      <c r="CV61" s="229">
        <v>0.112</v>
      </c>
      <c r="CW61" s="230">
        <v>9967</v>
      </c>
      <c r="CX61" s="230">
        <v>9888</v>
      </c>
      <c r="CY61" s="228">
        <v>79</v>
      </c>
      <c r="CZ61" s="229">
        <v>8.0000000000000002E-3</v>
      </c>
      <c r="DA61" s="228">
        <v>29.2</v>
      </c>
      <c r="DB61" s="228">
        <v>30.52</v>
      </c>
      <c r="DC61" s="228">
        <v>-1.32</v>
      </c>
      <c r="DD61" s="228">
        <v>-1.32</v>
      </c>
      <c r="DE61" s="228">
        <v>43.08</v>
      </c>
      <c r="DF61" s="228">
        <v>43.1</v>
      </c>
      <c r="DG61" s="228">
        <v>-13.88</v>
      </c>
      <c r="DH61" s="228">
        <v>-0.02</v>
      </c>
      <c r="DI61" s="228">
        <v>28.76</v>
      </c>
      <c r="DJ61" s="228">
        <v>30.3</v>
      </c>
      <c r="DK61" s="228">
        <v>-1.54</v>
      </c>
      <c r="DL61" s="228">
        <v>-1.54</v>
      </c>
      <c r="DM61" s="228">
        <v>30.11</v>
      </c>
      <c r="DN61" s="228">
        <v>30.81</v>
      </c>
      <c r="DO61" s="228">
        <v>-0.7</v>
      </c>
      <c r="DP61" s="228">
        <v>-0.7</v>
      </c>
      <c r="DQ61" s="228">
        <v>0.88</v>
      </c>
      <c r="DR61" s="228">
        <v>0.85</v>
      </c>
      <c r="DS61" s="228">
        <v>0.03</v>
      </c>
      <c r="DT61" s="229">
        <v>3.5299999999999998E-2</v>
      </c>
      <c r="DU61" s="228">
        <v>290</v>
      </c>
      <c r="DV61" s="228">
        <v>280</v>
      </c>
      <c r="DW61" s="228">
        <v>0.48</v>
      </c>
      <c r="DX61" s="228">
        <v>0.74</v>
      </c>
      <c r="DY61" s="228">
        <v>-0.26</v>
      </c>
      <c r="DZ61" s="229">
        <v>-0.35139999999999999</v>
      </c>
      <c r="EA61" s="229">
        <v>1.66E-2</v>
      </c>
      <c r="EB61" s="230">
        <v>4595375</v>
      </c>
      <c r="EC61" s="229">
        <v>5.7999999999999996E-3</v>
      </c>
      <c r="ED61" s="229">
        <v>1.66E-2</v>
      </c>
      <c r="EE61" s="228">
        <v>1.36</v>
      </c>
      <c r="EF61" s="229">
        <v>4.7999999999999996E-3</v>
      </c>
      <c r="EG61" s="230">
        <v>6672082</v>
      </c>
      <c r="EH61" s="230">
        <v>15431018</v>
      </c>
      <c r="EI61" s="229">
        <v>-0.56759999999999999</v>
      </c>
      <c r="EJ61" s="229">
        <v>0.48099999999999998</v>
      </c>
      <c r="EK61" s="231">
        <v>1339.45</v>
      </c>
      <c r="EL61" s="228">
        <v>599.9</v>
      </c>
      <c r="EM61" s="228">
        <v>468.17</v>
      </c>
      <c r="EN61" s="228">
        <v>404.88</v>
      </c>
      <c r="EO61" s="231">
        <v>2407.5100000000002</v>
      </c>
      <c r="EP61" s="231">
        <v>2531.29</v>
      </c>
      <c r="EQ61" s="228">
        <v>-123.78</v>
      </c>
      <c r="ER61" s="229">
        <v>-4.8899999999999999E-2</v>
      </c>
      <c r="ES61" s="231">
        <v>1018.87</v>
      </c>
      <c r="ET61" s="228">
        <v>831.48</v>
      </c>
      <c r="EU61" s="231">
        <v>8145.78</v>
      </c>
      <c r="EV61" s="231">
        <v>1251309857</v>
      </c>
      <c r="EW61" s="231">
        <v>9996.1299999999992</v>
      </c>
      <c r="EX61" s="231">
        <v>9769.69</v>
      </c>
      <c r="EY61" s="228">
        <v>226.44</v>
      </c>
      <c r="EZ61" s="229">
        <v>2.3199999999999998E-2</v>
      </c>
      <c r="FA61" s="229">
        <v>0.27960000000000002</v>
      </c>
      <c r="FB61" s="227" t="s">
        <v>556</v>
      </c>
      <c r="FC61">
        <f t="shared" si="0"/>
        <v>136</v>
      </c>
    </row>
    <row r="62" spans="1:159" ht="17.25" thickBot="1" x14ac:dyDescent="0.3">
      <c r="A62" s="226">
        <v>46023</v>
      </c>
      <c r="B62" s="227" t="s">
        <v>162</v>
      </c>
      <c r="C62" s="227" t="s">
        <v>211</v>
      </c>
      <c r="D62" s="228">
        <v>1800</v>
      </c>
      <c r="E62" s="228">
        <v>26</v>
      </c>
      <c r="F62" s="228">
        <v>365.2</v>
      </c>
      <c r="G62" s="228">
        <v>364.65</v>
      </c>
      <c r="H62" s="228">
        <v>0.55000000000000004</v>
      </c>
      <c r="I62" s="229">
        <v>1.5E-3</v>
      </c>
      <c r="J62" s="228">
        <v>363.25</v>
      </c>
      <c r="K62" s="228">
        <v>362.2</v>
      </c>
      <c r="L62" s="228">
        <v>1.05</v>
      </c>
      <c r="M62" s="229">
        <v>2.8999999999999998E-3</v>
      </c>
      <c r="N62" s="228">
        <v>365.2</v>
      </c>
      <c r="O62" s="228">
        <v>364.65</v>
      </c>
      <c r="P62" s="228">
        <v>0.55000000000000004</v>
      </c>
      <c r="Q62" s="229">
        <v>1.5E-3</v>
      </c>
      <c r="R62" s="228">
        <v>367.6</v>
      </c>
      <c r="S62" s="228">
        <v>366.55</v>
      </c>
      <c r="T62" s="228">
        <v>1.05</v>
      </c>
      <c r="U62" s="229">
        <v>2.8999999999999998E-3</v>
      </c>
      <c r="V62" s="228">
        <v>370.45</v>
      </c>
      <c r="W62" s="228">
        <v>364.1</v>
      </c>
      <c r="X62" s="228">
        <v>6.35</v>
      </c>
      <c r="Y62" s="229">
        <v>1.7399999999999999E-2</v>
      </c>
      <c r="Z62" s="228">
        <v>1.95</v>
      </c>
      <c r="AA62" s="228">
        <v>2.4500000000000002</v>
      </c>
      <c r="AB62" s="228">
        <v>-0.5</v>
      </c>
      <c r="AC62" s="229">
        <v>5.4000000000000003E-3</v>
      </c>
      <c r="AD62" s="228">
        <v>1.95</v>
      </c>
      <c r="AE62" s="228">
        <v>2.4500000000000002</v>
      </c>
      <c r="AF62" s="228">
        <v>-0.5</v>
      </c>
      <c r="AG62" s="229">
        <v>5.4000000000000003E-3</v>
      </c>
      <c r="AH62" s="228">
        <v>4.3499999999999996</v>
      </c>
      <c r="AI62" s="228">
        <v>4.3499999999999996</v>
      </c>
      <c r="AJ62" s="228">
        <v>0</v>
      </c>
      <c r="AK62" s="229">
        <v>1.2E-2</v>
      </c>
      <c r="AL62" s="228">
        <v>7.2</v>
      </c>
      <c r="AM62" s="228">
        <v>1.9</v>
      </c>
      <c r="AN62" s="228">
        <v>5.3</v>
      </c>
      <c r="AO62" s="229">
        <v>1.9800000000000002E-2</v>
      </c>
      <c r="AP62" s="228">
        <v>364.82</v>
      </c>
      <c r="AQ62" s="228">
        <v>367</v>
      </c>
      <c r="AR62" s="228">
        <v>0</v>
      </c>
      <c r="AS62" s="228">
        <v>65</v>
      </c>
      <c r="AT62" s="228">
        <v>100</v>
      </c>
      <c r="AU62" s="228">
        <v>-35</v>
      </c>
      <c r="AV62" s="229">
        <v>-0.34960000000000002</v>
      </c>
      <c r="AW62" s="228">
        <v>58</v>
      </c>
      <c r="AX62" s="228">
        <v>95</v>
      </c>
      <c r="AY62" s="228">
        <v>-37</v>
      </c>
      <c r="AZ62" s="229">
        <v>-0.38779999999999998</v>
      </c>
      <c r="BA62" s="228">
        <v>6</v>
      </c>
      <c r="BB62" s="228">
        <v>5</v>
      </c>
      <c r="BC62" s="228">
        <v>1</v>
      </c>
      <c r="BD62" s="229">
        <v>0.30430000000000001</v>
      </c>
      <c r="BE62" s="228">
        <v>1</v>
      </c>
      <c r="BF62" s="228">
        <v>0</v>
      </c>
      <c r="BG62" s="228">
        <v>1</v>
      </c>
      <c r="BH62" s="229">
        <v>3</v>
      </c>
      <c r="BI62" s="228">
        <v>195</v>
      </c>
      <c r="BJ62" s="228">
        <v>236</v>
      </c>
      <c r="BK62" s="228">
        <v>-41</v>
      </c>
      <c r="BL62" s="229">
        <v>-0.17399999999999999</v>
      </c>
      <c r="BM62" s="228">
        <v>64</v>
      </c>
      <c r="BN62" s="228">
        <v>98</v>
      </c>
      <c r="BO62" s="228">
        <v>-35</v>
      </c>
      <c r="BP62" s="229">
        <v>-0.3518</v>
      </c>
      <c r="BQ62" s="228">
        <v>323</v>
      </c>
      <c r="BR62" s="228">
        <v>434</v>
      </c>
      <c r="BS62" s="228">
        <v>-110</v>
      </c>
      <c r="BT62" s="229">
        <v>-0.25459999999999999</v>
      </c>
      <c r="BU62" s="230">
        <v>647360</v>
      </c>
      <c r="BV62" s="230">
        <v>757394</v>
      </c>
      <c r="BW62" s="230">
        <v>-110034</v>
      </c>
      <c r="BX62" s="229">
        <v>-0.14530000000000001</v>
      </c>
      <c r="BY62" s="230">
        <v>1132</v>
      </c>
      <c r="BZ62" s="230">
        <v>1129</v>
      </c>
      <c r="CA62" s="228">
        <v>2</v>
      </c>
      <c r="CB62" s="229">
        <v>1.9E-3</v>
      </c>
      <c r="CC62" s="230">
        <v>1087</v>
      </c>
      <c r="CD62" s="230">
        <v>1088</v>
      </c>
      <c r="CE62" s="228">
        <v>-1</v>
      </c>
      <c r="CF62" s="229">
        <v>-8.0000000000000004E-4</v>
      </c>
      <c r="CG62" s="228">
        <v>44</v>
      </c>
      <c r="CH62" s="228">
        <v>41</v>
      </c>
      <c r="CI62" s="228">
        <v>2</v>
      </c>
      <c r="CJ62" s="229">
        <v>5.3900000000000003E-2</v>
      </c>
      <c r="CK62" s="228">
        <v>1</v>
      </c>
      <c r="CL62" s="228">
        <v>0</v>
      </c>
      <c r="CM62" s="228">
        <v>1</v>
      </c>
      <c r="CN62" s="229">
        <v>4</v>
      </c>
      <c r="CO62" s="228">
        <v>336</v>
      </c>
      <c r="CP62" s="228">
        <v>314</v>
      </c>
      <c r="CQ62" s="228">
        <v>22</v>
      </c>
      <c r="CR62" s="229">
        <v>6.9400000000000003E-2</v>
      </c>
      <c r="CS62" s="228">
        <v>256</v>
      </c>
      <c r="CT62" s="228">
        <v>241</v>
      </c>
      <c r="CU62" s="228">
        <v>16</v>
      </c>
      <c r="CV62" s="229">
        <v>6.5000000000000002E-2</v>
      </c>
      <c r="CW62" s="230">
        <v>1724</v>
      </c>
      <c r="CX62" s="230">
        <v>1685</v>
      </c>
      <c r="CY62" s="228">
        <v>40</v>
      </c>
      <c r="CZ62" s="229">
        <v>2.35E-2</v>
      </c>
      <c r="DA62" s="228">
        <v>20.5</v>
      </c>
      <c r="DB62" s="228">
        <v>21.07</v>
      </c>
      <c r="DC62" s="228">
        <v>-0.56999999999999995</v>
      </c>
      <c r="DD62" s="228">
        <v>-0.56999999999999995</v>
      </c>
      <c r="DE62" s="228">
        <v>32.92</v>
      </c>
      <c r="DF62" s="228">
        <v>33</v>
      </c>
      <c r="DG62" s="228">
        <v>-12.42</v>
      </c>
      <c r="DH62" s="228">
        <v>-0.08</v>
      </c>
      <c r="DI62" s="228">
        <v>20.41</v>
      </c>
      <c r="DJ62" s="228">
        <v>20.8</v>
      </c>
      <c r="DK62" s="228">
        <v>-0.39</v>
      </c>
      <c r="DL62" s="228">
        <v>-0.39</v>
      </c>
      <c r="DM62" s="228">
        <v>20.77</v>
      </c>
      <c r="DN62" s="228">
        <v>21.74</v>
      </c>
      <c r="DO62" s="228">
        <v>-0.97</v>
      </c>
      <c r="DP62" s="228">
        <v>-0.97</v>
      </c>
      <c r="DQ62" s="228">
        <v>0.76</v>
      </c>
      <c r="DR62" s="228">
        <v>0.77</v>
      </c>
      <c r="DS62" s="228">
        <v>-0.01</v>
      </c>
      <c r="DT62" s="229">
        <v>-1.2999999999999999E-2</v>
      </c>
      <c r="DU62" s="228">
        <v>370</v>
      </c>
      <c r="DV62" s="228">
        <v>340</v>
      </c>
      <c r="DW62" s="228">
        <v>0.33</v>
      </c>
      <c r="DX62" s="228">
        <v>0.42</v>
      </c>
      <c r="DY62" s="228">
        <v>-0.09</v>
      </c>
      <c r="DZ62" s="229">
        <v>-0.21429999999999999</v>
      </c>
      <c r="EA62" s="229">
        <v>3.95E-2</v>
      </c>
      <c r="EB62" s="230">
        <v>1141200</v>
      </c>
      <c r="EC62" s="229">
        <v>6.6E-3</v>
      </c>
      <c r="ED62" s="229">
        <v>3.95E-2</v>
      </c>
      <c r="EE62" s="228">
        <v>2.1800000000000002</v>
      </c>
      <c r="EF62" s="229">
        <v>6.0000000000000001E-3</v>
      </c>
      <c r="EG62" s="230">
        <v>375325</v>
      </c>
      <c r="EH62" s="230">
        <v>272928</v>
      </c>
      <c r="EI62" s="229">
        <v>0.37519999999999998</v>
      </c>
      <c r="EJ62" s="229">
        <v>0.57979999999999998</v>
      </c>
      <c r="EK62" s="228">
        <v>200.39</v>
      </c>
      <c r="EL62" s="228">
        <v>62.71</v>
      </c>
      <c r="EM62" s="228">
        <v>64.790000000000006</v>
      </c>
      <c r="EN62" s="228">
        <v>81.7</v>
      </c>
      <c r="EO62" s="228">
        <v>327.89</v>
      </c>
      <c r="EP62" s="228">
        <v>438.67</v>
      </c>
      <c r="EQ62" s="228">
        <v>-110.79</v>
      </c>
      <c r="ER62" s="229">
        <v>-0.2525</v>
      </c>
      <c r="ES62" s="228">
        <v>349.53</v>
      </c>
      <c r="ET62" s="228">
        <v>257.77</v>
      </c>
      <c r="EU62" s="231">
        <v>1131.95</v>
      </c>
      <c r="EV62" s="231">
        <v>68856800</v>
      </c>
      <c r="EW62" s="231">
        <v>1739.25</v>
      </c>
      <c r="EX62" s="231">
        <v>1697.75</v>
      </c>
      <c r="EY62" s="228">
        <v>41.5</v>
      </c>
      <c r="EZ62" s="229">
        <v>2.4400000000000002E-2</v>
      </c>
      <c r="FA62" s="229">
        <v>0.68569999999999998</v>
      </c>
      <c r="FB62" s="227" t="s">
        <v>555</v>
      </c>
      <c r="FC62">
        <f t="shared" si="0"/>
        <v>45</v>
      </c>
    </row>
    <row r="63" spans="1:159" ht="17.25" thickBot="1" x14ac:dyDescent="0.3">
      <c r="A63" s="226">
        <v>46023</v>
      </c>
      <c r="B63" s="227" t="s">
        <v>172</v>
      </c>
      <c r="C63" s="227" t="s">
        <v>212</v>
      </c>
      <c r="D63" s="228">
        <v>5000</v>
      </c>
      <c r="E63" s="228">
        <v>26</v>
      </c>
      <c r="F63" s="228">
        <v>266.85000000000002</v>
      </c>
      <c r="G63" s="228">
        <v>267.39999999999998</v>
      </c>
      <c r="H63" s="228">
        <v>-0.55000000000000004</v>
      </c>
      <c r="I63" s="229">
        <v>-2.0999999999999999E-3</v>
      </c>
      <c r="J63" s="228">
        <v>266.25</v>
      </c>
      <c r="K63" s="228">
        <v>267.10000000000002</v>
      </c>
      <c r="L63" s="228">
        <v>-0.85</v>
      </c>
      <c r="M63" s="229">
        <v>-3.2000000000000002E-3</v>
      </c>
      <c r="N63" s="228">
        <v>266.85000000000002</v>
      </c>
      <c r="O63" s="228">
        <v>267.39999999999998</v>
      </c>
      <c r="P63" s="228">
        <v>-0.55000000000000004</v>
      </c>
      <c r="Q63" s="229">
        <v>-2.0999999999999999E-3</v>
      </c>
      <c r="R63" s="228">
        <v>268</v>
      </c>
      <c r="S63" s="228">
        <v>268.39999999999998</v>
      </c>
      <c r="T63" s="228">
        <v>-0.4</v>
      </c>
      <c r="U63" s="229">
        <v>-1.5E-3</v>
      </c>
      <c r="V63" s="228">
        <v>269.05</v>
      </c>
      <c r="W63" s="228">
        <v>269.14999999999998</v>
      </c>
      <c r="X63" s="228">
        <v>-0.1</v>
      </c>
      <c r="Y63" s="229">
        <v>-4.0000000000000002E-4</v>
      </c>
      <c r="Z63" s="228">
        <v>0.6</v>
      </c>
      <c r="AA63" s="228">
        <v>0.3</v>
      </c>
      <c r="AB63" s="228">
        <v>0.3</v>
      </c>
      <c r="AC63" s="229">
        <v>2.3E-3</v>
      </c>
      <c r="AD63" s="228">
        <v>0.6</v>
      </c>
      <c r="AE63" s="228">
        <v>0.3</v>
      </c>
      <c r="AF63" s="228">
        <v>0.3</v>
      </c>
      <c r="AG63" s="229">
        <v>2.3E-3</v>
      </c>
      <c r="AH63" s="228">
        <v>1.75</v>
      </c>
      <c r="AI63" s="228">
        <v>1.3</v>
      </c>
      <c r="AJ63" s="228">
        <v>0.45</v>
      </c>
      <c r="AK63" s="229">
        <v>6.6E-3</v>
      </c>
      <c r="AL63" s="228">
        <v>2.8</v>
      </c>
      <c r="AM63" s="228">
        <v>2.0499999999999998</v>
      </c>
      <c r="AN63" s="228">
        <v>0.75</v>
      </c>
      <c r="AO63" s="229">
        <v>1.0500000000000001E-2</v>
      </c>
      <c r="AP63" s="228">
        <v>266.72000000000003</v>
      </c>
      <c r="AQ63" s="228">
        <v>267.98</v>
      </c>
      <c r="AR63" s="228">
        <v>0</v>
      </c>
      <c r="AS63" s="228">
        <v>189</v>
      </c>
      <c r="AT63" s="228">
        <v>398</v>
      </c>
      <c r="AU63" s="228">
        <v>-208</v>
      </c>
      <c r="AV63" s="229">
        <v>-0.52359999999999995</v>
      </c>
      <c r="AW63" s="228">
        <v>178</v>
      </c>
      <c r="AX63" s="228">
        <v>362</v>
      </c>
      <c r="AY63" s="228">
        <v>-184</v>
      </c>
      <c r="AZ63" s="229">
        <v>-0.50760000000000005</v>
      </c>
      <c r="BA63" s="228">
        <v>10</v>
      </c>
      <c r="BB63" s="228">
        <v>27</v>
      </c>
      <c r="BC63" s="228">
        <v>-17</v>
      </c>
      <c r="BD63" s="229">
        <v>-0.63549999999999995</v>
      </c>
      <c r="BE63" s="228">
        <v>1</v>
      </c>
      <c r="BF63" s="228">
        <v>9</v>
      </c>
      <c r="BG63" s="228">
        <v>-7</v>
      </c>
      <c r="BH63" s="229">
        <v>-0.84619999999999995</v>
      </c>
      <c r="BI63" s="228">
        <v>506</v>
      </c>
      <c r="BJ63" s="228">
        <v>836</v>
      </c>
      <c r="BK63" s="228">
        <v>-331</v>
      </c>
      <c r="BL63" s="229">
        <v>-0.39539999999999997</v>
      </c>
      <c r="BM63" s="228">
        <v>346</v>
      </c>
      <c r="BN63" s="228">
        <v>488</v>
      </c>
      <c r="BO63" s="228">
        <v>-142</v>
      </c>
      <c r="BP63" s="229">
        <v>-0.29139999999999999</v>
      </c>
      <c r="BQ63" s="230">
        <v>1041</v>
      </c>
      <c r="BR63" s="230">
        <v>1722</v>
      </c>
      <c r="BS63" s="228">
        <v>-681</v>
      </c>
      <c r="BT63" s="229">
        <v>-0.39560000000000001</v>
      </c>
      <c r="BU63" s="230">
        <v>2949039</v>
      </c>
      <c r="BV63" s="230">
        <v>6313855</v>
      </c>
      <c r="BW63" s="230">
        <v>-3364816</v>
      </c>
      <c r="BX63" s="229">
        <v>-0.53290000000000004</v>
      </c>
      <c r="BY63" s="230">
        <v>1443</v>
      </c>
      <c r="BZ63" s="230">
        <v>1450</v>
      </c>
      <c r="CA63" s="228">
        <v>-7</v>
      </c>
      <c r="CB63" s="229">
        <v>-4.7000000000000002E-3</v>
      </c>
      <c r="CC63" s="230">
        <v>1390</v>
      </c>
      <c r="CD63" s="230">
        <v>1399</v>
      </c>
      <c r="CE63" s="228">
        <v>-10</v>
      </c>
      <c r="CF63" s="229">
        <v>-7.0000000000000001E-3</v>
      </c>
      <c r="CG63" s="228">
        <v>44</v>
      </c>
      <c r="CH63" s="228">
        <v>42</v>
      </c>
      <c r="CI63" s="228">
        <v>2</v>
      </c>
      <c r="CJ63" s="229">
        <v>4.3999999999999997E-2</v>
      </c>
      <c r="CK63" s="228">
        <v>9</v>
      </c>
      <c r="CL63" s="228">
        <v>8</v>
      </c>
      <c r="CM63" s="228">
        <v>1</v>
      </c>
      <c r="CN63" s="229">
        <v>0.13109999999999999</v>
      </c>
      <c r="CO63" s="228">
        <v>531</v>
      </c>
      <c r="CP63" s="228">
        <v>485</v>
      </c>
      <c r="CQ63" s="228">
        <v>46</v>
      </c>
      <c r="CR63" s="229">
        <v>9.5500000000000002E-2</v>
      </c>
      <c r="CS63" s="228">
        <v>472</v>
      </c>
      <c r="CT63" s="228">
        <v>393</v>
      </c>
      <c r="CU63" s="228">
        <v>79</v>
      </c>
      <c r="CV63" s="229">
        <v>0.2016</v>
      </c>
      <c r="CW63" s="230">
        <v>2446</v>
      </c>
      <c r="CX63" s="230">
        <v>2327</v>
      </c>
      <c r="CY63" s="228">
        <v>119</v>
      </c>
      <c r="CZ63" s="229">
        <v>5.0999999999999997E-2</v>
      </c>
      <c r="DA63" s="228">
        <v>22.63</v>
      </c>
      <c r="DB63" s="228">
        <v>21.95</v>
      </c>
      <c r="DC63" s="228">
        <v>0.68</v>
      </c>
      <c r="DD63" s="228">
        <v>0.68</v>
      </c>
      <c r="DE63" s="228">
        <v>27.95</v>
      </c>
      <c r="DF63" s="228">
        <v>28.02</v>
      </c>
      <c r="DG63" s="228">
        <v>-5.32</v>
      </c>
      <c r="DH63" s="228">
        <v>-7.0000000000000007E-2</v>
      </c>
      <c r="DI63" s="228">
        <v>22.45</v>
      </c>
      <c r="DJ63" s="228">
        <v>21.83</v>
      </c>
      <c r="DK63" s="228">
        <v>0.62</v>
      </c>
      <c r="DL63" s="228">
        <v>0.62</v>
      </c>
      <c r="DM63" s="228">
        <v>22.88</v>
      </c>
      <c r="DN63" s="228">
        <v>22.17</v>
      </c>
      <c r="DO63" s="228">
        <v>0.71</v>
      </c>
      <c r="DP63" s="228">
        <v>0.71</v>
      </c>
      <c r="DQ63" s="228">
        <v>0.89</v>
      </c>
      <c r="DR63" s="228">
        <v>0.81</v>
      </c>
      <c r="DS63" s="228">
        <v>0.08</v>
      </c>
      <c r="DT63" s="229">
        <v>9.8799999999999999E-2</v>
      </c>
      <c r="DU63" s="228">
        <v>270</v>
      </c>
      <c r="DV63" s="228">
        <v>260</v>
      </c>
      <c r="DW63" s="228">
        <v>0.68</v>
      </c>
      <c r="DX63" s="228">
        <v>0.57999999999999996</v>
      </c>
      <c r="DY63" s="228">
        <v>0.1</v>
      </c>
      <c r="DZ63" s="229">
        <v>0.1724</v>
      </c>
      <c r="EA63" s="229">
        <v>3.7100000000000001E-2</v>
      </c>
      <c r="EB63" s="230">
        <v>1895000</v>
      </c>
      <c r="EC63" s="229">
        <v>4.3E-3</v>
      </c>
      <c r="ED63" s="229">
        <v>3.7100000000000001E-2</v>
      </c>
      <c r="EE63" s="228">
        <v>1.26</v>
      </c>
      <c r="EF63" s="229">
        <v>4.7000000000000002E-3</v>
      </c>
      <c r="EG63" s="230">
        <v>1392268</v>
      </c>
      <c r="EH63" s="230">
        <v>3921579</v>
      </c>
      <c r="EI63" s="229">
        <v>-0.64500000000000002</v>
      </c>
      <c r="EJ63" s="229">
        <v>0.47210000000000002</v>
      </c>
      <c r="EK63" s="228">
        <v>530.19000000000005</v>
      </c>
      <c r="EL63" s="228">
        <v>340.27</v>
      </c>
      <c r="EM63" s="228">
        <v>189.43</v>
      </c>
      <c r="EN63" s="228">
        <v>96.31</v>
      </c>
      <c r="EO63" s="231">
        <v>1059.8900000000001</v>
      </c>
      <c r="EP63" s="231">
        <v>1757.58</v>
      </c>
      <c r="EQ63" s="228">
        <v>-697.69</v>
      </c>
      <c r="ER63" s="229">
        <v>-0.39700000000000002</v>
      </c>
      <c r="ES63" s="228">
        <v>543.58000000000004</v>
      </c>
      <c r="ET63" s="228">
        <v>454.22</v>
      </c>
      <c r="EU63" s="231">
        <v>1443.53</v>
      </c>
      <c r="EV63" s="231">
        <v>320636733</v>
      </c>
      <c r="EW63" s="231">
        <v>2441.3200000000002</v>
      </c>
      <c r="EX63" s="231">
        <v>2326.7600000000002</v>
      </c>
      <c r="EY63" s="228">
        <v>114.56</v>
      </c>
      <c r="EZ63" s="229">
        <v>4.9200000000000001E-2</v>
      </c>
      <c r="FA63" s="229">
        <v>0.28589999999999999</v>
      </c>
      <c r="FB63" s="227" t="s">
        <v>568</v>
      </c>
      <c r="FC63">
        <f t="shared" si="0"/>
        <v>53</v>
      </c>
    </row>
    <row r="64" spans="1:159" ht="17.25" thickBot="1" x14ac:dyDescent="0.3">
      <c r="A64" s="226">
        <v>46023</v>
      </c>
      <c r="B64" s="227" t="s">
        <v>181</v>
      </c>
      <c r="C64" s="227" t="s">
        <v>480</v>
      </c>
      <c r="D64" s="228">
        <v>60</v>
      </c>
      <c r="E64" s="228">
        <v>26</v>
      </c>
      <c r="F64" s="231">
        <v>27798.3</v>
      </c>
      <c r="G64" s="231">
        <v>27763.599999999999</v>
      </c>
      <c r="H64" s="228">
        <v>34.700000000000003</v>
      </c>
      <c r="I64" s="229">
        <v>1.1999999999999999E-3</v>
      </c>
      <c r="J64" s="231">
        <v>27666.799999999999</v>
      </c>
      <c r="K64" s="231">
        <v>27613.3</v>
      </c>
      <c r="L64" s="228">
        <v>53.5</v>
      </c>
      <c r="M64" s="229">
        <v>1.9E-3</v>
      </c>
      <c r="N64" s="231">
        <v>27798.3</v>
      </c>
      <c r="O64" s="231">
        <v>27763.599999999999</v>
      </c>
      <c r="P64" s="228">
        <v>34.700000000000003</v>
      </c>
      <c r="Q64" s="229">
        <v>1.1999999999999999E-3</v>
      </c>
      <c r="R64" s="231">
        <v>27960.400000000001</v>
      </c>
      <c r="S64" s="231">
        <v>27960.400000000001</v>
      </c>
      <c r="T64" s="228">
        <v>0</v>
      </c>
      <c r="U64" s="229">
        <v>0</v>
      </c>
      <c r="V64" s="228">
        <v>0</v>
      </c>
      <c r="W64" s="228">
        <v>0</v>
      </c>
      <c r="X64" s="228">
        <v>0</v>
      </c>
      <c r="Y64" s="229">
        <v>0</v>
      </c>
      <c r="Z64" s="228">
        <v>131.5</v>
      </c>
      <c r="AA64" s="228">
        <v>150.30000000000001</v>
      </c>
      <c r="AB64" s="228">
        <v>-18.8</v>
      </c>
      <c r="AC64" s="229">
        <v>4.7999999999999996E-3</v>
      </c>
      <c r="AD64" s="228">
        <v>131.5</v>
      </c>
      <c r="AE64" s="228">
        <v>150.30000000000001</v>
      </c>
      <c r="AF64" s="228">
        <v>-18.8</v>
      </c>
      <c r="AG64" s="229">
        <v>4.7999999999999996E-3</v>
      </c>
      <c r="AH64" s="228">
        <v>293.60000000000002</v>
      </c>
      <c r="AI64" s="228">
        <v>347.1</v>
      </c>
      <c r="AJ64" s="228">
        <v>-53.5</v>
      </c>
      <c r="AK64" s="229">
        <v>1.06E-2</v>
      </c>
      <c r="AL64" s="228">
        <v>0</v>
      </c>
      <c r="AM64" s="228">
        <v>0</v>
      </c>
      <c r="AN64" s="228">
        <v>0</v>
      </c>
      <c r="AO64" s="229">
        <v>0</v>
      </c>
      <c r="AP64" s="231">
        <v>27779.55</v>
      </c>
      <c r="AQ64" s="231">
        <v>27960.400000000001</v>
      </c>
      <c r="AR64" s="228">
        <v>0</v>
      </c>
      <c r="AS64" s="228">
        <v>33</v>
      </c>
      <c r="AT64" s="228">
        <v>76</v>
      </c>
      <c r="AU64" s="228">
        <v>-43</v>
      </c>
      <c r="AV64" s="229">
        <v>-0.56479999999999997</v>
      </c>
      <c r="AW64" s="228">
        <v>33</v>
      </c>
      <c r="AX64" s="228">
        <v>75</v>
      </c>
      <c r="AY64" s="228">
        <v>-42</v>
      </c>
      <c r="AZ64" s="229">
        <v>-0.56189999999999996</v>
      </c>
      <c r="BA64" s="228">
        <v>0</v>
      </c>
      <c r="BB64" s="228">
        <v>1</v>
      </c>
      <c r="BC64" s="228">
        <v>-1</v>
      </c>
      <c r="BD64" s="229">
        <v>-1</v>
      </c>
      <c r="BE64" s="228">
        <v>0</v>
      </c>
      <c r="BF64" s="228">
        <v>0</v>
      </c>
      <c r="BG64" s="228">
        <v>0</v>
      </c>
      <c r="BH64" s="229">
        <v>0</v>
      </c>
      <c r="BI64" s="228">
        <v>872</v>
      </c>
      <c r="BJ64" s="230">
        <v>1453</v>
      </c>
      <c r="BK64" s="228">
        <v>-580</v>
      </c>
      <c r="BL64" s="229">
        <v>-0.39939999999999998</v>
      </c>
      <c r="BM64" s="228">
        <v>939</v>
      </c>
      <c r="BN64" s="230">
        <v>1150</v>
      </c>
      <c r="BO64" s="228">
        <v>-211</v>
      </c>
      <c r="BP64" s="229">
        <v>-0.18379999999999999</v>
      </c>
      <c r="BQ64" s="230">
        <v>1844</v>
      </c>
      <c r="BR64" s="230">
        <v>2678</v>
      </c>
      <c r="BS64" s="228">
        <v>-834</v>
      </c>
      <c r="BT64" s="229">
        <v>-0.3115</v>
      </c>
      <c r="BU64" s="228">
        <v>0</v>
      </c>
      <c r="BV64" s="228">
        <v>0</v>
      </c>
      <c r="BW64" s="228">
        <v>0</v>
      </c>
      <c r="BX64" s="229">
        <v>0</v>
      </c>
      <c r="BY64" s="228">
        <v>98</v>
      </c>
      <c r="BZ64" s="228">
        <v>88</v>
      </c>
      <c r="CA64" s="228">
        <v>10</v>
      </c>
      <c r="CB64" s="229">
        <v>0.1176</v>
      </c>
      <c r="CC64" s="228">
        <v>98</v>
      </c>
      <c r="CD64" s="228">
        <v>88</v>
      </c>
      <c r="CE64" s="228">
        <v>10</v>
      </c>
      <c r="CF64" s="229">
        <v>0.1181</v>
      </c>
      <c r="CG64" s="228">
        <v>0</v>
      </c>
      <c r="CH64" s="228">
        <v>0</v>
      </c>
      <c r="CI64" s="228">
        <v>0</v>
      </c>
      <c r="CJ64" s="229">
        <v>0</v>
      </c>
      <c r="CK64" s="228">
        <v>0</v>
      </c>
      <c r="CL64" s="228">
        <v>0</v>
      </c>
      <c r="CM64" s="228">
        <v>0</v>
      </c>
      <c r="CN64" s="229">
        <v>0</v>
      </c>
      <c r="CO64" s="228">
        <v>470</v>
      </c>
      <c r="CP64" s="228">
        <v>384</v>
      </c>
      <c r="CQ64" s="228">
        <v>86</v>
      </c>
      <c r="CR64" s="229">
        <v>0.2248</v>
      </c>
      <c r="CS64" s="228">
        <v>402</v>
      </c>
      <c r="CT64" s="228">
        <v>320</v>
      </c>
      <c r="CU64" s="228">
        <v>82</v>
      </c>
      <c r="CV64" s="229">
        <v>0.25669999999999998</v>
      </c>
      <c r="CW64" s="228">
        <v>970</v>
      </c>
      <c r="CX64" s="228">
        <v>791</v>
      </c>
      <c r="CY64" s="228">
        <v>179</v>
      </c>
      <c r="CZ64" s="229">
        <v>0.2258</v>
      </c>
      <c r="DA64" s="228">
        <v>10.39</v>
      </c>
      <c r="DB64" s="228">
        <v>10.78</v>
      </c>
      <c r="DC64" s="228">
        <v>-0.39</v>
      </c>
      <c r="DD64" s="228">
        <v>-0.39</v>
      </c>
      <c r="DE64" s="228">
        <v>16.3</v>
      </c>
      <c r="DF64" s="228">
        <v>16.34</v>
      </c>
      <c r="DG64" s="228">
        <v>-5.91</v>
      </c>
      <c r="DH64" s="228">
        <v>-0.04</v>
      </c>
      <c r="DI64" s="228">
        <v>10.1</v>
      </c>
      <c r="DJ64" s="228">
        <v>10.68</v>
      </c>
      <c r="DK64" s="228">
        <v>-0.57999999999999996</v>
      </c>
      <c r="DL64" s="228">
        <v>-0.57999999999999996</v>
      </c>
      <c r="DM64" s="228">
        <v>10.65</v>
      </c>
      <c r="DN64" s="228">
        <v>10.9</v>
      </c>
      <c r="DO64" s="228">
        <v>-0.25</v>
      </c>
      <c r="DP64" s="228">
        <v>-0.25</v>
      </c>
      <c r="DQ64" s="228">
        <v>0.86</v>
      </c>
      <c r="DR64" s="228">
        <v>0.83</v>
      </c>
      <c r="DS64" s="228">
        <v>0.03</v>
      </c>
      <c r="DT64" s="229">
        <v>3.61E-2</v>
      </c>
      <c r="DU64" s="231">
        <v>28000</v>
      </c>
      <c r="DV64" s="231">
        <v>27500</v>
      </c>
      <c r="DW64" s="228">
        <v>1.08</v>
      </c>
      <c r="DX64" s="228">
        <v>0.79</v>
      </c>
      <c r="DY64" s="228">
        <v>0.28999999999999998</v>
      </c>
      <c r="DZ64" s="229">
        <v>0.36709999999999998</v>
      </c>
      <c r="EA64" s="229">
        <v>3.3999999999999998E-3</v>
      </c>
      <c r="EB64" s="228">
        <v>120</v>
      </c>
      <c r="EC64" s="229">
        <v>5.7999999999999996E-3</v>
      </c>
      <c r="ED64" s="229">
        <v>3.3999999999999998E-3</v>
      </c>
      <c r="EE64" s="228">
        <v>180.85</v>
      </c>
      <c r="EF64" s="229">
        <v>6.4999999999999997E-3</v>
      </c>
      <c r="EG64" s="228">
        <v>0</v>
      </c>
      <c r="EH64" s="228">
        <v>0</v>
      </c>
      <c r="EI64" s="229">
        <v>0</v>
      </c>
      <c r="EJ64" s="229">
        <v>0</v>
      </c>
      <c r="EK64" s="228">
        <v>885.81</v>
      </c>
      <c r="EL64" s="228">
        <v>933.84</v>
      </c>
      <c r="EM64" s="228">
        <v>33</v>
      </c>
      <c r="EN64" s="228">
        <v>0</v>
      </c>
      <c r="EO64" s="231">
        <v>1852.66</v>
      </c>
      <c r="EP64" s="231">
        <v>2696.45</v>
      </c>
      <c r="EQ64" s="228">
        <v>-843.8</v>
      </c>
      <c r="ER64" s="229">
        <v>-0.31290000000000001</v>
      </c>
      <c r="ES64" s="228">
        <v>473.26</v>
      </c>
      <c r="ET64" s="228">
        <v>395.27</v>
      </c>
      <c r="EU64" s="228">
        <v>98.24</v>
      </c>
      <c r="EV64" s="228">
        <v>0</v>
      </c>
      <c r="EW64" s="228">
        <v>966.78</v>
      </c>
      <c r="EX64" s="228">
        <v>788.22</v>
      </c>
      <c r="EY64" s="228">
        <v>178.56</v>
      </c>
      <c r="EZ64" s="229">
        <v>0.22650000000000001</v>
      </c>
      <c r="FA64" s="229">
        <v>0</v>
      </c>
      <c r="FB64" s="227" t="s">
        <v>555</v>
      </c>
      <c r="FC64">
        <f t="shared" si="0"/>
        <v>0</v>
      </c>
    </row>
    <row r="65" spans="1:159" ht="17.25" thickBot="1" x14ac:dyDescent="0.3">
      <c r="A65" s="226">
        <v>46023</v>
      </c>
      <c r="B65" s="227" t="s">
        <v>170</v>
      </c>
      <c r="C65" s="227" t="s">
        <v>677</v>
      </c>
      <c r="D65" s="228">
        <v>775</v>
      </c>
      <c r="E65" s="228">
        <v>26</v>
      </c>
      <c r="F65" s="228">
        <v>904.9</v>
      </c>
      <c r="G65" s="228">
        <v>889.3</v>
      </c>
      <c r="H65" s="228">
        <v>15.6</v>
      </c>
      <c r="I65" s="229">
        <v>1.7500000000000002E-2</v>
      </c>
      <c r="J65" s="228">
        <v>900.55</v>
      </c>
      <c r="K65" s="228">
        <v>884</v>
      </c>
      <c r="L65" s="228">
        <v>16.55</v>
      </c>
      <c r="M65" s="229">
        <v>1.8700000000000001E-2</v>
      </c>
      <c r="N65" s="228">
        <v>904.9</v>
      </c>
      <c r="O65" s="228">
        <v>889.3</v>
      </c>
      <c r="P65" s="228">
        <v>15.6</v>
      </c>
      <c r="Q65" s="229">
        <v>1.7500000000000002E-2</v>
      </c>
      <c r="R65" s="228">
        <v>910.55</v>
      </c>
      <c r="S65" s="228">
        <v>894.1</v>
      </c>
      <c r="T65" s="228">
        <v>16.45</v>
      </c>
      <c r="U65" s="229">
        <v>1.84E-2</v>
      </c>
      <c r="V65" s="228">
        <v>906.6</v>
      </c>
      <c r="W65" s="228">
        <v>897.6</v>
      </c>
      <c r="X65" s="228">
        <v>9</v>
      </c>
      <c r="Y65" s="229">
        <v>0.01</v>
      </c>
      <c r="Z65" s="228">
        <v>4.3499999999999996</v>
      </c>
      <c r="AA65" s="228">
        <v>5.3</v>
      </c>
      <c r="AB65" s="228">
        <v>-0.95</v>
      </c>
      <c r="AC65" s="229">
        <v>4.7999999999999996E-3</v>
      </c>
      <c r="AD65" s="228">
        <v>4.3499999999999996</v>
      </c>
      <c r="AE65" s="228">
        <v>5.3</v>
      </c>
      <c r="AF65" s="228">
        <v>-0.95</v>
      </c>
      <c r="AG65" s="229">
        <v>4.7999999999999996E-3</v>
      </c>
      <c r="AH65" s="228">
        <v>10</v>
      </c>
      <c r="AI65" s="228">
        <v>10.1</v>
      </c>
      <c r="AJ65" s="228">
        <v>-0.1</v>
      </c>
      <c r="AK65" s="229">
        <v>1.11E-2</v>
      </c>
      <c r="AL65" s="228">
        <v>6.05</v>
      </c>
      <c r="AM65" s="228">
        <v>13.6</v>
      </c>
      <c r="AN65" s="228">
        <v>-7.55</v>
      </c>
      <c r="AO65" s="229">
        <v>6.7000000000000002E-3</v>
      </c>
      <c r="AP65" s="228">
        <v>897.87</v>
      </c>
      <c r="AQ65" s="228">
        <v>904.55</v>
      </c>
      <c r="AR65" s="228">
        <v>0</v>
      </c>
      <c r="AS65" s="228">
        <v>124</v>
      </c>
      <c r="AT65" s="228">
        <v>90</v>
      </c>
      <c r="AU65" s="228">
        <v>33</v>
      </c>
      <c r="AV65" s="229">
        <v>0.36930000000000002</v>
      </c>
      <c r="AW65" s="228">
        <v>118</v>
      </c>
      <c r="AX65" s="228">
        <v>88</v>
      </c>
      <c r="AY65" s="228">
        <v>30</v>
      </c>
      <c r="AZ65" s="229">
        <v>0.33810000000000001</v>
      </c>
      <c r="BA65" s="228">
        <v>5</v>
      </c>
      <c r="BB65" s="228">
        <v>2</v>
      </c>
      <c r="BC65" s="228">
        <v>4</v>
      </c>
      <c r="BD65" s="229">
        <v>1.7857000000000001</v>
      </c>
      <c r="BE65" s="228">
        <v>0</v>
      </c>
      <c r="BF65" s="228">
        <v>0</v>
      </c>
      <c r="BG65" s="228">
        <v>0</v>
      </c>
      <c r="BH65" s="229">
        <v>0</v>
      </c>
      <c r="BI65" s="228">
        <v>255</v>
      </c>
      <c r="BJ65" s="228">
        <v>83</v>
      </c>
      <c r="BK65" s="228">
        <v>172</v>
      </c>
      <c r="BL65" s="229">
        <v>2.0588000000000002</v>
      </c>
      <c r="BM65" s="228">
        <v>57</v>
      </c>
      <c r="BN65" s="228">
        <v>27</v>
      </c>
      <c r="BO65" s="228">
        <v>29</v>
      </c>
      <c r="BP65" s="229">
        <v>1.0667</v>
      </c>
      <c r="BQ65" s="228">
        <v>436</v>
      </c>
      <c r="BR65" s="228">
        <v>201</v>
      </c>
      <c r="BS65" s="228">
        <v>234</v>
      </c>
      <c r="BT65" s="229">
        <v>1.1649</v>
      </c>
      <c r="BU65" s="230">
        <v>934896</v>
      </c>
      <c r="BV65" s="230">
        <v>948464</v>
      </c>
      <c r="BW65" s="230">
        <v>-13568</v>
      </c>
      <c r="BX65" s="229">
        <v>-1.43E-2</v>
      </c>
      <c r="BY65" s="230">
        <v>1055</v>
      </c>
      <c r="BZ65" s="230">
        <v>1044</v>
      </c>
      <c r="CA65" s="228">
        <v>11</v>
      </c>
      <c r="CB65" s="229">
        <v>1.09E-2</v>
      </c>
      <c r="CC65" s="230">
        <v>1043</v>
      </c>
      <c r="CD65" s="230">
        <v>1033</v>
      </c>
      <c r="CE65" s="228">
        <v>10</v>
      </c>
      <c r="CF65" s="229">
        <v>9.7999999999999997E-3</v>
      </c>
      <c r="CG65" s="228">
        <v>12</v>
      </c>
      <c r="CH65" s="228">
        <v>11</v>
      </c>
      <c r="CI65" s="228">
        <v>1</v>
      </c>
      <c r="CJ65" s="229">
        <v>0.1019</v>
      </c>
      <c r="CK65" s="228">
        <v>0</v>
      </c>
      <c r="CL65" s="228">
        <v>0</v>
      </c>
      <c r="CM65" s="228">
        <v>0</v>
      </c>
      <c r="CN65" s="229">
        <v>1</v>
      </c>
      <c r="CO65" s="228">
        <v>176</v>
      </c>
      <c r="CP65" s="228">
        <v>130</v>
      </c>
      <c r="CQ65" s="228">
        <v>46</v>
      </c>
      <c r="CR65" s="229">
        <v>0.35149999999999998</v>
      </c>
      <c r="CS65" s="228">
        <v>107</v>
      </c>
      <c r="CT65" s="228">
        <v>100</v>
      </c>
      <c r="CU65" s="228">
        <v>6</v>
      </c>
      <c r="CV65" s="229">
        <v>6.4299999999999996E-2</v>
      </c>
      <c r="CW65" s="230">
        <v>1338</v>
      </c>
      <c r="CX65" s="230">
        <v>1274</v>
      </c>
      <c r="CY65" s="228">
        <v>63</v>
      </c>
      <c r="CZ65" s="229">
        <v>4.9799999999999997E-2</v>
      </c>
      <c r="DA65" s="228">
        <v>24.74</v>
      </c>
      <c r="DB65" s="228">
        <v>24.14</v>
      </c>
      <c r="DC65" s="228">
        <v>0.6</v>
      </c>
      <c r="DD65" s="228">
        <v>0.6</v>
      </c>
      <c r="DE65" s="228">
        <v>35.04</v>
      </c>
      <c r="DF65" s="228">
        <v>35.04</v>
      </c>
      <c r="DG65" s="228">
        <v>-10.3</v>
      </c>
      <c r="DH65" s="228">
        <v>0</v>
      </c>
      <c r="DI65" s="228">
        <v>24.76</v>
      </c>
      <c r="DJ65" s="228">
        <v>24.1</v>
      </c>
      <c r="DK65" s="228">
        <v>0.66</v>
      </c>
      <c r="DL65" s="228">
        <v>0.66</v>
      </c>
      <c r="DM65" s="228">
        <v>24.64</v>
      </c>
      <c r="DN65" s="228">
        <v>24.25</v>
      </c>
      <c r="DO65" s="228">
        <v>0.39</v>
      </c>
      <c r="DP65" s="228">
        <v>0.39</v>
      </c>
      <c r="DQ65" s="228">
        <v>0.61</v>
      </c>
      <c r="DR65" s="228">
        <v>0.77</v>
      </c>
      <c r="DS65" s="228">
        <v>-0.16</v>
      </c>
      <c r="DT65" s="229">
        <v>-0.20780000000000001</v>
      </c>
      <c r="DU65" s="228">
        <v>900</v>
      </c>
      <c r="DV65" s="228">
        <v>900</v>
      </c>
      <c r="DW65" s="228">
        <v>0.22</v>
      </c>
      <c r="DX65" s="228">
        <v>0.33</v>
      </c>
      <c r="DY65" s="228">
        <v>-0.11</v>
      </c>
      <c r="DZ65" s="229">
        <v>-0.33329999999999999</v>
      </c>
      <c r="EA65" s="229">
        <v>1.1599999999999999E-2</v>
      </c>
      <c r="EB65" s="230">
        <v>122450</v>
      </c>
      <c r="EC65" s="229">
        <v>6.1999999999999998E-3</v>
      </c>
      <c r="ED65" s="229">
        <v>1.1599999999999999E-2</v>
      </c>
      <c r="EE65" s="228">
        <v>6.68</v>
      </c>
      <c r="EF65" s="229">
        <v>7.4000000000000003E-3</v>
      </c>
      <c r="EG65" s="230">
        <v>443330</v>
      </c>
      <c r="EH65" s="230">
        <v>581497</v>
      </c>
      <c r="EI65" s="229">
        <v>-0.23760000000000001</v>
      </c>
      <c r="EJ65" s="229">
        <v>0.47420000000000001</v>
      </c>
      <c r="EK65" s="228">
        <v>266.05</v>
      </c>
      <c r="EL65" s="228">
        <v>55.29</v>
      </c>
      <c r="EM65" s="228">
        <v>122.86</v>
      </c>
      <c r="EN65" s="228">
        <v>78.38</v>
      </c>
      <c r="EO65" s="228">
        <v>444.19</v>
      </c>
      <c r="EP65" s="228">
        <v>201.82</v>
      </c>
      <c r="EQ65" s="228">
        <v>242.37</v>
      </c>
      <c r="ER65" s="229">
        <v>1.2009000000000001</v>
      </c>
      <c r="ES65" s="228">
        <v>181.26</v>
      </c>
      <c r="ET65" s="228">
        <v>106.18</v>
      </c>
      <c r="EU65" s="231">
        <v>1055.46</v>
      </c>
      <c r="EV65" s="231">
        <v>77949604</v>
      </c>
      <c r="EW65" s="231">
        <v>1342.91</v>
      </c>
      <c r="EX65" s="231">
        <v>1259.94</v>
      </c>
      <c r="EY65" s="228">
        <v>82.97</v>
      </c>
      <c r="EZ65" s="229">
        <v>6.59E-2</v>
      </c>
      <c r="FA65" s="229">
        <v>0.18959999999999999</v>
      </c>
      <c r="FB65" s="227" t="s">
        <v>555</v>
      </c>
      <c r="FC65">
        <f t="shared" si="0"/>
        <v>12</v>
      </c>
    </row>
    <row r="66" spans="1:159" ht="17.25" thickBot="1" x14ac:dyDescent="0.3">
      <c r="A66" s="226">
        <v>46023</v>
      </c>
      <c r="B66" s="227" t="s">
        <v>193</v>
      </c>
      <c r="C66" s="227" t="s">
        <v>213</v>
      </c>
      <c r="D66" s="228">
        <v>3150</v>
      </c>
      <c r="E66" s="228">
        <v>26</v>
      </c>
      <c r="F66" s="228">
        <v>172.82</v>
      </c>
      <c r="G66" s="228">
        <v>173.14</v>
      </c>
      <c r="H66" s="228">
        <v>-0.32</v>
      </c>
      <c r="I66" s="229">
        <v>-1.8E-3</v>
      </c>
      <c r="J66" s="228">
        <v>171.77</v>
      </c>
      <c r="K66" s="228">
        <v>172.16</v>
      </c>
      <c r="L66" s="228">
        <v>-0.39</v>
      </c>
      <c r="M66" s="229">
        <v>-2.3E-3</v>
      </c>
      <c r="N66" s="228">
        <v>172.82</v>
      </c>
      <c r="O66" s="228">
        <v>173.14</v>
      </c>
      <c r="P66" s="228">
        <v>-0.32</v>
      </c>
      <c r="Q66" s="229">
        <v>-1.8E-3</v>
      </c>
      <c r="R66" s="228">
        <v>173.94</v>
      </c>
      <c r="S66" s="228">
        <v>174.11</v>
      </c>
      <c r="T66" s="228">
        <v>-0.17</v>
      </c>
      <c r="U66" s="229">
        <v>-1E-3</v>
      </c>
      <c r="V66" s="228">
        <v>174.77</v>
      </c>
      <c r="W66" s="228">
        <v>175.17</v>
      </c>
      <c r="X66" s="228">
        <v>-0.4</v>
      </c>
      <c r="Y66" s="229">
        <v>-2.3E-3</v>
      </c>
      <c r="Z66" s="228">
        <v>1.05</v>
      </c>
      <c r="AA66" s="228">
        <v>0.98</v>
      </c>
      <c r="AB66" s="228">
        <v>7.0000000000000007E-2</v>
      </c>
      <c r="AC66" s="229">
        <v>6.1000000000000004E-3</v>
      </c>
      <c r="AD66" s="228">
        <v>1.05</v>
      </c>
      <c r="AE66" s="228">
        <v>0.98</v>
      </c>
      <c r="AF66" s="228">
        <v>7.0000000000000007E-2</v>
      </c>
      <c r="AG66" s="229">
        <v>6.1000000000000004E-3</v>
      </c>
      <c r="AH66" s="228">
        <v>2.17</v>
      </c>
      <c r="AI66" s="228">
        <v>1.95</v>
      </c>
      <c r="AJ66" s="228">
        <v>0.22</v>
      </c>
      <c r="AK66" s="229">
        <v>1.26E-2</v>
      </c>
      <c r="AL66" s="228">
        <v>3</v>
      </c>
      <c r="AM66" s="228">
        <v>3.01</v>
      </c>
      <c r="AN66" s="228">
        <v>-0.01</v>
      </c>
      <c r="AO66" s="229">
        <v>1.7500000000000002E-2</v>
      </c>
      <c r="AP66" s="228">
        <v>172.63</v>
      </c>
      <c r="AQ66" s="228">
        <v>173.73</v>
      </c>
      <c r="AR66" s="228">
        <v>0</v>
      </c>
      <c r="AS66" s="228">
        <v>67</v>
      </c>
      <c r="AT66" s="228">
        <v>163</v>
      </c>
      <c r="AU66" s="228">
        <v>-96</v>
      </c>
      <c r="AV66" s="229">
        <v>-0.58860000000000001</v>
      </c>
      <c r="AW66" s="228">
        <v>64</v>
      </c>
      <c r="AX66" s="228">
        <v>156</v>
      </c>
      <c r="AY66" s="228">
        <v>-93</v>
      </c>
      <c r="AZ66" s="229">
        <v>-0.59299999999999997</v>
      </c>
      <c r="BA66" s="228">
        <v>3</v>
      </c>
      <c r="BB66" s="228">
        <v>5</v>
      </c>
      <c r="BC66" s="228">
        <v>-2</v>
      </c>
      <c r="BD66" s="229">
        <v>-0.38950000000000001</v>
      </c>
      <c r="BE66" s="228">
        <v>0</v>
      </c>
      <c r="BF66" s="228">
        <v>2</v>
      </c>
      <c r="BG66" s="228">
        <v>-1</v>
      </c>
      <c r="BH66" s="229">
        <v>-0.82140000000000002</v>
      </c>
      <c r="BI66" s="228">
        <v>181</v>
      </c>
      <c r="BJ66" s="228">
        <v>308</v>
      </c>
      <c r="BK66" s="228">
        <v>-127</v>
      </c>
      <c r="BL66" s="229">
        <v>-0.41210000000000002</v>
      </c>
      <c r="BM66" s="228">
        <v>85</v>
      </c>
      <c r="BN66" s="228">
        <v>247</v>
      </c>
      <c r="BO66" s="228">
        <v>-161</v>
      </c>
      <c r="BP66" s="229">
        <v>-0.65390000000000004</v>
      </c>
      <c r="BQ66" s="228">
        <v>333</v>
      </c>
      <c r="BR66" s="228">
        <v>718</v>
      </c>
      <c r="BS66" s="228">
        <v>-384</v>
      </c>
      <c r="BT66" s="229">
        <v>-0.53539999999999999</v>
      </c>
      <c r="BU66" s="230">
        <v>2976158</v>
      </c>
      <c r="BV66" s="230">
        <v>6720011</v>
      </c>
      <c r="BW66" s="230">
        <v>-3743853</v>
      </c>
      <c r="BX66" s="229">
        <v>-0.55710000000000004</v>
      </c>
      <c r="BY66" s="230">
        <v>1464</v>
      </c>
      <c r="BZ66" s="230">
        <v>1462</v>
      </c>
      <c r="CA66" s="228">
        <v>2</v>
      </c>
      <c r="CB66" s="229">
        <v>1.1999999999999999E-3</v>
      </c>
      <c r="CC66" s="230">
        <v>1415</v>
      </c>
      <c r="CD66" s="230">
        <v>1414</v>
      </c>
      <c r="CE66" s="228">
        <v>1</v>
      </c>
      <c r="CF66" s="229">
        <v>5.0000000000000001E-4</v>
      </c>
      <c r="CG66" s="228">
        <v>49</v>
      </c>
      <c r="CH66" s="228">
        <v>48</v>
      </c>
      <c r="CI66" s="228">
        <v>1</v>
      </c>
      <c r="CJ66" s="229">
        <v>1.7000000000000001E-2</v>
      </c>
      <c r="CK66" s="228">
        <v>1</v>
      </c>
      <c r="CL66" s="228">
        <v>0</v>
      </c>
      <c r="CM66" s="228">
        <v>0</v>
      </c>
      <c r="CN66" s="229">
        <v>0.42859999999999998</v>
      </c>
      <c r="CO66" s="228">
        <v>435</v>
      </c>
      <c r="CP66" s="228">
        <v>405</v>
      </c>
      <c r="CQ66" s="228">
        <v>30</v>
      </c>
      <c r="CR66" s="229">
        <v>7.3599999999999999E-2</v>
      </c>
      <c r="CS66" s="228">
        <v>436</v>
      </c>
      <c r="CT66" s="228">
        <v>417</v>
      </c>
      <c r="CU66" s="228">
        <v>19</v>
      </c>
      <c r="CV66" s="229">
        <v>4.4999999999999998E-2</v>
      </c>
      <c r="CW66" s="230">
        <v>2335</v>
      </c>
      <c r="CX66" s="230">
        <v>2285</v>
      </c>
      <c r="CY66" s="228">
        <v>50</v>
      </c>
      <c r="CZ66" s="229">
        <v>2.1999999999999999E-2</v>
      </c>
      <c r="DA66" s="228">
        <v>18.87</v>
      </c>
      <c r="DB66" s="228">
        <v>20</v>
      </c>
      <c r="DC66" s="228">
        <v>-1.1299999999999999</v>
      </c>
      <c r="DD66" s="228">
        <v>-1.1299999999999999</v>
      </c>
      <c r="DE66" s="228">
        <v>33.78</v>
      </c>
      <c r="DF66" s="228">
        <v>33.86</v>
      </c>
      <c r="DG66" s="228">
        <v>-14.91</v>
      </c>
      <c r="DH66" s="228">
        <v>-0.08</v>
      </c>
      <c r="DI66" s="228">
        <v>18.84</v>
      </c>
      <c r="DJ66" s="228">
        <v>19.16</v>
      </c>
      <c r="DK66" s="228">
        <v>-0.32</v>
      </c>
      <c r="DL66" s="228">
        <v>-0.32</v>
      </c>
      <c r="DM66" s="228">
        <v>18.940000000000001</v>
      </c>
      <c r="DN66" s="228">
        <v>21.04</v>
      </c>
      <c r="DO66" s="228">
        <v>-2.1</v>
      </c>
      <c r="DP66" s="228">
        <v>-2.1</v>
      </c>
      <c r="DQ66" s="228">
        <v>1</v>
      </c>
      <c r="DR66" s="228">
        <v>1.03</v>
      </c>
      <c r="DS66" s="228">
        <v>-0.03</v>
      </c>
      <c r="DT66" s="229">
        <v>-2.9100000000000001E-2</v>
      </c>
      <c r="DU66" s="228">
        <v>175</v>
      </c>
      <c r="DV66" s="228">
        <v>170</v>
      </c>
      <c r="DW66" s="228">
        <v>0.47</v>
      </c>
      <c r="DX66" s="228">
        <v>0.8</v>
      </c>
      <c r="DY66" s="228">
        <v>-0.33</v>
      </c>
      <c r="DZ66" s="229">
        <v>-0.41249999999999998</v>
      </c>
      <c r="EA66" s="229">
        <v>3.3700000000000001E-2</v>
      </c>
      <c r="EB66" s="230">
        <v>2794050</v>
      </c>
      <c r="EC66" s="229">
        <v>6.4999999999999997E-3</v>
      </c>
      <c r="ED66" s="229">
        <v>3.3700000000000001E-2</v>
      </c>
      <c r="EE66" s="228">
        <v>1.1000000000000001</v>
      </c>
      <c r="EF66" s="229">
        <v>6.4000000000000003E-3</v>
      </c>
      <c r="EG66" s="230">
        <v>1958224</v>
      </c>
      <c r="EH66" s="230">
        <v>4022078</v>
      </c>
      <c r="EI66" s="229">
        <v>-0.5131</v>
      </c>
      <c r="EJ66" s="229">
        <v>0.65800000000000003</v>
      </c>
      <c r="EK66" s="228">
        <v>188.89</v>
      </c>
      <c r="EL66" s="228">
        <v>83.76</v>
      </c>
      <c r="EM66" s="228">
        <v>67.02</v>
      </c>
      <c r="EN66" s="228">
        <v>115.69</v>
      </c>
      <c r="EO66" s="228">
        <v>339.68</v>
      </c>
      <c r="EP66" s="228">
        <v>730.17</v>
      </c>
      <c r="EQ66" s="228">
        <v>-390.5</v>
      </c>
      <c r="ER66" s="229">
        <v>-0.53480000000000005</v>
      </c>
      <c r="ES66" s="228">
        <v>450.43</v>
      </c>
      <c r="ET66" s="228">
        <v>439.74</v>
      </c>
      <c r="EU66" s="231">
        <v>1464.28</v>
      </c>
      <c r="EV66" s="231">
        <v>435694919</v>
      </c>
      <c r="EW66" s="231">
        <v>2354.4499999999998</v>
      </c>
      <c r="EX66" s="231">
        <v>2306.87</v>
      </c>
      <c r="EY66" s="228">
        <v>47.58</v>
      </c>
      <c r="EZ66" s="229">
        <v>2.06E-2</v>
      </c>
      <c r="FA66" s="229">
        <v>0.31009999999999999</v>
      </c>
      <c r="FB66" s="227" t="s">
        <v>567</v>
      </c>
      <c r="FC66">
        <f t="shared" si="0"/>
        <v>49</v>
      </c>
    </row>
    <row r="67" spans="1:159" ht="17.25" thickBot="1" x14ac:dyDescent="0.3">
      <c r="A67" s="226">
        <v>46023</v>
      </c>
      <c r="B67" s="227" t="s">
        <v>170</v>
      </c>
      <c r="C67" s="227" t="s">
        <v>214</v>
      </c>
      <c r="D67" s="228">
        <v>375</v>
      </c>
      <c r="E67" s="228">
        <v>26</v>
      </c>
      <c r="F67" s="231">
        <v>2034</v>
      </c>
      <c r="G67" s="231">
        <v>2042.8</v>
      </c>
      <c r="H67" s="228">
        <v>-8.8000000000000007</v>
      </c>
      <c r="I67" s="229">
        <v>-4.3E-3</v>
      </c>
      <c r="J67" s="231">
        <v>2026.2</v>
      </c>
      <c r="K67" s="231">
        <v>2035.2</v>
      </c>
      <c r="L67" s="228">
        <v>-9</v>
      </c>
      <c r="M67" s="229">
        <v>-4.4000000000000003E-3</v>
      </c>
      <c r="N67" s="231">
        <v>2034</v>
      </c>
      <c r="O67" s="231">
        <v>2042.8</v>
      </c>
      <c r="P67" s="228">
        <v>-8.8000000000000007</v>
      </c>
      <c r="Q67" s="229">
        <v>-4.3E-3</v>
      </c>
      <c r="R67" s="231">
        <v>2045.1</v>
      </c>
      <c r="S67" s="231">
        <v>2054</v>
      </c>
      <c r="T67" s="228">
        <v>-8.9</v>
      </c>
      <c r="U67" s="229">
        <v>-4.3E-3</v>
      </c>
      <c r="V67" s="231">
        <v>2052.8000000000002</v>
      </c>
      <c r="W67" s="228">
        <v>0</v>
      </c>
      <c r="X67" s="231">
        <v>2052.8000000000002</v>
      </c>
      <c r="Y67" s="229">
        <v>0</v>
      </c>
      <c r="Z67" s="228">
        <v>7.8</v>
      </c>
      <c r="AA67" s="228">
        <v>7.6</v>
      </c>
      <c r="AB67" s="228">
        <v>0.2</v>
      </c>
      <c r="AC67" s="229">
        <v>3.8E-3</v>
      </c>
      <c r="AD67" s="228">
        <v>7.8</v>
      </c>
      <c r="AE67" s="228">
        <v>7.6</v>
      </c>
      <c r="AF67" s="228">
        <v>0.2</v>
      </c>
      <c r="AG67" s="229">
        <v>3.8E-3</v>
      </c>
      <c r="AH67" s="228">
        <v>18.899999999999999</v>
      </c>
      <c r="AI67" s="228">
        <v>18.8</v>
      </c>
      <c r="AJ67" s="228">
        <v>0.1</v>
      </c>
      <c r="AK67" s="229">
        <v>9.2999999999999992E-3</v>
      </c>
      <c r="AL67" s="228">
        <v>26.6</v>
      </c>
      <c r="AM67" s="228">
        <v>0</v>
      </c>
      <c r="AN67" s="228">
        <v>26.6</v>
      </c>
      <c r="AO67" s="229">
        <v>1.3100000000000001E-2</v>
      </c>
      <c r="AP67" s="231">
        <v>2032.68</v>
      </c>
      <c r="AQ67" s="231">
        <v>2043.56</v>
      </c>
      <c r="AR67" s="228">
        <v>0</v>
      </c>
      <c r="AS67" s="228">
        <v>125</v>
      </c>
      <c r="AT67" s="228">
        <v>202</v>
      </c>
      <c r="AU67" s="228">
        <v>-76</v>
      </c>
      <c r="AV67" s="229">
        <v>-0.37809999999999999</v>
      </c>
      <c r="AW67" s="228">
        <v>123</v>
      </c>
      <c r="AX67" s="228">
        <v>198</v>
      </c>
      <c r="AY67" s="228">
        <v>-75</v>
      </c>
      <c r="AZ67" s="229">
        <v>-0.37909999999999999</v>
      </c>
      <c r="BA67" s="228">
        <v>2</v>
      </c>
      <c r="BB67" s="228">
        <v>3</v>
      </c>
      <c r="BC67" s="228">
        <v>-1</v>
      </c>
      <c r="BD67" s="229">
        <v>-0.41460000000000002</v>
      </c>
      <c r="BE67" s="228">
        <v>0</v>
      </c>
      <c r="BF67" s="228">
        <v>0</v>
      </c>
      <c r="BG67" s="228">
        <v>0</v>
      </c>
      <c r="BH67" s="229">
        <v>0</v>
      </c>
      <c r="BI67" s="228">
        <v>228</v>
      </c>
      <c r="BJ67" s="228">
        <v>428</v>
      </c>
      <c r="BK67" s="228">
        <v>-200</v>
      </c>
      <c r="BL67" s="229">
        <v>-0.46779999999999999</v>
      </c>
      <c r="BM67" s="228">
        <v>103</v>
      </c>
      <c r="BN67" s="228">
        <v>171</v>
      </c>
      <c r="BO67" s="228">
        <v>-68</v>
      </c>
      <c r="BP67" s="229">
        <v>-0.39789999999999998</v>
      </c>
      <c r="BQ67" s="228">
        <v>456</v>
      </c>
      <c r="BR67" s="228">
        <v>801</v>
      </c>
      <c r="BS67" s="228">
        <v>-345</v>
      </c>
      <c r="BT67" s="229">
        <v>-0.43030000000000002</v>
      </c>
      <c r="BU67" s="230">
        <v>294682</v>
      </c>
      <c r="BV67" s="230">
        <v>364873</v>
      </c>
      <c r="BW67" s="230">
        <v>-70191</v>
      </c>
      <c r="BX67" s="229">
        <v>-0.19239999999999999</v>
      </c>
      <c r="BY67" s="230">
        <v>2480</v>
      </c>
      <c r="BZ67" s="230">
        <v>2487</v>
      </c>
      <c r="CA67" s="228">
        <v>-7</v>
      </c>
      <c r="CB67" s="229">
        <v>-2.8999999999999998E-3</v>
      </c>
      <c r="CC67" s="230">
        <v>2471</v>
      </c>
      <c r="CD67" s="230">
        <v>2479</v>
      </c>
      <c r="CE67" s="228">
        <v>-7</v>
      </c>
      <c r="CF67" s="229">
        <v>-3.0000000000000001E-3</v>
      </c>
      <c r="CG67" s="228">
        <v>8</v>
      </c>
      <c r="CH67" s="228">
        <v>8</v>
      </c>
      <c r="CI67" s="228">
        <v>0</v>
      </c>
      <c r="CJ67" s="229">
        <v>-1.89E-2</v>
      </c>
      <c r="CK67" s="228">
        <v>0</v>
      </c>
      <c r="CL67" s="228">
        <v>0</v>
      </c>
      <c r="CM67" s="228">
        <v>0</v>
      </c>
      <c r="CN67" s="229">
        <v>0</v>
      </c>
      <c r="CO67" s="228">
        <v>444</v>
      </c>
      <c r="CP67" s="228">
        <v>418</v>
      </c>
      <c r="CQ67" s="228">
        <v>27</v>
      </c>
      <c r="CR67" s="229">
        <v>6.3500000000000001E-2</v>
      </c>
      <c r="CS67" s="228">
        <v>255</v>
      </c>
      <c r="CT67" s="228">
        <v>243</v>
      </c>
      <c r="CU67" s="228">
        <v>12</v>
      </c>
      <c r="CV67" s="229">
        <v>4.9500000000000002E-2</v>
      </c>
      <c r="CW67" s="230">
        <v>3179</v>
      </c>
      <c r="CX67" s="230">
        <v>3148</v>
      </c>
      <c r="CY67" s="228">
        <v>31</v>
      </c>
      <c r="CZ67" s="229">
        <v>0.01</v>
      </c>
      <c r="DA67" s="228">
        <v>24.35</v>
      </c>
      <c r="DB67" s="228">
        <v>25.33</v>
      </c>
      <c r="DC67" s="228">
        <v>-0.98</v>
      </c>
      <c r="DD67" s="228">
        <v>-0.98</v>
      </c>
      <c r="DE67" s="228">
        <v>35.36</v>
      </c>
      <c r="DF67" s="228">
        <v>35.450000000000003</v>
      </c>
      <c r="DG67" s="228">
        <v>-11.01</v>
      </c>
      <c r="DH67" s="228">
        <v>-0.09</v>
      </c>
      <c r="DI67" s="228">
        <v>24.23</v>
      </c>
      <c r="DJ67" s="228">
        <v>25.28</v>
      </c>
      <c r="DK67" s="228">
        <v>-1.05</v>
      </c>
      <c r="DL67" s="228">
        <v>-1.05</v>
      </c>
      <c r="DM67" s="228">
        <v>24.61</v>
      </c>
      <c r="DN67" s="228">
        <v>25.45</v>
      </c>
      <c r="DO67" s="228">
        <v>-0.84</v>
      </c>
      <c r="DP67" s="228">
        <v>-0.84</v>
      </c>
      <c r="DQ67" s="228">
        <v>0.56999999999999995</v>
      </c>
      <c r="DR67" s="228">
        <v>0.57999999999999996</v>
      </c>
      <c r="DS67" s="228">
        <v>-0.01</v>
      </c>
      <c r="DT67" s="229">
        <v>-1.72E-2</v>
      </c>
      <c r="DU67" s="231">
        <v>2100</v>
      </c>
      <c r="DV67" s="231">
        <v>2040</v>
      </c>
      <c r="DW67" s="228">
        <v>0.45</v>
      </c>
      <c r="DX67" s="228">
        <v>0.4</v>
      </c>
      <c r="DY67" s="228">
        <v>0.05</v>
      </c>
      <c r="DZ67" s="229">
        <v>0.125</v>
      </c>
      <c r="EA67" s="229">
        <v>3.3E-3</v>
      </c>
      <c r="EB67" s="230">
        <v>39750</v>
      </c>
      <c r="EC67" s="229">
        <v>5.4999999999999997E-3</v>
      </c>
      <c r="ED67" s="229">
        <v>3.3E-3</v>
      </c>
      <c r="EE67" s="228">
        <v>10.88</v>
      </c>
      <c r="EF67" s="229">
        <v>5.4000000000000003E-3</v>
      </c>
      <c r="EG67" s="230">
        <v>147453</v>
      </c>
      <c r="EH67" s="230">
        <v>202300</v>
      </c>
      <c r="EI67" s="229">
        <v>-0.27110000000000001</v>
      </c>
      <c r="EJ67" s="229">
        <v>0.50039999999999996</v>
      </c>
      <c r="EK67" s="228">
        <v>238.18</v>
      </c>
      <c r="EL67" s="228">
        <v>101.37</v>
      </c>
      <c r="EM67" s="228">
        <v>125.25</v>
      </c>
      <c r="EN67" s="228">
        <v>143.5</v>
      </c>
      <c r="EO67" s="228">
        <v>464.8</v>
      </c>
      <c r="EP67" s="228">
        <v>821.44</v>
      </c>
      <c r="EQ67" s="228">
        <v>-356.64</v>
      </c>
      <c r="ER67" s="229">
        <v>-0.43419999999999997</v>
      </c>
      <c r="ES67" s="228">
        <v>458.05</v>
      </c>
      <c r="ET67" s="228">
        <v>246.48</v>
      </c>
      <c r="EU67" s="231">
        <v>2479.59</v>
      </c>
      <c r="EV67" s="231">
        <v>22585180</v>
      </c>
      <c r="EW67" s="231">
        <v>3184.12</v>
      </c>
      <c r="EX67" s="231">
        <v>3163.16</v>
      </c>
      <c r="EY67" s="228">
        <v>20.96</v>
      </c>
      <c r="EZ67" s="229">
        <v>6.6E-3</v>
      </c>
      <c r="FA67" s="229">
        <v>0.69210000000000005</v>
      </c>
      <c r="FB67" s="227" t="s">
        <v>568</v>
      </c>
      <c r="FC67">
        <f t="shared" ref="FC67:FC130" si="1">BY67-CC67</f>
        <v>9</v>
      </c>
    </row>
    <row r="68" spans="1:159" ht="17.25" thickBot="1" x14ac:dyDescent="0.3">
      <c r="A68" s="226">
        <v>46023</v>
      </c>
      <c r="B68" s="227" t="s">
        <v>215</v>
      </c>
      <c r="C68" s="227" t="s">
        <v>631</v>
      </c>
      <c r="D68" s="228">
        <v>6975</v>
      </c>
      <c r="E68" s="228">
        <v>26</v>
      </c>
      <c r="F68" s="228">
        <v>106.2</v>
      </c>
      <c r="G68" s="228">
        <v>104.83</v>
      </c>
      <c r="H68" s="228">
        <v>1.37</v>
      </c>
      <c r="I68" s="229">
        <v>1.3100000000000001E-2</v>
      </c>
      <c r="J68" s="228">
        <v>105.5</v>
      </c>
      <c r="K68" s="228">
        <v>104.37</v>
      </c>
      <c r="L68" s="228">
        <v>1.1299999999999999</v>
      </c>
      <c r="M68" s="229">
        <v>1.0800000000000001E-2</v>
      </c>
      <c r="N68" s="228">
        <v>106.2</v>
      </c>
      <c r="O68" s="228">
        <v>104.83</v>
      </c>
      <c r="P68" s="228">
        <v>1.37</v>
      </c>
      <c r="Q68" s="229">
        <v>1.3100000000000001E-2</v>
      </c>
      <c r="R68" s="228">
        <v>106.82</v>
      </c>
      <c r="S68" s="228">
        <v>105.48</v>
      </c>
      <c r="T68" s="228">
        <v>1.34</v>
      </c>
      <c r="U68" s="229">
        <v>1.2699999999999999E-2</v>
      </c>
      <c r="V68" s="228">
        <v>107.4</v>
      </c>
      <c r="W68" s="228">
        <v>106.11</v>
      </c>
      <c r="X68" s="228">
        <v>1.29</v>
      </c>
      <c r="Y68" s="229">
        <v>1.2200000000000001E-2</v>
      </c>
      <c r="Z68" s="228">
        <v>0.7</v>
      </c>
      <c r="AA68" s="228">
        <v>0.46</v>
      </c>
      <c r="AB68" s="228">
        <v>0.24</v>
      </c>
      <c r="AC68" s="229">
        <v>6.6E-3</v>
      </c>
      <c r="AD68" s="228">
        <v>0.7</v>
      </c>
      <c r="AE68" s="228">
        <v>0.46</v>
      </c>
      <c r="AF68" s="228">
        <v>0.24</v>
      </c>
      <c r="AG68" s="229">
        <v>6.6E-3</v>
      </c>
      <c r="AH68" s="228">
        <v>1.32</v>
      </c>
      <c r="AI68" s="228">
        <v>1.1100000000000001</v>
      </c>
      <c r="AJ68" s="228">
        <v>0.21</v>
      </c>
      <c r="AK68" s="229">
        <v>1.2500000000000001E-2</v>
      </c>
      <c r="AL68" s="228">
        <v>1.9</v>
      </c>
      <c r="AM68" s="228">
        <v>1.74</v>
      </c>
      <c r="AN68" s="228">
        <v>0.16</v>
      </c>
      <c r="AO68" s="229">
        <v>1.7999999999999999E-2</v>
      </c>
      <c r="AP68" s="228">
        <v>105.6</v>
      </c>
      <c r="AQ68" s="228">
        <v>106.15</v>
      </c>
      <c r="AR68" s="228">
        <v>0</v>
      </c>
      <c r="AS68" s="228">
        <v>238</v>
      </c>
      <c r="AT68" s="228">
        <v>322</v>
      </c>
      <c r="AU68" s="228">
        <v>-84</v>
      </c>
      <c r="AV68" s="229">
        <v>-0.26100000000000001</v>
      </c>
      <c r="AW68" s="228">
        <v>228</v>
      </c>
      <c r="AX68" s="228">
        <v>309</v>
      </c>
      <c r="AY68" s="228">
        <v>-81</v>
      </c>
      <c r="AZ68" s="229">
        <v>-0.2616</v>
      </c>
      <c r="BA68" s="228">
        <v>8</v>
      </c>
      <c r="BB68" s="228">
        <v>12</v>
      </c>
      <c r="BC68" s="228">
        <v>-3</v>
      </c>
      <c r="BD68" s="229">
        <v>-0.27850000000000003</v>
      </c>
      <c r="BE68" s="228">
        <v>1</v>
      </c>
      <c r="BF68" s="228">
        <v>1</v>
      </c>
      <c r="BG68" s="228">
        <v>0</v>
      </c>
      <c r="BH68" s="229">
        <v>6.25E-2</v>
      </c>
      <c r="BI68" s="228">
        <v>651</v>
      </c>
      <c r="BJ68" s="228">
        <v>752</v>
      </c>
      <c r="BK68" s="228">
        <v>-101</v>
      </c>
      <c r="BL68" s="229">
        <v>-0.1341</v>
      </c>
      <c r="BM68" s="228">
        <v>205</v>
      </c>
      <c r="BN68" s="228">
        <v>261</v>
      </c>
      <c r="BO68" s="228">
        <v>-56</v>
      </c>
      <c r="BP68" s="229">
        <v>-0.21490000000000001</v>
      </c>
      <c r="BQ68" s="230">
        <v>1094</v>
      </c>
      <c r="BR68" s="230">
        <v>1335</v>
      </c>
      <c r="BS68" s="228">
        <v>-241</v>
      </c>
      <c r="BT68" s="229">
        <v>-0.18049999999999999</v>
      </c>
      <c r="BU68" s="230">
        <v>8598840</v>
      </c>
      <c r="BV68" s="230">
        <v>13535325</v>
      </c>
      <c r="BW68" s="230">
        <v>-4936485</v>
      </c>
      <c r="BX68" s="229">
        <v>-0.36470000000000002</v>
      </c>
      <c r="BY68" s="230">
        <v>1811</v>
      </c>
      <c r="BZ68" s="230">
        <v>1781</v>
      </c>
      <c r="CA68" s="228">
        <v>29</v>
      </c>
      <c r="CB68" s="229">
        <v>1.6400000000000001E-2</v>
      </c>
      <c r="CC68" s="230">
        <v>1771</v>
      </c>
      <c r="CD68" s="230">
        <v>1743</v>
      </c>
      <c r="CE68" s="228">
        <v>28</v>
      </c>
      <c r="CF68" s="229">
        <v>1.5900000000000001E-2</v>
      </c>
      <c r="CG68" s="228">
        <v>38</v>
      </c>
      <c r="CH68" s="228">
        <v>37</v>
      </c>
      <c r="CI68" s="228">
        <v>1</v>
      </c>
      <c r="CJ68" s="229">
        <v>1.9900000000000001E-2</v>
      </c>
      <c r="CK68" s="228">
        <v>2</v>
      </c>
      <c r="CL68" s="228">
        <v>1</v>
      </c>
      <c r="CM68" s="228">
        <v>1</v>
      </c>
      <c r="CN68" s="229">
        <v>0.69230000000000003</v>
      </c>
      <c r="CO68" s="228">
        <v>792</v>
      </c>
      <c r="CP68" s="228">
        <v>773</v>
      </c>
      <c r="CQ68" s="228">
        <v>19</v>
      </c>
      <c r="CR68" s="229">
        <v>2.4E-2</v>
      </c>
      <c r="CS68" s="228">
        <v>488</v>
      </c>
      <c r="CT68" s="228">
        <v>465</v>
      </c>
      <c r="CU68" s="228">
        <v>23</v>
      </c>
      <c r="CV68" s="229">
        <v>5.0500000000000003E-2</v>
      </c>
      <c r="CW68" s="230">
        <v>3090</v>
      </c>
      <c r="CX68" s="230">
        <v>3019</v>
      </c>
      <c r="CY68" s="228">
        <v>71</v>
      </c>
      <c r="CZ68" s="229">
        <v>2.3599999999999999E-2</v>
      </c>
      <c r="DA68" s="228">
        <v>28.78</v>
      </c>
      <c r="DB68" s="228">
        <v>29.06</v>
      </c>
      <c r="DC68" s="228">
        <v>-0.28000000000000003</v>
      </c>
      <c r="DD68" s="228">
        <v>-0.28000000000000003</v>
      </c>
      <c r="DE68" s="228">
        <v>36.659999999999997</v>
      </c>
      <c r="DF68" s="228">
        <v>36.71</v>
      </c>
      <c r="DG68" s="228">
        <v>-7.88</v>
      </c>
      <c r="DH68" s="228">
        <v>-0.05</v>
      </c>
      <c r="DI68" s="228">
        <v>28.85</v>
      </c>
      <c r="DJ68" s="228">
        <v>29.18</v>
      </c>
      <c r="DK68" s="228">
        <v>-0.33</v>
      </c>
      <c r="DL68" s="228">
        <v>-0.33</v>
      </c>
      <c r="DM68" s="228">
        <v>28.56</v>
      </c>
      <c r="DN68" s="228">
        <v>28.72</v>
      </c>
      <c r="DO68" s="228">
        <v>-0.16</v>
      </c>
      <c r="DP68" s="228">
        <v>-0.16</v>
      </c>
      <c r="DQ68" s="228">
        <v>0.62</v>
      </c>
      <c r="DR68" s="228">
        <v>0.6</v>
      </c>
      <c r="DS68" s="228">
        <v>0.02</v>
      </c>
      <c r="DT68" s="229">
        <v>3.3300000000000003E-2</v>
      </c>
      <c r="DU68" s="228">
        <v>110</v>
      </c>
      <c r="DV68" s="228">
        <v>98</v>
      </c>
      <c r="DW68" s="228">
        <v>0.31</v>
      </c>
      <c r="DX68" s="228">
        <v>0.35</v>
      </c>
      <c r="DY68" s="228">
        <v>-0.04</v>
      </c>
      <c r="DZ68" s="229">
        <v>-0.1143</v>
      </c>
      <c r="EA68" s="229">
        <v>2.18E-2</v>
      </c>
      <c r="EB68" s="230">
        <v>3592125</v>
      </c>
      <c r="EC68" s="229">
        <v>5.7999999999999996E-3</v>
      </c>
      <c r="ED68" s="229">
        <v>2.18E-2</v>
      </c>
      <c r="EE68" s="228">
        <v>0.55000000000000004</v>
      </c>
      <c r="EF68" s="229">
        <v>5.1999999999999998E-3</v>
      </c>
      <c r="EG68" s="230">
        <v>3657242</v>
      </c>
      <c r="EH68" s="230">
        <v>6537585</v>
      </c>
      <c r="EI68" s="229">
        <v>-0.44059999999999999</v>
      </c>
      <c r="EJ68" s="229">
        <v>0.42530000000000001</v>
      </c>
      <c r="EK68" s="228">
        <v>677.82</v>
      </c>
      <c r="EL68" s="228">
        <v>199.39</v>
      </c>
      <c r="EM68" s="228">
        <v>236.57</v>
      </c>
      <c r="EN68" s="228">
        <v>116.89</v>
      </c>
      <c r="EO68" s="231">
        <v>1113.78</v>
      </c>
      <c r="EP68" s="231">
        <v>1347.57</v>
      </c>
      <c r="EQ68" s="228">
        <v>-233.79</v>
      </c>
      <c r="ER68" s="229">
        <v>-0.17349999999999999</v>
      </c>
      <c r="ES68" s="228">
        <v>807.38</v>
      </c>
      <c r="ET68" s="228">
        <v>458.48</v>
      </c>
      <c r="EU68" s="231">
        <v>1810.77</v>
      </c>
      <c r="EV68" s="231">
        <v>534704421</v>
      </c>
      <c r="EW68" s="231">
        <v>3076.63</v>
      </c>
      <c r="EX68" s="231">
        <v>2981.46</v>
      </c>
      <c r="EY68" s="228">
        <v>95.17</v>
      </c>
      <c r="EZ68" s="229">
        <v>3.1899999999999998E-2</v>
      </c>
      <c r="FA68" s="229">
        <v>0.54420000000000002</v>
      </c>
      <c r="FB68" s="227" t="s">
        <v>555</v>
      </c>
      <c r="FC68">
        <f t="shared" si="1"/>
        <v>40</v>
      </c>
    </row>
    <row r="69" spans="1:159" ht="17.25" thickBot="1" x14ac:dyDescent="0.3">
      <c r="A69" s="226">
        <v>46023</v>
      </c>
      <c r="B69" s="227" t="s">
        <v>168</v>
      </c>
      <c r="C69" s="227" t="s">
        <v>217</v>
      </c>
      <c r="D69" s="228">
        <v>500</v>
      </c>
      <c r="E69" s="228">
        <v>26</v>
      </c>
      <c r="F69" s="231">
        <v>1247.7</v>
      </c>
      <c r="G69" s="231">
        <v>1226.8</v>
      </c>
      <c r="H69" s="228">
        <v>20.9</v>
      </c>
      <c r="I69" s="229">
        <v>1.7000000000000001E-2</v>
      </c>
      <c r="J69" s="231">
        <v>1243.4000000000001</v>
      </c>
      <c r="K69" s="231">
        <v>1222.2</v>
      </c>
      <c r="L69" s="228">
        <v>21.2</v>
      </c>
      <c r="M69" s="229">
        <v>1.7299999999999999E-2</v>
      </c>
      <c r="N69" s="231">
        <v>1247.7</v>
      </c>
      <c r="O69" s="231">
        <v>1226.8</v>
      </c>
      <c r="P69" s="228">
        <v>20.9</v>
      </c>
      <c r="Q69" s="229">
        <v>1.7000000000000001E-2</v>
      </c>
      <c r="R69" s="231">
        <v>1250.5</v>
      </c>
      <c r="S69" s="231">
        <v>1230.7</v>
      </c>
      <c r="T69" s="228">
        <v>19.8</v>
      </c>
      <c r="U69" s="229">
        <v>1.61E-2</v>
      </c>
      <c r="V69" s="231">
        <v>1235.5999999999999</v>
      </c>
      <c r="W69" s="231">
        <v>1235.5999999999999</v>
      </c>
      <c r="X69" s="228">
        <v>0</v>
      </c>
      <c r="Y69" s="229">
        <v>0</v>
      </c>
      <c r="Z69" s="228">
        <v>4.3</v>
      </c>
      <c r="AA69" s="228">
        <v>4.5999999999999996</v>
      </c>
      <c r="AB69" s="228">
        <v>-0.3</v>
      </c>
      <c r="AC69" s="229">
        <v>3.5000000000000001E-3</v>
      </c>
      <c r="AD69" s="228">
        <v>4.3</v>
      </c>
      <c r="AE69" s="228">
        <v>4.5999999999999996</v>
      </c>
      <c r="AF69" s="228">
        <v>-0.3</v>
      </c>
      <c r="AG69" s="229">
        <v>3.5000000000000001E-3</v>
      </c>
      <c r="AH69" s="228">
        <v>7.1</v>
      </c>
      <c r="AI69" s="228">
        <v>8.5</v>
      </c>
      <c r="AJ69" s="228">
        <v>-1.4</v>
      </c>
      <c r="AK69" s="229">
        <v>5.7000000000000002E-3</v>
      </c>
      <c r="AL69" s="228">
        <v>-7.8</v>
      </c>
      <c r="AM69" s="228">
        <v>13.4</v>
      </c>
      <c r="AN69" s="228">
        <v>-21.2</v>
      </c>
      <c r="AO69" s="229">
        <v>-6.3E-3</v>
      </c>
      <c r="AP69" s="231">
        <v>1240.06</v>
      </c>
      <c r="AQ69" s="231">
        <v>1240.32</v>
      </c>
      <c r="AR69" s="228">
        <v>0</v>
      </c>
      <c r="AS69" s="228">
        <v>168</v>
      </c>
      <c r="AT69" s="228">
        <v>159</v>
      </c>
      <c r="AU69" s="228">
        <v>10</v>
      </c>
      <c r="AV69" s="229">
        <v>6.1699999999999998E-2</v>
      </c>
      <c r="AW69" s="228">
        <v>165</v>
      </c>
      <c r="AX69" s="228">
        <v>155</v>
      </c>
      <c r="AY69" s="228">
        <v>10</v>
      </c>
      <c r="AZ69" s="229">
        <v>6.7299999999999999E-2</v>
      </c>
      <c r="BA69" s="228">
        <v>3</v>
      </c>
      <c r="BB69" s="228">
        <v>4</v>
      </c>
      <c r="BC69" s="228">
        <v>0</v>
      </c>
      <c r="BD69" s="229">
        <v>-0.13789999999999999</v>
      </c>
      <c r="BE69" s="228">
        <v>0</v>
      </c>
      <c r="BF69" s="228">
        <v>0</v>
      </c>
      <c r="BG69" s="228">
        <v>0</v>
      </c>
      <c r="BH69" s="229">
        <v>-1</v>
      </c>
      <c r="BI69" s="228">
        <v>174</v>
      </c>
      <c r="BJ69" s="228">
        <v>222</v>
      </c>
      <c r="BK69" s="228">
        <v>-47</v>
      </c>
      <c r="BL69" s="229">
        <v>-0.2142</v>
      </c>
      <c r="BM69" s="228">
        <v>109</v>
      </c>
      <c r="BN69" s="228">
        <v>87</v>
      </c>
      <c r="BO69" s="228">
        <v>22</v>
      </c>
      <c r="BP69" s="229">
        <v>0.25359999999999999</v>
      </c>
      <c r="BQ69" s="228">
        <v>451</v>
      </c>
      <c r="BR69" s="228">
        <v>467</v>
      </c>
      <c r="BS69" s="228">
        <v>-16</v>
      </c>
      <c r="BT69" s="229">
        <v>-3.3700000000000001E-2</v>
      </c>
      <c r="BU69" s="230">
        <v>657934</v>
      </c>
      <c r="BV69" s="230">
        <v>1418743</v>
      </c>
      <c r="BW69" s="230">
        <v>-760809</v>
      </c>
      <c r="BX69" s="229">
        <v>-0.5363</v>
      </c>
      <c r="BY69" s="230">
        <v>1185</v>
      </c>
      <c r="BZ69" s="230">
        <v>1201</v>
      </c>
      <c r="CA69" s="228">
        <v>-16</v>
      </c>
      <c r="CB69" s="229">
        <v>-1.32E-2</v>
      </c>
      <c r="CC69" s="230">
        <v>1181</v>
      </c>
      <c r="CD69" s="230">
        <v>1197</v>
      </c>
      <c r="CE69" s="228">
        <v>-16</v>
      </c>
      <c r="CF69" s="229">
        <v>-1.35E-2</v>
      </c>
      <c r="CG69" s="228">
        <v>4</v>
      </c>
      <c r="CH69" s="228">
        <v>4</v>
      </c>
      <c r="CI69" s="228">
        <v>0</v>
      </c>
      <c r="CJ69" s="229">
        <v>6.7799999999999999E-2</v>
      </c>
      <c r="CK69" s="228">
        <v>0</v>
      </c>
      <c r="CL69" s="228">
        <v>0</v>
      </c>
      <c r="CM69" s="228">
        <v>0</v>
      </c>
      <c r="CN69" s="229">
        <v>0</v>
      </c>
      <c r="CO69" s="228">
        <v>109</v>
      </c>
      <c r="CP69" s="228">
        <v>103</v>
      </c>
      <c r="CQ69" s="228">
        <v>6</v>
      </c>
      <c r="CR69" s="229">
        <v>5.8099999999999999E-2</v>
      </c>
      <c r="CS69" s="228">
        <v>86</v>
      </c>
      <c r="CT69" s="228">
        <v>75</v>
      </c>
      <c r="CU69" s="228">
        <v>10</v>
      </c>
      <c r="CV69" s="229">
        <v>0.13750000000000001</v>
      </c>
      <c r="CW69" s="230">
        <v>1380</v>
      </c>
      <c r="CX69" s="230">
        <v>1379</v>
      </c>
      <c r="CY69" s="228">
        <v>0</v>
      </c>
      <c r="CZ69" s="229">
        <v>2.9999999999999997E-4</v>
      </c>
      <c r="DA69" s="228">
        <v>21.95</v>
      </c>
      <c r="DB69" s="228">
        <v>22.65</v>
      </c>
      <c r="DC69" s="228">
        <v>-0.7</v>
      </c>
      <c r="DD69" s="228">
        <v>-0.7</v>
      </c>
      <c r="DE69" s="228">
        <v>28.36</v>
      </c>
      <c r="DF69" s="228">
        <v>28.33</v>
      </c>
      <c r="DG69" s="228">
        <v>-6.41</v>
      </c>
      <c r="DH69" s="228">
        <v>0.03</v>
      </c>
      <c r="DI69" s="228">
        <v>21.44</v>
      </c>
      <c r="DJ69" s="228">
        <v>22.35</v>
      </c>
      <c r="DK69" s="228">
        <v>-0.91</v>
      </c>
      <c r="DL69" s="228">
        <v>-0.91</v>
      </c>
      <c r="DM69" s="228">
        <v>22.75</v>
      </c>
      <c r="DN69" s="228">
        <v>23.42</v>
      </c>
      <c r="DO69" s="228">
        <v>-0.67</v>
      </c>
      <c r="DP69" s="228">
        <v>-0.67</v>
      </c>
      <c r="DQ69" s="228">
        <v>0.79</v>
      </c>
      <c r="DR69" s="228">
        <v>0.73</v>
      </c>
      <c r="DS69" s="228">
        <v>0.06</v>
      </c>
      <c r="DT69" s="229">
        <v>8.2199999999999995E-2</v>
      </c>
      <c r="DU69" s="231">
        <v>1220</v>
      </c>
      <c r="DV69" s="231">
        <v>1220</v>
      </c>
      <c r="DW69" s="228">
        <v>0.62</v>
      </c>
      <c r="DX69" s="228">
        <v>0.39</v>
      </c>
      <c r="DY69" s="228">
        <v>0.23</v>
      </c>
      <c r="DZ69" s="229">
        <v>0.5897</v>
      </c>
      <c r="EA69" s="229">
        <v>3.3999999999999998E-3</v>
      </c>
      <c r="EB69" s="230">
        <v>30000</v>
      </c>
      <c r="EC69" s="229">
        <v>2.2000000000000001E-3</v>
      </c>
      <c r="ED69" s="229">
        <v>3.3999999999999998E-3</v>
      </c>
      <c r="EE69" s="228">
        <v>0.26</v>
      </c>
      <c r="EF69" s="229">
        <v>2.0000000000000001E-4</v>
      </c>
      <c r="EG69" s="230">
        <v>379502</v>
      </c>
      <c r="EH69" s="230">
        <v>921863</v>
      </c>
      <c r="EI69" s="229">
        <v>-0.58830000000000005</v>
      </c>
      <c r="EJ69" s="229">
        <v>0.57679999999999998</v>
      </c>
      <c r="EK69" s="228">
        <v>178.38</v>
      </c>
      <c r="EL69" s="228">
        <v>106.21</v>
      </c>
      <c r="EM69" s="228">
        <v>167.41</v>
      </c>
      <c r="EN69" s="228">
        <v>75.34</v>
      </c>
      <c r="EO69" s="228">
        <v>451.99</v>
      </c>
      <c r="EP69" s="228">
        <v>466.08</v>
      </c>
      <c r="EQ69" s="228">
        <v>-14.09</v>
      </c>
      <c r="ER69" s="229">
        <v>-3.0200000000000001E-2</v>
      </c>
      <c r="ES69" s="228">
        <v>110.39</v>
      </c>
      <c r="ET69" s="228">
        <v>81.099999999999994</v>
      </c>
      <c r="EU69" s="231">
        <v>1185.2</v>
      </c>
      <c r="EV69" s="231">
        <v>72031016</v>
      </c>
      <c r="EW69" s="231">
        <v>1376.68</v>
      </c>
      <c r="EX69" s="231">
        <v>1355.44</v>
      </c>
      <c r="EY69" s="228">
        <v>21.24</v>
      </c>
      <c r="EZ69" s="229">
        <v>1.5699999999999999E-2</v>
      </c>
      <c r="FA69" s="229">
        <v>0.1535</v>
      </c>
      <c r="FB69" s="227" t="s">
        <v>556</v>
      </c>
      <c r="FC69">
        <f t="shared" si="1"/>
        <v>4</v>
      </c>
    </row>
    <row r="70" spans="1:159" ht="17.25" thickBot="1" x14ac:dyDescent="0.3">
      <c r="A70" s="226">
        <v>46023</v>
      </c>
      <c r="B70" s="227" t="s">
        <v>206</v>
      </c>
      <c r="C70" s="227" t="s">
        <v>218</v>
      </c>
      <c r="D70" s="228">
        <v>275</v>
      </c>
      <c r="E70" s="228">
        <v>26</v>
      </c>
      <c r="F70" s="231">
        <v>2029.2</v>
      </c>
      <c r="G70" s="231">
        <v>2017.4</v>
      </c>
      <c r="H70" s="228">
        <v>11.8</v>
      </c>
      <c r="I70" s="229">
        <v>5.7999999999999996E-3</v>
      </c>
      <c r="J70" s="231">
        <v>2015.3</v>
      </c>
      <c r="K70" s="231">
        <v>2004.4</v>
      </c>
      <c r="L70" s="228">
        <v>10.9</v>
      </c>
      <c r="M70" s="229">
        <v>5.4000000000000003E-3</v>
      </c>
      <c r="N70" s="231">
        <v>2029.2</v>
      </c>
      <c r="O70" s="231">
        <v>2017.4</v>
      </c>
      <c r="P70" s="228">
        <v>11.8</v>
      </c>
      <c r="Q70" s="229">
        <v>5.7999999999999996E-3</v>
      </c>
      <c r="R70" s="231">
        <v>2042.2</v>
      </c>
      <c r="S70" s="231">
        <v>2030.6</v>
      </c>
      <c r="T70" s="228">
        <v>11.6</v>
      </c>
      <c r="U70" s="229">
        <v>5.7000000000000002E-3</v>
      </c>
      <c r="V70" s="231">
        <v>2053.5</v>
      </c>
      <c r="W70" s="231">
        <v>2042.2</v>
      </c>
      <c r="X70" s="228">
        <v>11.3</v>
      </c>
      <c r="Y70" s="229">
        <v>5.4999999999999997E-3</v>
      </c>
      <c r="Z70" s="228">
        <v>13.9</v>
      </c>
      <c r="AA70" s="228">
        <v>13</v>
      </c>
      <c r="AB70" s="228">
        <v>0.9</v>
      </c>
      <c r="AC70" s="229">
        <v>6.8999999999999999E-3</v>
      </c>
      <c r="AD70" s="228">
        <v>13.9</v>
      </c>
      <c r="AE70" s="228">
        <v>13</v>
      </c>
      <c r="AF70" s="228">
        <v>0.9</v>
      </c>
      <c r="AG70" s="229">
        <v>6.8999999999999999E-3</v>
      </c>
      <c r="AH70" s="228">
        <v>26.9</v>
      </c>
      <c r="AI70" s="228">
        <v>26.2</v>
      </c>
      <c r="AJ70" s="228">
        <v>0.7</v>
      </c>
      <c r="AK70" s="229">
        <v>1.3299999999999999E-2</v>
      </c>
      <c r="AL70" s="228">
        <v>38.200000000000003</v>
      </c>
      <c r="AM70" s="228">
        <v>37.799999999999997</v>
      </c>
      <c r="AN70" s="228">
        <v>0.4</v>
      </c>
      <c r="AO70" s="229">
        <v>1.9E-2</v>
      </c>
      <c r="AP70" s="231">
        <v>2027.31</v>
      </c>
      <c r="AQ70" s="231">
        <v>2034.88</v>
      </c>
      <c r="AR70" s="228">
        <v>0</v>
      </c>
      <c r="AS70" s="228">
        <v>159</v>
      </c>
      <c r="AT70" s="228">
        <v>207</v>
      </c>
      <c r="AU70" s="228">
        <v>-48</v>
      </c>
      <c r="AV70" s="229">
        <v>-0.23169999999999999</v>
      </c>
      <c r="AW70" s="228">
        <v>149</v>
      </c>
      <c r="AX70" s="228">
        <v>196</v>
      </c>
      <c r="AY70" s="228">
        <v>-47</v>
      </c>
      <c r="AZ70" s="229">
        <v>-0.2387</v>
      </c>
      <c r="BA70" s="228">
        <v>8</v>
      </c>
      <c r="BB70" s="228">
        <v>8</v>
      </c>
      <c r="BC70" s="228">
        <v>1</v>
      </c>
      <c r="BD70" s="229">
        <v>7.8E-2</v>
      </c>
      <c r="BE70" s="228">
        <v>1</v>
      </c>
      <c r="BF70" s="228">
        <v>3</v>
      </c>
      <c r="BG70" s="228">
        <v>-2</v>
      </c>
      <c r="BH70" s="229">
        <v>-0.63829999999999998</v>
      </c>
      <c r="BI70" s="228">
        <v>241</v>
      </c>
      <c r="BJ70" s="228">
        <v>358</v>
      </c>
      <c r="BK70" s="228">
        <v>-117</v>
      </c>
      <c r="BL70" s="229">
        <v>-0.32750000000000001</v>
      </c>
      <c r="BM70" s="228">
        <v>105</v>
      </c>
      <c r="BN70" s="228">
        <v>150</v>
      </c>
      <c r="BO70" s="228">
        <v>-45</v>
      </c>
      <c r="BP70" s="229">
        <v>-0.30270000000000002</v>
      </c>
      <c r="BQ70" s="228">
        <v>504</v>
      </c>
      <c r="BR70" s="228">
        <v>715</v>
      </c>
      <c r="BS70" s="228">
        <v>-210</v>
      </c>
      <c r="BT70" s="229">
        <v>-0.29459999999999997</v>
      </c>
      <c r="BU70" s="230">
        <v>292491</v>
      </c>
      <c r="BV70" s="230">
        <v>406365</v>
      </c>
      <c r="BW70" s="230">
        <v>-113874</v>
      </c>
      <c r="BX70" s="229">
        <v>-0.2802</v>
      </c>
      <c r="BY70" s="230">
        <v>1852</v>
      </c>
      <c r="BZ70" s="230">
        <v>1834</v>
      </c>
      <c r="CA70" s="228">
        <v>19</v>
      </c>
      <c r="CB70" s="229">
        <v>1.01E-2</v>
      </c>
      <c r="CC70" s="230">
        <v>1820</v>
      </c>
      <c r="CD70" s="230">
        <v>1803</v>
      </c>
      <c r="CE70" s="228">
        <v>17</v>
      </c>
      <c r="CF70" s="229">
        <v>9.4000000000000004E-3</v>
      </c>
      <c r="CG70" s="228">
        <v>31</v>
      </c>
      <c r="CH70" s="228">
        <v>29</v>
      </c>
      <c r="CI70" s="228">
        <v>2</v>
      </c>
      <c r="CJ70" s="229">
        <v>6.4799999999999996E-2</v>
      </c>
      <c r="CK70" s="228">
        <v>1</v>
      </c>
      <c r="CL70" s="228">
        <v>1</v>
      </c>
      <c r="CM70" s="228">
        <v>0</v>
      </c>
      <c r="CN70" s="229">
        <v>-0.2273</v>
      </c>
      <c r="CO70" s="228">
        <v>329</v>
      </c>
      <c r="CP70" s="228">
        <v>309</v>
      </c>
      <c r="CQ70" s="228">
        <v>20</v>
      </c>
      <c r="CR70" s="229">
        <v>6.6000000000000003E-2</v>
      </c>
      <c r="CS70" s="228">
        <v>267</v>
      </c>
      <c r="CT70" s="228">
        <v>256</v>
      </c>
      <c r="CU70" s="228">
        <v>11</v>
      </c>
      <c r="CV70" s="229">
        <v>4.4900000000000002E-2</v>
      </c>
      <c r="CW70" s="230">
        <v>2449</v>
      </c>
      <c r="CX70" s="230">
        <v>2398</v>
      </c>
      <c r="CY70" s="228">
        <v>50</v>
      </c>
      <c r="CZ70" s="229">
        <v>2.1000000000000001E-2</v>
      </c>
      <c r="DA70" s="228">
        <v>25.74</v>
      </c>
      <c r="DB70" s="228">
        <v>26.14</v>
      </c>
      <c r="DC70" s="228">
        <v>-0.4</v>
      </c>
      <c r="DD70" s="228">
        <v>-0.4</v>
      </c>
      <c r="DE70" s="228">
        <v>41.62</v>
      </c>
      <c r="DF70" s="228">
        <v>41.71</v>
      </c>
      <c r="DG70" s="228">
        <v>-15.88</v>
      </c>
      <c r="DH70" s="228">
        <v>-0.09</v>
      </c>
      <c r="DI70" s="228">
        <v>25.59</v>
      </c>
      <c r="DJ70" s="228">
        <v>26</v>
      </c>
      <c r="DK70" s="228">
        <v>-0.41</v>
      </c>
      <c r="DL70" s="228">
        <v>-0.41</v>
      </c>
      <c r="DM70" s="228">
        <v>26.07</v>
      </c>
      <c r="DN70" s="228">
        <v>26.48</v>
      </c>
      <c r="DO70" s="228">
        <v>-0.41</v>
      </c>
      <c r="DP70" s="228">
        <v>-0.41</v>
      </c>
      <c r="DQ70" s="228">
        <v>0.81</v>
      </c>
      <c r="DR70" s="228">
        <v>0.83</v>
      </c>
      <c r="DS70" s="228">
        <v>-0.02</v>
      </c>
      <c r="DT70" s="229">
        <v>-2.41E-2</v>
      </c>
      <c r="DU70" s="231">
        <v>2000</v>
      </c>
      <c r="DV70" s="231">
        <v>2000</v>
      </c>
      <c r="DW70" s="228">
        <v>0.44</v>
      </c>
      <c r="DX70" s="228">
        <v>0.42</v>
      </c>
      <c r="DY70" s="228">
        <v>0.02</v>
      </c>
      <c r="DZ70" s="229">
        <v>4.7600000000000003E-2</v>
      </c>
      <c r="EA70" s="229">
        <v>1.7399999999999999E-2</v>
      </c>
      <c r="EB70" s="230">
        <v>150425</v>
      </c>
      <c r="EC70" s="229">
        <v>6.4000000000000003E-3</v>
      </c>
      <c r="ED70" s="229">
        <v>1.7399999999999999E-2</v>
      </c>
      <c r="EE70" s="228">
        <v>7.57</v>
      </c>
      <c r="EF70" s="229">
        <v>3.7000000000000002E-3</v>
      </c>
      <c r="EG70" s="230">
        <v>169326</v>
      </c>
      <c r="EH70" s="230">
        <v>227729</v>
      </c>
      <c r="EI70" s="229">
        <v>-0.25650000000000001</v>
      </c>
      <c r="EJ70" s="229">
        <v>0.57889999999999997</v>
      </c>
      <c r="EK70" s="228">
        <v>251.42</v>
      </c>
      <c r="EL70" s="228">
        <v>102.61</v>
      </c>
      <c r="EM70" s="228">
        <v>158.82</v>
      </c>
      <c r="EN70" s="228">
        <v>139.51</v>
      </c>
      <c r="EO70" s="228">
        <v>512.86</v>
      </c>
      <c r="EP70" s="228">
        <v>724.85</v>
      </c>
      <c r="EQ70" s="228">
        <v>-212</v>
      </c>
      <c r="ER70" s="229">
        <v>-0.29249999999999998</v>
      </c>
      <c r="ES70" s="228">
        <v>336</v>
      </c>
      <c r="ET70" s="228">
        <v>262.52999999999997</v>
      </c>
      <c r="EU70" s="231">
        <v>1852.42</v>
      </c>
      <c r="EV70" s="231">
        <v>17263909</v>
      </c>
      <c r="EW70" s="231">
        <v>2450.9499999999998</v>
      </c>
      <c r="EX70" s="231">
        <v>2388.69</v>
      </c>
      <c r="EY70" s="228">
        <v>62.26</v>
      </c>
      <c r="EZ70" s="229">
        <v>2.6100000000000002E-2</v>
      </c>
      <c r="FA70" s="229">
        <v>0.69889999999999997</v>
      </c>
      <c r="FB70" s="227" t="s">
        <v>555</v>
      </c>
      <c r="FC70">
        <f t="shared" si="1"/>
        <v>32</v>
      </c>
    </row>
    <row r="71" spans="1:159" ht="17.25" thickBot="1" x14ac:dyDescent="0.3">
      <c r="A71" s="226">
        <v>46023</v>
      </c>
      <c r="B71" s="227" t="s">
        <v>157</v>
      </c>
      <c r="C71" s="227" t="s">
        <v>219</v>
      </c>
      <c r="D71" s="228">
        <v>250</v>
      </c>
      <c r="E71" s="228">
        <v>26</v>
      </c>
      <c r="F71" s="231">
        <v>2871</v>
      </c>
      <c r="G71" s="231">
        <v>2843.1</v>
      </c>
      <c r="H71" s="228">
        <v>27.9</v>
      </c>
      <c r="I71" s="229">
        <v>9.7999999999999997E-3</v>
      </c>
      <c r="J71" s="231">
        <v>2851.7</v>
      </c>
      <c r="K71" s="231">
        <v>2829</v>
      </c>
      <c r="L71" s="228">
        <v>22.7</v>
      </c>
      <c r="M71" s="229">
        <v>8.0000000000000002E-3</v>
      </c>
      <c r="N71" s="231">
        <v>2871</v>
      </c>
      <c r="O71" s="231">
        <v>2843.1</v>
      </c>
      <c r="P71" s="228">
        <v>27.9</v>
      </c>
      <c r="Q71" s="229">
        <v>9.7999999999999997E-3</v>
      </c>
      <c r="R71" s="231">
        <v>2886.8</v>
      </c>
      <c r="S71" s="231">
        <v>2860.8</v>
      </c>
      <c r="T71" s="228">
        <v>26</v>
      </c>
      <c r="U71" s="229">
        <v>9.1000000000000004E-3</v>
      </c>
      <c r="V71" s="231">
        <v>2910</v>
      </c>
      <c r="W71" s="228">
        <v>0</v>
      </c>
      <c r="X71" s="231">
        <v>2910</v>
      </c>
      <c r="Y71" s="229">
        <v>0</v>
      </c>
      <c r="Z71" s="228">
        <v>19.3</v>
      </c>
      <c r="AA71" s="228">
        <v>14.1</v>
      </c>
      <c r="AB71" s="228">
        <v>5.2</v>
      </c>
      <c r="AC71" s="229">
        <v>6.7999999999999996E-3</v>
      </c>
      <c r="AD71" s="228">
        <v>19.3</v>
      </c>
      <c r="AE71" s="228">
        <v>14.1</v>
      </c>
      <c r="AF71" s="228">
        <v>5.2</v>
      </c>
      <c r="AG71" s="229">
        <v>6.7999999999999996E-3</v>
      </c>
      <c r="AH71" s="228">
        <v>35.1</v>
      </c>
      <c r="AI71" s="228">
        <v>31.8</v>
      </c>
      <c r="AJ71" s="228">
        <v>3.3</v>
      </c>
      <c r="AK71" s="229">
        <v>1.23E-2</v>
      </c>
      <c r="AL71" s="228">
        <v>58.3</v>
      </c>
      <c r="AM71" s="228">
        <v>0</v>
      </c>
      <c r="AN71" s="228">
        <v>58.3</v>
      </c>
      <c r="AO71" s="229">
        <v>2.0400000000000001E-2</v>
      </c>
      <c r="AP71" s="231">
        <v>2859.57</v>
      </c>
      <c r="AQ71" s="231">
        <v>2869.82</v>
      </c>
      <c r="AR71" s="228">
        <v>0</v>
      </c>
      <c r="AS71" s="228">
        <v>143</v>
      </c>
      <c r="AT71" s="228">
        <v>305</v>
      </c>
      <c r="AU71" s="228">
        <v>-162</v>
      </c>
      <c r="AV71" s="229">
        <v>-0.53100000000000003</v>
      </c>
      <c r="AW71" s="228">
        <v>135</v>
      </c>
      <c r="AX71" s="228">
        <v>299</v>
      </c>
      <c r="AY71" s="228">
        <v>-164</v>
      </c>
      <c r="AZ71" s="229">
        <v>-0.54779999999999995</v>
      </c>
      <c r="BA71" s="228">
        <v>6</v>
      </c>
      <c r="BB71" s="228">
        <v>5</v>
      </c>
      <c r="BC71" s="228">
        <v>1</v>
      </c>
      <c r="BD71" s="229">
        <v>0.1842</v>
      </c>
      <c r="BE71" s="228">
        <v>1</v>
      </c>
      <c r="BF71" s="228">
        <v>0</v>
      </c>
      <c r="BG71" s="228">
        <v>1</v>
      </c>
      <c r="BH71" s="229">
        <v>0</v>
      </c>
      <c r="BI71" s="228">
        <v>237</v>
      </c>
      <c r="BJ71" s="228">
        <v>368</v>
      </c>
      <c r="BK71" s="228">
        <v>-131</v>
      </c>
      <c r="BL71" s="229">
        <v>-0.35649999999999998</v>
      </c>
      <c r="BM71" s="228">
        <v>118</v>
      </c>
      <c r="BN71" s="228">
        <v>339</v>
      </c>
      <c r="BO71" s="228">
        <v>-221</v>
      </c>
      <c r="BP71" s="229">
        <v>-0.65159999999999996</v>
      </c>
      <c r="BQ71" s="228">
        <v>498</v>
      </c>
      <c r="BR71" s="230">
        <v>1012</v>
      </c>
      <c r="BS71" s="228">
        <v>-514</v>
      </c>
      <c r="BT71" s="229">
        <v>-0.50800000000000001</v>
      </c>
      <c r="BU71" s="230">
        <v>456304</v>
      </c>
      <c r="BV71" s="230">
        <v>338029</v>
      </c>
      <c r="BW71" s="230">
        <v>118275</v>
      </c>
      <c r="BX71" s="229">
        <v>0.34989999999999999</v>
      </c>
      <c r="BY71" s="230">
        <v>4520</v>
      </c>
      <c r="BZ71" s="230">
        <v>4478</v>
      </c>
      <c r="CA71" s="228">
        <v>42</v>
      </c>
      <c r="CB71" s="229">
        <v>9.4000000000000004E-3</v>
      </c>
      <c r="CC71" s="230">
        <v>4507</v>
      </c>
      <c r="CD71" s="230">
        <v>4468</v>
      </c>
      <c r="CE71" s="228">
        <v>39</v>
      </c>
      <c r="CF71" s="229">
        <v>8.6999999999999994E-3</v>
      </c>
      <c r="CG71" s="228">
        <v>13</v>
      </c>
      <c r="CH71" s="228">
        <v>10</v>
      </c>
      <c r="CI71" s="228">
        <v>2</v>
      </c>
      <c r="CJ71" s="229">
        <v>0.1986</v>
      </c>
      <c r="CK71" s="228">
        <v>1</v>
      </c>
      <c r="CL71" s="228">
        <v>0</v>
      </c>
      <c r="CM71" s="228">
        <v>1</v>
      </c>
      <c r="CN71" s="229">
        <v>0</v>
      </c>
      <c r="CO71" s="228">
        <v>284</v>
      </c>
      <c r="CP71" s="228">
        <v>254</v>
      </c>
      <c r="CQ71" s="228">
        <v>30</v>
      </c>
      <c r="CR71" s="229">
        <v>0.1178</v>
      </c>
      <c r="CS71" s="228">
        <v>295</v>
      </c>
      <c r="CT71" s="228">
        <v>274</v>
      </c>
      <c r="CU71" s="228">
        <v>21</v>
      </c>
      <c r="CV71" s="229">
        <v>7.5399999999999995E-2</v>
      </c>
      <c r="CW71" s="230">
        <v>5099</v>
      </c>
      <c r="CX71" s="230">
        <v>5007</v>
      </c>
      <c r="CY71" s="228">
        <v>93</v>
      </c>
      <c r="CZ71" s="229">
        <v>1.8499999999999999E-2</v>
      </c>
      <c r="DA71" s="228">
        <v>16.989999999999998</v>
      </c>
      <c r="DB71" s="228">
        <v>17.399999999999999</v>
      </c>
      <c r="DC71" s="228">
        <v>-0.41</v>
      </c>
      <c r="DD71" s="228">
        <v>-0.41</v>
      </c>
      <c r="DE71" s="228">
        <v>25</v>
      </c>
      <c r="DF71" s="228">
        <v>25.04</v>
      </c>
      <c r="DG71" s="228">
        <v>-8.01</v>
      </c>
      <c r="DH71" s="228">
        <v>-0.04</v>
      </c>
      <c r="DI71" s="228">
        <v>16.829999999999998</v>
      </c>
      <c r="DJ71" s="228">
        <v>17.22</v>
      </c>
      <c r="DK71" s="228">
        <v>-0.39</v>
      </c>
      <c r="DL71" s="228">
        <v>-0.39</v>
      </c>
      <c r="DM71" s="228">
        <v>17.32</v>
      </c>
      <c r="DN71" s="228">
        <v>17.600000000000001</v>
      </c>
      <c r="DO71" s="228">
        <v>-0.28000000000000003</v>
      </c>
      <c r="DP71" s="228">
        <v>-0.28000000000000003</v>
      </c>
      <c r="DQ71" s="228">
        <v>1.04</v>
      </c>
      <c r="DR71" s="228">
        <v>1.08</v>
      </c>
      <c r="DS71" s="228">
        <v>-0.04</v>
      </c>
      <c r="DT71" s="229">
        <v>-3.6999999999999998E-2</v>
      </c>
      <c r="DU71" s="231">
        <v>2900</v>
      </c>
      <c r="DV71" s="231">
        <v>2740</v>
      </c>
      <c r="DW71" s="228">
        <v>0.5</v>
      </c>
      <c r="DX71" s="228">
        <v>0.92</v>
      </c>
      <c r="DY71" s="228">
        <v>-0.42</v>
      </c>
      <c r="DZ71" s="229">
        <v>-0.45650000000000002</v>
      </c>
      <c r="EA71" s="229">
        <v>3.0000000000000001E-3</v>
      </c>
      <c r="EB71" s="230">
        <v>36500</v>
      </c>
      <c r="EC71" s="229">
        <v>5.4999999999999997E-3</v>
      </c>
      <c r="ED71" s="229">
        <v>3.0000000000000001E-3</v>
      </c>
      <c r="EE71" s="228">
        <v>10.25</v>
      </c>
      <c r="EF71" s="229">
        <v>3.5999999999999999E-3</v>
      </c>
      <c r="EG71" s="230">
        <v>288635</v>
      </c>
      <c r="EH71" s="230">
        <v>176087</v>
      </c>
      <c r="EI71" s="229">
        <v>0.63919999999999999</v>
      </c>
      <c r="EJ71" s="229">
        <v>0.63249999999999995</v>
      </c>
      <c r="EK71" s="228">
        <v>242.64</v>
      </c>
      <c r="EL71" s="228">
        <v>115.56</v>
      </c>
      <c r="EM71" s="228">
        <v>142.44</v>
      </c>
      <c r="EN71" s="228">
        <v>237.24</v>
      </c>
      <c r="EO71" s="228">
        <v>500.65</v>
      </c>
      <c r="EP71" s="231">
        <v>1011.64</v>
      </c>
      <c r="EQ71" s="228">
        <v>-510.99</v>
      </c>
      <c r="ER71" s="229">
        <v>-0.50509999999999999</v>
      </c>
      <c r="ES71" s="228">
        <v>289.48</v>
      </c>
      <c r="ET71" s="228">
        <v>282.74</v>
      </c>
      <c r="EU71" s="231">
        <v>4520.47</v>
      </c>
      <c r="EV71" s="231">
        <v>38505832</v>
      </c>
      <c r="EW71" s="231">
        <v>5092.7</v>
      </c>
      <c r="EX71" s="231">
        <v>4956.87</v>
      </c>
      <c r="EY71" s="228">
        <v>135.83000000000001</v>
      </c>
      <c r="EZ71" s="229">
        <v>2.7400000000000001E-2</v>
      </c>
      <c r="FA71" s="229">
        <v>0.46129999999999999</v>
      </c>
      <c r="FB71" s="227" t="s">
        <v>555</v>
      </c>
      <c r="FC71">
        <f t="shared" si="1"/>
        <v>13</v>
      </c>
    </row>
    <row r="72" spans="1:159" ht="17.25" thickBot="1" x14ac:dyDescent="0.3">
      <c r="A72" s="226">
        <v>46023</v>
      </c>
      <c r="B72" s="227" t="s">
        <v>184</v>
      </c>
      <c r="C72" s="227" t="s">
        <v>513</v>
      </c>
      <c r="D72" s="228">
        <v>150</v>
      </c>
      <c r="E72" s="228">
        <v>26</v>
      </c>
      <c r="F72" s="231">
        <v>4417.5</v>
      </c>
      <c r="G72" s="231">
        <v>4411.7</v>
      </c>
      <c r="H72" s="228">
        <v>5.8</v>
      </c>
      <c r="I72" s="229">
        <v>1.2999999999999999E-3</v>
      </c>
      <c r="J72" s="231">
        <v>4397.8999999999996</v>
      </c>
      <c r="K72" s="231">
        <v>4388.7</v>
      </c>
      <c r="L72" s="228">
        <v>9.1999999999999993</v>
      </c>
      <c r="M72" s="229">
        <v>2.0999999999999999E-3</v>
      </c>
      <c r="N72" s="231">
        <v>4417.5</v>
      </c>
      <c r="O72" s="231">
        <v>4411.7</v>
      </c>
      <c r="P72" s="228">
        <v>5.8</v>
      </c>
      <c r="Q72" s="229">
        <v>1.2999999999999999E-3</v>
      </c>
      <c r="R72" s="231">
        <v>4426.5</v>
      </c>
      <c r="S72" s="231">
        <v>4423.6000000000004</v>
      </c>
      <c r="T72" s="228">
        <v>2.9</v>
      </c>
      <c r="U72" s="229">
        <v>6.9999999999999999E-4</v>
      </c>
      <c r="V72" s="231">
        <v>4443.5</v>
      </c>
      <c r="W72" s="231">
        <v>4440.1000000000004</v>
      </c>
      <c r="X72" s="228">
        <v>3.4</v>
      </c>
      <c r="Y72" s="229">
        <v>8.0000000000000004E-4</v>
      </c>
      <c r="Z72" s="228">
        <v>19.600000000000001</v>
      </c>
      <c r="AA72" s="228">
        <v>23</v>
      </c>
      <c r="AB72" s="228">
        <v>-3.4</v>
      </c>
      <c r="AC72" s="229">
        <v>4.4999999999999997E-3</v>
      </c>
      <c r="AD72" s="228">
        <v>19.600000000000001</v>
      </c>
      <c r="AE72" s="228">
        <v>23</v>
      </c>
      <c r="AF72" s="228">
        <v>-3.4</v>
      </c>
      <c r="AG72" s="229">
        <v>4.4999999999999997E-3</v>
      </c>
      <c r="AH72" s="228">
        <v>28.6</v>
      </c>
      <c r="AI72" s="228">
        <v>34.9</v>
      </c>
      <c r="AJ72" s="228">
        <v>-6.3</v>
      </c>
      <c r="AK72" s="229">
        <v>6.4999999999999997E-3</v>
      </c>
      <c r="AL72" s="228">
        <v>45.6</v>
      </c>
      <c r="AM72" s="228">
        <v>51.4</v>
      </c>
      <c r="AN72" s="228">
        <v>-5.8</v>
      </c>
      <c r="AO72" s="229">
        <v>1.04E-2</v>
      </c>
      <c r="AP72" s="231">
        <v>4399.72</v>
      </c>
      <c r="AQ72" s="231">
        <v>4410.71</v>
      </c>
      <c r="AR72" s="228">
        <v>0</v>
      </c>
      <c r="AS72" s="228">
        <v>362</v>
      </c>
      <c r="AT72" s="228">
        <v>392</v>
      </c>
      <c r="AU72" s="228">
        <v>-30</v>
      </c>
      <c r="AV72" s="229">
        <v>-7.6899999999999996E-2</v>
      </c>
      <c r="AW72" s="228">
        <v>259</v>
      </c>
      <c r="AX72" s="228">
        <v>335</v>
      </c>
      <c r="AY72" s="228">
        <v>-75</v>
      </c>
      <c r="AZ72" s="229">
        <v>-0.22500000000000001</v>
      </c>
      <c r="BA72" s="228">
        <v>98</v>
      </c>
      <c r="BB72" s="228">
        <v>51</v>
      </c>
      <c r="BC72" s="228">
        <v>47</v>
      </c>
      <c r="BD72" s="229">
        <v>0.91200000000000003</v>
      </c>
      <c r="BE72" s="228">
        <v>5</v>
      </c>
      <c r="BF72" s="228">
        <v>6</v>
      </c>
      <c r="BG72" s="228">
        <v>-2</v>
      </c>
      <c r="BH72" s="229">
        <v>-0.25530000000000003</v>
      </c>
      <c r="BI72" s="228">
        <v>918</v>
      </c>
      <c r="BJ72" s="230">
        <v>1671</v>
      </c>
      <c r="BK72" s="228">
        <v>-753</v>
      </c>
      <c r="BL72" s="229">
        <v>-0.45040000000000002</v>
      </c>
      <c r="BM72" s="228">
        <v>476</v>
      </c>
      <c r="BN72" s="228">
        <v>596</v>
      </c>
      <c r="BO72" s="228">
        <v>-120</v>
      </c>
      <c r="BP72" s="229">
        <v>-0.20150000000000001</v>
      </c>
      <c r="BQ72" s="230">
        <v>1756</v>
      </c>
      <c r="BR72" s="230">
        <v>2659</v>
      </c>
      <c r="BS72" s="228">
        <v>-903</v>
      </c>
      <c r="BT72" s="229">
        <v>-0.33950000000000002</v>
      </c>
      <c r="BU72" s="230">
        <v>400352</v>
      </c>
      <c r="BV72" s="230">
        <v>570661</v>
      </c>
      <c r="BW72" s="230">
        <v>-170309</v>
      </c>
      <c r="BX72" s="229">
        <v>-0.2984</v>
      </c>
      <c r="BY72" s="230">
        <v>4258</v>
      </c>
      <c r="BZ72" s="230">
        <v>4255</v>
      </c>
      <c r="CA72" s="228">
        <v>2</v>
      </c>
      <c r="CB72" s="229">
        <v>5.0000000000000001E-4</v>
      </c>
      <c r="CC72" s="230">
        <v>3931</v>
      </c>
      <c r="CD72" s="230">
        <v>4001</v>
      </c>
      <c r="CE72" s="228">
        <v>-70</v>
      </c>
      <c r="CF72" s="229">
        <v>-1.7399999999999999E-2</v>
      </c>
      <c r="CG72" s="228">
        <v>318</v>
      </c>
      <c r="CH72" s="228">
        <v>249</v>
      </c>
      <c r="CI72" s="228">
        <v>69</v>
      </c>
      <c r="CJ72" s="229">
        <v>0.27889999999999998</v>
      </c>
      <c r="CK72" s="228">
        <v>8</v>
      </c>
      <c r="CL72" s="228">
        <v>5</v>
      </c>
      <c r="CM72" s="228">
        <v>2</v>
      </c>
      <c r="CN72" s="229">
        <v>0.46250000000000002</v>
      </c>
      <c r="CO72" s="230">
        <v>1588</v>
      </c>
      <c r="CP72" s="230">
        <v>1503</v>
      </c>
      <c r="CQ72" s="228">
        <v>84</v>
      </c>
      <c r="CR72" s="229">
        <v>5.6099999999999997E-2</v>
      </c>
      <c r="CS72" s="230">
        <v>1115</v>
      </c>
      <c r="CT72" s="230">
        <v>1062</v>
      </c>
      <c r="CU72" s="228">
        <v>53</v>
      </c>
      <c r="CV72" s="229">
        <v>4.99E-2</v>
      </c>
      <c r="CW72" s="230">
        <v>6960</v>
      </c>
      <c r="CX72" s="230">
        <v>6821</v>
      </c>
      <c r="CY72" s="228">
        <v>140</v>
      </c>
      <c r="CZ72" s="229">
        <v>2.0500000000000001E-2</v>
      </c>
      <c r="DA72" s="228">
        <v>23.45</v>
      </c>
      <c r="DB72" s="228">
        <v>23.44</v>
      </c>
      <c r="DC72" s="228">
        <v>0.01</v>
      </c>
      <c r="DD72" s="228">
        <v>0.01</v>
      </c>
      <c r="DE72" s="228">
        <v>37</v>
      </c>
      <c r="DF72" s="228">
        <v>37.1</v>
      </c>
      <c r="DG72" s="228">
        <v>-13.55</v>
      </c>
      <c r="DH72" s="228">
        <v>-0.1</v>
      </c>
      <c r="DI72" s="228">
        <v>23.59</v>
      </c>
      <c r="DJ72" s="228">
        <v>23.58</v>
      </c>
      <c r="DK72" s="228">
        <v>0.01</v>
      </c>
      <c r="DL72" s="228">
        <v>0.01</v>
      </c>
      <c r="DM72" s="228">
        <v>23.17</v>
      </c>
      <c r="DN72" s="228">
        <v>23.06</v>
      </c>
      <c r="DO72" s="228">
        <v>0.11</v>
      </c>
      <c r="DP72" s="228">
        <v>0.11</v>
      </c>
      <c r="DQ72" s="228">
        <v>0.7</v>
      </c>
      <c r="DR72" s="228">
        <v>0.71</v>
      </c>
      <c r="DS72" s="228">
        <v>-0.01</v>
      </c>
      <c r="DT72" s="229">
        <v>-1.41E-2</v>
      </c>
      <c r="DU72" s="231">
        <v>5000</v>
      </c>
      <c r="DV72" s="231">
        <v>4400</v>
      </c>
      <c r="DW72" s="228">
        <v>0.52</v>
      </c>
      <c r="DX72" s="228">
        <v>0.36</v>
      </c>
      <c r="DY72" s="228">
        <v>0.16</v>
      </c>
      <c r="DZ72" s="229">
        <v>0.44440000000000002</v>
      </c>
      <c r="EA72" s="229">
        <v>7.6600000000000001E-2</v>
      </c>
      <c r="EB72" s="230">
        <v>575700</v>
      </c>
      <c r="EC72" s="229">
        <v>2E-3</v>
      </c>
      <c r="ED72" s="229">
        <v>7.6600000000000001E-2</v>
      </c>
      <c r="EE72" s="228">
        <v>10.99</v>
      </c>
      <c r="EF72" s="229">
        <v>2.5000000000000001E-3</v>
      </c>
      <c r="EG72" s="230">
        <v>184893</v>
      </c>
      <c r="EH72" s="230">
        <v>261111</v>
      </c>
      <c r="EI72" s="229">
        <v>-0.29189999999999999</v>
      </c>
      <c r="EJ72" s="229">
        <v>0.46179999999999999</v>
      </c>
      <c r="EK72" s="228">
        <v>968.57</v>
      </c>
      <c r="EL72" s="228">
        <v>473.57</v>
      </c>
      <c r="EM72" s="228">
        <v>360.73</v>
      </c>
      <c r="EN72" s="228">
        <v>298.83999999999997</v>
      </c>
      <c r="EO72" s="231">
        <v>1802.87</v>
      </c>
      <c r="EP72" s="231">
        <v>2737.01</v>
      </c>
      <c r="EQ72" s="228">
        <v>-934.14</v>
      </c>
      <c r="ER72" s="229">
        <v>-0.34129999999999999</v>
      </c>
      <c r="ES72" s="231">
        <v>1674.95</v>
      </c>
      <c r="ET72" s="231">
        <v>1120.29</v>
      </c>
      <c r="EU72" s="231">
        <v>4258.26</v>
      </c>
      <c r="EV72" s="231">
        <v>28450886</v>
      </c>
      <c r="EW72" s="231">
        <v>7053.5</v>
      </c>
      <c r="EX72" s="231">
        <v>6902.17</v>
      </c>
      <c r="EY72" s="228">
        <v>151.33000000000001</v>
      </c>
      <c r="EZ72" s="229">
        <v>2.1899999999999999E-2</v>
      </c>
      <c r="FA72" s="229">
        <v>0.55379999999999996</v>
      </c>
      <c r="FB72" s="227" t="s">
        <v>555</v>
      </c>
      <c r="FC72">
        <f t="shared" si="1"/>
        <v>327</v>
      </c>
    </row>
    <row r="73" spans="1:159" ht="17.25" thickBot="1" x14ac:dyDescent="0.3">
      <c r="A73" s="226">
        <v>46023</v>
      </c>
      <c r="B73" s="227" t="s">
        <v>184</v>
      </c>
      <c r="C73" s="227" t="s">
        <v>220</v>
      </c>
      <c r="D73" s="228">
        <v>500</v>
      </c>
      <c r="E73" s="228">
        <v>26</v>
      </c>
      <c r="F73" s="231">
        <v>1424.8</v>
      </c>
      <c r="G73" s="231">
        <v>1432.5</v>
      </c>
      <c r="H73" s="228">
        <v>-7.7</v>
      </c>
      <c r="I73" s="229">
        <v>-5.4000000000000003E-3</v>
      </c>
      <c r="J73" s="231">
        <v>1417.5</v>
      </c>
      <c r="K73" s="231">
        <v>1424.9</v>
      </c>
      <c r="L73" s="228">
        <v>-7.4</v>
      </c>
      <c r="M73" s="229">
        <v>-5.1999999999999998E-3</v>
      </c>
      <c r="N73" s="231">
        <v>1424.8</v>
      </c>
      <c r="O73" s="231">
        <v>1432.5</v>
      </c>
      <c r="P73" s="228">
        <v>-7.7</v>
      </c>
      <c r="Q73" s="229">
        <v>-5.4000000000000003E-3</v>
      </c>
      <c r="R73" s="231">
        <v>1431.7</v>
      </c>
      <c r="S73" s="231">
        <v>1438.3</v>
      </c>
      <c r="T73" s="228">
        <v>-6.6</v>
      </c>
      <c r="U73" s="229">
        <v>-4.5999999999999999E-3</v>
      </c>
      <c r="V73" s="231">
        <v>1435.7</v>
      </c>
      <c r="W73" s="231">
        <v>1447.6</v>
      </c>
      <c r="X73" s="228">
        <v>-11.9</v>
      </c>
      <c r="Y73" s="229">
        <v>-8.2000000000000007E-3</v>
      </c>
      <c r="Z73" s="228">
        <v>7.3</v>
      </c>
      <c r="AA73" s="228">
        <v>7.6</v>
      </c>
      <c r="AB73" s="228">
        <v>-0.3</v>
      </c>
      <c r="AC73" s="229">
        <v>5.1000000000000004E-3</v>
      </c>
      <c r="AD73" s="228">
        <v>7.3</v>
      </c>
      <c r="AE73" s="228">
        <v>7.6</v>
      </c>
      <c r="AF73" s="228">
        <v>-0.3</v>
      </c>
      <c r="AG73" s="229">
        <v>5.1000000000000004E-3</v>
      </c>
      <c r="AH73" s="228">
        <v>14.2</v>
      </c>
      <c r="AI73" s="228">
        <v>13.4</v>
      </c>
      <c r="AJ73" s="228">
        <v>0.8</v>
      </c>
      <c r="AK73" s="229">
        <v>0.01</v>
      </c>
      <c r="AL73" s="228">
        <v>18.2</v>
      </c>
      <c r="AM73" s="228">
        <v>22.7</v>
      </c>
      <c r="AN73" s="228">
        <v>-4.5</v>
      </c>
      <c r="AO73" s="229">
        <v>1.2800000000000001E-2</v>
      </c>
      <c r="AP73" s="231">
        <v>1426.85</v>
      </c>
      <c r="AQ73" s="231">
        <v>1432.27</v>
      </c>
      <c r="AR73" s="228">
        <v>0</v>
      </c>
      <c r="AS73" s="228">
        <v>70</v>
      </c>
      <c r="AT73" s="228">
        <v>103</v>
      </c>
      <c r="AU73" s="228">
        <v>-33</v>
      </c>
      <c r="AV73" s="229">
        <v>-0.32319999999999999</v>
      </c>
      <c r="AW73" s="228">
        <v>66</v>
      </c>
      <c r="AX73" s="228">
        <v>97</v>
      </c>
      <c r="AY73" s="228">
        <v>-31</v>
      </c>
      <c r="AZ73" s="229">
        <v>-0.32300000000000001</v>
      </c>
      <c r="BA73" s="228">
        <v>4</v>
      </c>
      <c r="BB73" s="228">
        <v>5</v>
      </c>
      <c r="BC73" s="228">
        <v>-2</v>
      </c>
      <c r="BD73" s="229">
        <v>-0.3377</v>
      </c>
      <c r="BE73" s="228">
        <v>0</v>
      </c>
      <c r="BF73" s="228">
        <v>0</v>
      </c>
      <c r="BG73" s="228">
        <v>0</v>
      </c>
      <c r="BH73" s="229">
        <v>-0.16669999999999999</v>
      </c>
      <c r="BI73" s="228">
        <v>142</v>
      </c>
      <c r="BJ73" s="228">
        <v>157</v>
      </c>
      <c r="BK73" s="228">
        <v>-15</v>
      </c>
      <c r="BL73" s="229">
        <v>-9.7199999999999995E-2</v>
      </c>
      <c r="BM73" s="228">
        <v>64</v>
      </c>
      <c r="BN73" s="228">
        <v>99</v>
      </c>
      <c r="BO73" s="228">
        <v>-35</v>
      </c>
      <c r="BP73" s="229">
        <v>-0.3569</v>
      </c>
      <c r="BQ73" s="228">
        <v>275</v>
      </c>
      <c r="BR73" s="228">
        <v>358</v>
      </c>
      <c r="BS73" s="228">
        <v>-84</v>
      </c>
      <c r="BT73" s="229">
        <v>-0.2336</v>
      </c>
      <c r="BU73" s="230">
        <v>332169</v>
      </c>
      <c r="BV73" s="230">
        <v>522137</v>
      </c>
      <c r="BW73" s="230">
        <v>-189968</v>
      </c>
      <c r="BX73" s="229">
        <v>-0.36380000000000001</v>
      </c>
      <c r="BY73" s="230">
        <v>1115</v>
      </c>
      <c r="BZ73" s="230">
        <v>1112</v>
      </c>
      <c r="CA73" s="228">
        <v>3</v>
      </c>
      <c r="CB73" s="229">
        <v>2.8E-3</v>
      </c>
      <c r="CC73" s="230">
        <v>1083</v>
      </c>
      <c r="CD73" s="230">
        <v>1081</v>
      </c>
      <c r="CE73" s="228">
        <v>2</v>
      </c>
      <c r="CF73" s="229">
        <v>1.6999999999999999E-3</v>
      </c>
      <c r="CG73" s="228">
        <v>32</v>
      </c>
      <c r="CH73" s="228">
        <v>31</v>
      </c>
      <c r="CI73" s="228">
        <v>1</v>
      </c>
      <c r="CJ73" s="229">
        <v>3.6499999999999998E-2</v>
      </c>
      <c r="CK73" s="228">
        <v>0</v>
      </c>
      <c r="CL73" s="228">
        <v>0</v>
      </c>
      <c r="CM73" s="228">
        <v>0</v>
      </c>
      <c r="CN73" s="229">
        <v>0.2</v>
      </c>
      <c r="CO73" s="228">
        <v>190</v>
      </c>
      <c r="CP73" s="228">
        <v>161</v>
      </c>
      <c r="CQ73" s="228">
        <v>29</v>
      </c>
      <c r="CR73" s="229">
        <v>0.17879999999999999</v>
      </c>
      <c r="CS73" s="228">
        <v>211</v>
      </c>
      <c r="CT73" s="228">
        <v>192</v>
      </c>
      <c r="CU73" s="228">
        <v>18</v>
      </c>
      <c r="CV73" s="229">
        <v>9.5600000000000004E-2</v>
      </c>
      <c r="CW73" s="230">
        <v>1516</v>
      </c>
      <c r="CX73" s="230">
        <v>1466</v>
      </c>
      <c r="CY73" s="228">
        <v>50</v>
      </c>
      <c r="CZ73" s="229">
        <v>3.4299999999999997E-2</v>
      </c>
      <c r="DA73" s="228">
        <v>20.45</v>
      </c>
      <c r="DB73" s="228">
        <v>21.56</v>
      </c>
      <c r="DC73" s="228">
        <v>-1.1100000000000001</v>
      </c>
      <c r="DD73" s="228">
        <v>-1.1100000000000001</v>
      </c>
      <c r="DE73" s="228">
        <v>26.6</v>
      </c>
      <c r="DF73" s="228">
        <v>26.66</v>
      </c>
      <c r="DG73" s="228">
        <v>-6.15</v>
      </c>
      <c r="DH73" s="228">
        <v>-0.06</v>
      </c>
      <c r="DI73" s="228">
        <v>20.5</v>
      </c>
      <c r="DJ73" s="228">
        <v>21.14</v>
      </c>
      <c r="DK73" s="228">
        <v>-0.64</v>
      </c>
      <c r="DL73" s="228">
        <v>-0.64</v>
      </c>
      <c r="DM73" s="228">
        <v>20.329999999999998</v>
      </c>
      <c r="DN73" s="228">
        <v>22.23</v>
      </c>
      <c r="DO73" s="228">
        <v>-1.9</v>
      </c>
      <c r="DP73" s="228">
        <v>-1.9</v>
      </c>
      <c r="DQ73" s="228">
        <v>1.1100000000000001</v>
      </c>
      <c r="DR73" s="228">
        <v>1.19</v>
      </c>
      <c r="DS73" s="228">
        <v>-0.08</v>
      </c>
      <c r="DT73" s="229">
        <v>-6.7199999999999996E-2</v>
      </c>
      <c r="DU73" s="231">
        <v>1440</v>
      </c>
      <c r="DV73" s="231">
        <v>1420</v>
      </c>
      <c r="DW73" s="228">
        <v>0.45</v>
      </c>
      <c r="DX73" s="228">
        <v>0.63</v>
      </c>
      <c r="DY73" s="228">
        <v>-0.18</v>
      </c>
      <c r="DZ73" s="229">
        <v>-0.28570000000000001</v>
      </c>
      <c r="EA73" s="229">
        <v>2.9399999999999999E-2</v>
      </c>
      <c r="EB73" s="230">
        <v>221500</v>
      </c>
      <c r="EC73" s="229">
        <v>4.7999999999999996E-3</v>
      </c>
      <c r="ED73" s="229">
        <v>2.9399999999999999E-2</v>
      </c>
      <c r="EE73" s="228">
        <v>5.42</v>
      </c>
      <c r="EF73" s="229">
        <v>3.8E-3</v>
      </c>
      <c r="EG73" s="230">
        <v>252950</v>
      </c>
      <c r="EH73" s="230">
        <v>430975</v>
      </c>
      <c r="EI73" s="229">
        <v>-0.41310000000000002</v>
      </c>
      <c r="EJ73" s="229">
        <v>0.76149999999999995</v>
      </c>
      <c r="EK73" s="228">
        <v>146.80000000000001</v>
      </c>
      <c r="EL73" s="228">
        <v>63.41</v>
      </c>
      <c r="EM73" s="228">
        <v>69.650000000000006</v>
      </c>
      <c r="EN73" s="228">
        <v>71.040000000000006</v>
      </c>
      <c r="EO73" s="228">
        <v>279.85000000000002</v>
      </c>
      <c r="EP73" s="228">
        <v>367.64</v>
      </c>
      <c r="EQ73" s="228">
        <v>-87.78</v>
      </c>
      <c r="ER73" s="229">
        <v>-0.23880000000000001</v>
      </c>
      <c r="ES73" s="228">
        <v>196.75</v>
      </c>
      <c r="ET73" s="228">
        <v>207.26</v>
      </c>
      <c r="EU73" s="231">
        <v>1115.56</v>
      </c>
      <c r="EV73" s="231">
        <v>35667502</v>
      </c>
      <c r="EW73" s="231">
        <v>1519.57</v>
      </c>
      <c r="EX73" s="231">
        <v>1474.64</v>
      </c>
      <c r="EY73" s="228">
        <v>44.93</v>
      </c>
      <c r="EZ73" s="229">
        <v>3.0499999999999999E-2</v>
      </c>
      <c r="FA73" s="229">
        <v>0.2984</v>
      </c>
      <c r="FB73" s="227" t="s">
        <v>567</v>
      </c>
      <c r="FC73">
        <f t="shared" si="1"/>
        <v>32</v>
      </c>
    </row>
    <row r="74" spans="1:159" ht="17.25" thickBot="1" x14ac:dyDescent="0.3">
      <c r="A74" s="226">
        <v>46023</v>
      </c>
      <c r="B74" s="227" t="s">
        <v>221</v>
      </c>
      <c r="C74" s="227" t="s">
        <v>222</v>
      </c>
      <c r="D74" s="228">
        <v>350</v>
      </c>
      <c r="E74" s="228">
        <v>26</v>
      </c>
      <c r="F74" s="231">
        <v>1628.5</v>
      </c>
      <c r="G74" s="231">
        <v>1618.3</v>
      </c>
      <c r="H74" s="228">
        <v>10.199999999999999</v>
      </c>
      <c r="I74" s="229">
        <v>6.3E-3</v>
      </c>
      <c r="J74" s="231">
        <v>1634.5</v>
      </c>
      <c r="K74" s="231">
        <v>1623.3</v>
      </c>
      <c r="L74" s="228">
        <v>11.2</v>
      </c>
      <c r="M74" s="229">
        <v>6.8999999999999999E-3</v>
      </c>
      <c r="N74" s="231">
        <v>1628.5</v>
      </c>
      <c r="O74" s="231">
        <v>1618.3</v>
      </c>
      <c r="P74" s="228">
        <v>10.199999999999999</v>
      </c>
      <c r="Q74" s="229">
        <v>6.3E-3</v>
      </c>
      <c r="R74" s="231">
        <v>1636.5</v>
      </c>
      <c r="S74" s="231">
        <v>1627.5</v>
      </c>
      <c r="T74" s="228">
        <v>9</v>
      </c>
      <c r="U74" s="229">
        <v>5.4999999999999997E-3</v>
      </c>
      <c r="V74" s="231">
        <v>1647.1</v>
      </c>
      <c r="W74" s="231">
        <v>1637.8</v>
      </c>
      <c r="X74" s="228">
        <v>9.3000000000000007</v>
      </c>
      <c r="Y74" s="229">
        <v>5.7000000000000002E-3</v>
      </c>
      <c r="Z74" s="228">
        <v>-6</v>
      </c>
      <c r="AA74" s="228">
        <v>-5</v>
      </c>
      <c r="AB74" s="228">
        <v>-1</v>
      </c>
      <c r="AC74" s="229">
        <v>-3.7000000000000002E-3</v>
      </c>
      <c r="AD74" s="228">
        <v>-6</v>
      </c>
      <c r="AE74" s="228">
        <v>-5</v>
      </c>
      <c r="AF74" s="228">
        <v>-1</v>
      </c>
      <c r="AG74" s="229">
        <v>-3.7000000000000002E-3</v>
      </c>
      <c r="AH74" s="228">
        <v>2</v>
      </c>
      <c r="AI74" s="228">
        <v>4.2</v>
      </c>
      <c r="AJ74" s="228">
        <v>-2.2000000000000002</v>
      </c>
      <c r="AK74" s="229">
        <v>1.1999999999999999E-3</v>
      </c>
      <c r="AL74" s="228">
        <v>12.6</v>
      </c>
      <c r="AM74" s="228">
        <v>14.5</v>
      </c>
      <c r="AN74" s="228">
        <v>-1.9</v>
      </c>
      <c r="AO74" s="229">
        <v>7.7000000000000002E-3</v>
      </c>
      <c r="AP74" s="231">
        <v>1629.38</v>
      </c>
      <c r="AQ74" s="231">
        <v>1637.04</v>
      </c>
      <c r="AR74" s="228">
        <v>0</v>
      </c>
      <c r="AS74" s="228">
        <v>169</v>
      </c>
      <c r="AT74" s="228">
        <v>213</v>
      </c>
      <c r="AU74" s="228">
        <v>-44</v>
      </c>
      <c r="AV74" s="229">
        <v>-0.2074</v>
      </c>
      <c r="AW74" s="228">
        <v>160</v>
      </c>
      <c r="AX74" s="228">
        <v>209</v>
      </c>
      <c r="AY74" s="228">
        <v>-49</v>
      </c>
      <c r="AZ74" s="229">
        <v>-0.2356</v>
      </c>
      <c r="BA74" s="228">
        <v>6</v>
      </c>
      <c r="BB74" s="228">
        <v>4</v>
      </c>
      <c r="BC74" s="228">
        <v>2</v>
      </c>
      <c r="BD74" s="229">
        <v>0.57969999999999999</v>
      </c>
      <c r="BE74" s="228">
        <v>3</v>
      </c>
      <c r="BF74" s="228">
        <v>1</v>
      </c>
      <c r="BG74" s="228">
        <v>3</v>
      </c>
      <c r="BH74" s="229">
        <v>4.7</v>
      </c>
      <c r="BI74" s="228">
        <v>760</v>
      </c>
      <c r="BJ74" s="228">
        <v>586</v>
      </c>
      <c r="BK74" s="228">
        <v>174</v>
      </c>
      <c r="BL74" s="229">
        <v>0.29780000000000001</v>
      </c>
      <c r="BM74" s="228">
        <v>307</v>
      </c>
      <c r="BN74" s="228">
        <v>318</v>
      </c>
      <c r="BO74" s="228">
        <v>-12</v>
      </c>
      <c r="BP74" s="229">
        <v>-3.6499999999999998E-2</v>
      </c>
      <c r="BQ74" s="230">
        <v>1236</v>
      </c>
      <c r="BR74" s="230">
        <v>1117</v>
      </c>
      <c r="BS74" s="228">
        <v>119</v>
      </c>
      <c r="BT74" s="229">
        <v>0.1061</v>
      </c>
      <c r="BU74" s="230">
        <v>880709</v>
      </c>
      <c r="BV74" s="230">
        <v>1417380</v>
      </c>
      <c r="BW74" s="230">
        <v>-536671</v>
      </c>
      <c r="BX74" s="229">
        <v>-0.37859999999999999</v>
      </c>
      <c r="BY74" s="230">
        <v>2598</v>
      </c>
      <c r="BZ74" s="230">
        <v>2591</v>
      </c>
      <c r="CA74" s="228">
        <v>8</v>
      </c>
      <c r="CB74" s="229">
        <v>3.0000000000000001E-3</v>
      </c>
      <c r="CC74" s="230">
        <v>2563</v>
      </c>
      <c r="CD74" s="230">
        <v>2559</v>
      </c>
      <c r="CE74" s="228">
        <v>4</v>
      </c>
      <c r="CF74" s="229">
        <v>1.6999999999999999E-3</v>
      </c>
      <c r="CG74" s="228">
        <v>32</v>
      </c>
      <c r="CH74" s="228">
        <v>31</v>
      </c>
      <c r="CI74" s="228">
        <v>1</v>
      </c>
      <c r="CJ74" s="229">
        <v>3.32E-2</v>
      </c>
      <c r="CK74" s="228">
        <v>3</v>
      </c>
      <c r="CL74" s="228">
        <v>1</v>
      </c>
      <c r="CM74" s="228">
        <v>2</v>
      </c>
      <c r="CN74" s="229">
        <v>4.3</v>
      </c>
      <c r="CO74" s="228">
        <v>596</v>
      </c>
      <c r="CP74" s="228">
        <v>469</v>
      </c>
      <c r="CQ74" s="228">
        <v>127</v>
      </c>
      <c r="CR74" s="229">
        <v>0.27</v>
      </c>
      <c r="CS74" s="228">
        <v>363</v>
      </c>
      <c r="CT74" s="228">
        <v>329</v>
      </c>
      <c r="CU74" s="228">
        <v>34</v>
      </c>
      <c r="CV74" s="229">
        <v>0.1036</v>
      </c>
      <c r="CW74" s="230">
        <v>3557</v>
      </c>
      <c r="CX74" s="230">
        <v>3389</v>
      </c>
      <c r="CY74" s="228">
        <v>169</v>
      </c>
      <c r="CZ74" s="229">
        <v>4.9799999999999997E-2</v>
      </c>
      <c r="DA74" s="228">
        <v>23.69</v>
      </c>
      <c r="DB74" s="228">
        <v>24.15</v>
      </c>
      <c r="DC74" s="228">
        <v>-0.46</v>
      </c>
      <c r="DD74" s="228">
        <v>-0.46</v>
      </c>
      <c r="DE74" s="228">
        <v>27.69</v>
      </c>
      <c r="DF74" s="228">
        <v>27.74</v>
      </c>
      <c r="DG74" s="228">
        <v>-4</v>
      </c>
      <c r="DH74" s="228">
        <v>-0.05</v>
      </c>
      <c r="DI74" s="228">
        <v>23.52</v>
      </c>
      <c r="DJ74" s="228">
        <v>23.96</v>
      </c>
      <c r="DK74" s="228">
        <v>-0.44</v>
      </c>
      <c r="DL74" s="228">
        <v>-0.44</v>
      </c>
      <c r="DM74" s="228">
        <v>24.13</v>
      </c>
      <c r="DN74" s="228">
        <v>24.5</v>
      </c>
      <c r="DO74" s="228">
        <v>-0.37</v>
      </c>
      <c r="DP74" s="228">
        <v>-0.37</v>
      </c>
      <c r="DQ74" s="228">
        <v>0.61</v>
      </c>
      <c r="DR74" s="228">
        <v>0.7</v>
      </c>
      <c r="DS74" s="228">
        <v>-0.09</v>
      </c>
      <c r="DT74" s="229">
        <v>-0.12859999999999999</v>
      </c>
      <c r="DU74" s="231">
        <v>1700</v>
      </c>
      <c r="DV74" s="231">
        <v>1600</v>
      </c>
      <c r="DW74" s="228">
        <v>0.4</v>
      </c>
      <c r="DX74" s="228">
        <v>0.54</v>
      </c>
      <c r="DY74" s="228">
        <v>-0.14000000000000001</v>
      </c>
      <c r="DZ74" s="229">
        <v>-0.25929999999999997</v>
      </c>
      <c r="EA74" s="229">
        <v>1.34E-2</v>
      </c>
      <c r="EB74" s="230">
        <v>193200</v>
      </c>
      <c r="EC74" s="229">
        <v>4.8999999999999998E-3</v>
      </c>
      <c r="ED74" s="229">
        <v>1.34E-2</v>
      </c>
      <c r="EE74" s="228">
        <v>7.66</v>
      </c>
      <c r="EF74" s="229">
        <v>4.7000000000000002E-3</v>
      </c>
      <c r="EG74" s="230">
        <v>442990</v>
      </c>
      <c r="EH74" s="230">
        <v>870302</v>
      </c>
      <c r="EI74" s="229">
        <v>-0.49099999999999999</v>
      </c>
      <c r="EJ74" s="229">
        <v>0.503</v>
      </c>
      <c r="EK74" s="228">
        <v>803.2</v>
      </c>
      <c r="EL74" s="228">
        <v>302.54000000000002</v>
      </c>
      <c r="EM74" s="228">
        <v>169.22</v>
      </c>
      <c r="EN74" s="228">
        <v>206.38</v>
      </c>
      <c r="EO74" s="231">
        <v>1274.96</v>
      </c>
      <c r="EP74" s="231">
        <v>1136.74</v>
      </c>
      <c r="EQ74" s="228">
        <v>138.22</v>
      </c>
      <c r="ER74" s="229">
        <v>0.1216</v>
      </c>
      <c r="ES74" s="228">
        <v>629.17999999999995</v>
      </c>
      <c r="ET74" s="228">
        <v>350.14</v>
      </c>
      <c r="EU74" s="231">
        <v>2598.54</v>
      </c>
      <c r="EV74" s="231">
        <v>106857976</v>
      </c>
      <c r="EW74" s="231">
        <v>3577.86</v>
      </c>
      <c r="EX74" s="231">
        <v>3385.05</v>
      </c>
      <c r="EY74" s="228">
        <v>192.81</v>
      </c>
      <c r="EZ74" s="229">
        <v>5.7000000000000002E-2</v>
      </c>
      <c r="FA74" s="229">
        <v>0.2044</v>
      </c>
      <c r="FB74" s="227" t="s">
        <v>555</v>
      </c>
      <c r="FC74">
        <f t="shared" si="1"/>
        <v>35</v>
      </c>
    </row>
    <row r="75" spans="1:159" ht="17.25" thickBot="1" x14ac:dyDescent="0.3">
      <c r="A75" s="226">
        <v>46023</v>
      </c>
      <c r="B75" s="227" t="s">
        <v>175</v>
      </c>
      <c r="C75" s="227" t="s">
        <v>475</v>
      </c>
      <c r="D75" s="228">
        <v>300</v>
      </c>
      <c r="E75" s="228">
        <v>26</v>
      </c>
      <c r="F75" s="231">
        <v>2663.1</v>
      </c>
      <c r="G75" s="231">
        <v>2687.2</v>
      </c>
      <c r="H75" s="228">
        <v>-24.1</v>
      </c>
      <c r="I75" s="229">
        <v>-8.9999999999999993E-3</v>
      </c>
      <c r="J75" s="231">
        <v>2648.2</v>
      </c>
      <c r="K75" s="231">
        <v>2672.2</v>
      </c>
      <c r="L75" s="228">
        <v>-24</v>
      </c>
      <c r="M75" s="229">
        <v>-8.9999999999999993E-3</v>
      </c>
      <c r="N75" s="231">
        <v>2663.1</v>
      </c>
      <c r="O75" s="231">
        <v>2687.2</v>
      </c>
      <c r="P75" s="228">
        <v>-24.1</v>
      </c>
      <c r="Q75" s="229">
        <v>-8.9999999999999993E-3</v>
      </c>
      <c r="R75" s="231">
        <v>2683.2</v>
      </c>
      <c r="S75" s="231">
        <v>2707.4</v>
      </c>
      <c r="T75" s="228">
        <v>-24.2</v>
      </c>
      <c r="U75" s="229">
        <v>-8.8999999999999999E-3</v>
      </c>
      <c r="V75" s="231">
        <v>2717.3</v>
      </c>
      <c r="W75" s="231">
        <v>2717.3</v>
      </c>
      <c r="X75" s="228">
        <v>0</v>
      </c>
      <c r="Y75" s="229">
        <v>0</v>
      </c>
      <c r="Z75" s="228">
        <v>14.9</v>
      </c>
      <c r="AA75" s="228">
        <v>15</v>
      </c>
      <c r="AB75" s="228">
        <v>-0.1</v>
      </c>
      <c r="AC75" s="229">
        <v>5.5999999999999999E-3</v>
      </c>
      <c r="AD75" s="228">
        <v>14.9</v>
      </c>
      <c r="AE75" s="228">
        <v>15</v>
      </c>
      <c r="AF75" s="228">
        <v>-0.1</v>
      </c>
      <c r="AG75" s="229">
        <v>5.5999999999999999E-3</v>
      </c>
      <c r="AH75" s="228">
        <v>35</v>
      </c>
      <c r="AI75" s="228">
        <v>35.200000000000003</v>
      </c>
      <c r="AJ75" s="228">
        <v>-0.2</v>
      </c>
      <c r="AK75" s="229">
        <v>1.32E-2</v>
      </c>
      <c r="AL75" s="228">
        <v>69.099999999999994</v>
      </c>
      <c r="AM75" s="228">
        <v>45.1</v>
      </c>
      <c r="AN75" s="228">
        <v>24</v>
      </c>
      <c r="AO75" s="229">
        <v>2.6100000000000002E-2</v>
      </c>
      <c r="AP75" s="231">
        <v>2662.76</v>
      </c>
      <c r="AQ75" s="231">
        <v>2677.33</v>
      </c>
      <c r="AR75" s="228">
        <v>0</v>
      </c>
      <c r="AS75" s="228">
        <v>87</v>
      </c>
      <c r="AT75" s="228">
        <v>184</v>
      </c>
      <c r="AU75" s="228">
        <v>-97</v>
      </c>
      <c r="AV75" s="229">
        <v>-0.52669999999999995</v>
      </c>
      <c r="AW75" s="228">
        <v>84</v>
      </c>
      <c r="AX75" s="228">
        <v>181</v>
      </c>
      <c r="AY75" s="228">
        <v>-96</v>
      </c>
      <c r="AZ75" s="229">
        <v>-0.53320000000000001</v>
      </c>
      <c r="BA75" s="228">
        <v>3</v>
      </c>
      <c r="BB75" s="228">
        <v>3</v>
      </c>
      <c r="BC75" s="228">
        <v>0</v>
      </c>
      <c r="BD75" s="229">
        <v>2.9399999999999999E-2</v>
      </c>
      <c r="BE75" s="228">
        <v>0</v>
      </c>
      <c r="BF75" s="228">
        <v>1</v>
      </c>
      <c r="BG75" s="228">
        <v>-1</v>
      </c>
      <c r="BH75" s="229">
        <v>-1</v>
      </c>
      <c r="BI75" s="228">
        <v>268</v>
      </c>
      <c r="BJ75" s="228">
        <v>462</v>
      </c>
      <c r="BK75" s="228">
        <v>-194</v>
      </c>
      <c r="BL75" s="229">
        <v>-0.42009999999999997</v>
      </c>
      <c r="BM75" s="228">
        <v>113</v>
      </c>
      <c r="BN75" s="228">
        <v>198</v>
      </c>
      <c r="BO75" s="228">
        <v>-86</v>
      </c>
      <c r="BP75" s="229">
        <v>-0.43169999999999997</v>
      </c>
      <c r="BQ75" s="228">
        <v>468</v>
      </c>
      <c r="BR75" s="228">
        <v>844</v>
      </c>
      <c r="BS75" s="228">
        <v>-376</v>
      </c>
      <c r="BT75" s="229">
        <v>-0.44600000000000001</v>
      </c>
      <c r="BU75" s="230">
        <v>348657</v>
      </c>
      <c r="BV75" s="230">
        <v>519311</v>
      </c>
      <c r="BW75" s="230">
        <v>-170654</v>
      </c>
      <c r="BX75" s="229">
        <v>-0.3286</v>
      </c>
      <c r="BY75" s="230">
        <v>1581</v>
      </c>
      <c r="BZ75" s="230">
        <v>1578</v>
      </c>
      <c r="CA75" s="228">
        <v>3</v>
      </c>
      <c r="CB75" s="229">
        <v>1.6999999999999999E-3</v>
      </c>
      <c r="CC75" s="230">
        <v>1560</v>
      </c>
      <c r="CD75" s="230">
        <v>1558</v>
      </c>
      <c r="CE75" s="228">
        <v>2</v>
      </c>
      <c r="CF75" s="229">
        <v>1.2999999999999999E-3</v>
      </c>
      <c r="CG75" s="228">
        <v>20</v>
      </c>
      <c r="CH75" s="228">
        <v>19</v>
      </c>
      <c r="CI75" s="228">
        <v>1</v>
      </c>
      <c r="CJ75" s="229">
        <v>3.3599999999999998E-2</v>
      </c>
      <c r="CK75" s="228">
        <v>1</v>
      </c>
      <c r="CL75" s="228">
        <v>1</v>
      </c>
      <c r="CM75" s="228">
        <v>0</v>
      </c>
      <c r="CN75" s="229">
        <v>0</v>
      </c>
      <c r="CO75" s="228">
        <v>297</v>
      </c>
      <c r="CP75" s="228">
        <v>268</v>
      </c>
      <c r="CQ75" s="228">
        <v>29</v>
      </c>
      <c r="CR75" s="229">
        <v>0.11</v>
      </c>
      <c r="CS75" s="228">
        <v>218</v>
      </c>
      <c r="CT75" s="228">
        <v>199</v>
      </c>
      <c r="CU75" s="228">
        <v>19</v>
      </c>
      <c r="CV75" s="229">
        <v>9.5299999999999996E-2</v>
      </c>
      <c r="CW75" s="230">
        <v>2096</v>
      </c>
      <c r="CX75" s="230">
        <v>2045</v>
      </c>
      <c r="CY75" s="228">
        <v>51</v>
      </c>
      <c r="CZ75" s="229">
        <v>2.5000000000000001E-2</v>
      </c>
      <c r="DA75" s="228">
        <v>23.42</v>
      </c>
      <c r="DB75" s="228">
        <v>23.29</v>
      </c>
      <c r="DC75" s="228">
        <v>0.13</v>
      </c>
      <c r="DD75" s="228">
        <v>0.13</v>
      </c>
      <c r="DE75" s="228">
        <v>33.92</v>
      </c>
      <c r="DF75" s="228">
        <v>33.979999999999997</v>
      </c>
      <c r="DG75" s="228">
        <v>-10.5</v>
      </c>
      <c r="DH75" s="228">
        <v>-0.06</v>
      </c>
      <c r="DI75" s="228">
        <v>23.36</v>
      </c>
      <c r="DJ75" s="228">
        <v>23.05</v>
      </c>
      <c r="DK75" s="228">
        <v>0.31</v>
      </c>
      <c r="DL75" s="228">
        <v>0.31</v>
      </c>
      <c r="DM75" s="228">
        <v>23.55</v>
      </c>
      <c r="DN75" s="228">
        <v>23.86</v>
      </c>
      <c r="DO75" s="228">
        <v>-0.31</v>
      </c>
      <c r="DP75" s="228">
        <v>-0.31</v>
      </c>
      <c r="DQ75" s="228">
        <v>0.73</v>
      </c>
      <c r="DR75" s="228">
        <v>0.74</v>
      </c>
      <c r="DS75" s="228">
        <v>-0.01</v>
      </c>
      <c r="DT75" s="229">
        <v>-1.35E-2</v>
      </c>
      <c r="DU75" s="231">
        <v>2700</v>
      </c>
      <c r="DV75" s="231">
        <v>2600</v>
      </c>
      <c r="DW75" s="228">
        <v>0.42</v>
      </c>
      <c r="DX75" s="228">
        <v>0.43</v>
      </c>
      <c r="DY75" s="228">
        <v>-0.01</v>
      </c>
      <c r="DZ75" s="229">
        <v>-2.3300000000000001E-2</v>
      </c>
      <c r="EA75" s="229">
        <v>1.29E-2</v>
      </c>
      <c r="EB75" s="230">
        <v>74100</v>
      </c>
      <c r="EC75" s="229">
        <v>7.4999999999999997E-3</v>
      </c>
      <c r="ED75" s="229">
        <v>1.29E-2</v>
      </c>
      <c r="EE75" s="228">
        <v>14.57</v>
      </c>
      <c r="EF75" s="229">
        <v>5.4999999999999997E-3</v>
      </c>
      <c r="EG75" s="230">
        <v>200881</v>
      </c>
      <c r="EH75" s="230">
        <v>298955</v>
      </c>
      <c r="EI75" s="229">
        <v>-0.3281</v>
      </c>
      <c r="EJ75" s="229">
        <v>0.57620000000000005</v>
      </c>
      <c r="EK75" s="228">
        <v>279.43</v>
      </c>
      <c r="EL75" s="228">
        <v>111.75</v>
      </c>
      <c r="EM75" s="228">
        <v>87.09</v>
      </c>
      <c r="EN75" s="228">
        <v>81.8</v>
      </c>
      <c r="EO75" s="228">
        <v>478.27</v>
      </c>
      <c r="EP75" s="228">
        <v>863.23</v>
      </c>
      <c r="EQ75" s="228">
        <v>-384.96</v>
      </c>
      <c r="ER75" s="229">
        <v>-0.44590000000000002</v>
      </c>
      <c r="ES75" s="228">
        <v>309.01</v>
      </c>
      <c r="ET75" s="228">
        <v>210.26</v>
      </c>
      <c r="EU75" s="231">
        <v>1580.93</v>
      </c>
      <c r="EV75" s="231">
        <v>30592324</v>
      </c>
      <c r="EW75" s="231">
        <v>2100.1999999999998</v>
      </c>
      <c r="EX75" s="231">
        <v>2063.5500000000002</v>
      </c>
      <c r="EY75" s="228">
        <v>36.65</v>
      </c>
      <c r="EZ75" s="229">
        <v>1.78E-2</v>
      </c>
      <c r="FA75" s="229">
        <v>0.25729999999999997</v>
      </c>
      <c r="FB75" s="227" t="s">
        <v>567</v>
      </c>
      <c r="FC75">
        <f t="shared" si="1"/>
        <v>21</v>
      </c>
    </row>
    <row r="76" spans="1:159" ht="17.25" thickBot="1" x14ac:dyDescent="0.3">
      <c r="A76" s="226">
        <v>46023</v>
      </c>
      <c r="B76" s="227" t="s">
        <v>172</v>
      </c>
      <c r="C76" s="227" t="s">
        <v>224</v>
      </c>
      <c r="D76" s="228">
        <v>550</v>
      </c>
      <c r="E76" s="228">
        <v>26</v>
      </c>
      <c r="F76" s="228">
        <v>995.35</v>
      </c>
      <c r="G76" s="228">
        <v>997.4</v>
      </c>
      <c r="H76" s="228">
        <v>-2.0499999999999998</v>
      </c>
      <c r="I76" s="229">
        <v>-2.0999999999999999E-3</v>
      </c>
      <c r="J76" s="228">
        <v>991.15</v>
      </c>
      <c r="K76" s="228">
        <v>991.2</v>
      </c>
      <c r="L76" s="228">
        <v>-0.05</v>
      </c>
      <c r="M76" s="229">
        <v>-1E-4</v>
      </c>
      <c r="N76" s="228">
        <v>995.35</v>
      </c>
      <c r="O76" s="228">
        <v>997.4</v>
      </c>
      <c r="P76" s="228">
        <v>-2.0499999999999998</v>
      </c>
      <c r="Q76" s="229">
        <v>-2.0999999999999999E-3</v>
      </c>
      <c r="R76" s="231">
        <v>1000.95</v>
      </c>
      <c r="S76" s="231">
        <v>1003.5</v>
      </c>
      <c r="T76" s="228">
        <v>-2.5499999999999998</v>
      </c>
      <c r="U76" s="229">
        <v>-2.5000000000000001E-3</v>
      </c>
      <c r="V76" s="231">
        <v>1007.4</v>
      </c>
      <c r="W76" s="231">
        <v>1009.3</v>
      </c>
      <c r="X76" s="228">
        <v>-1.9</v>
      </c>
      <c r="Y76" s="229">
        <v>-1.9E-3</v>
      </c>
      <c r="Z76" s="228">
        <v>4.2</v>
      </c>
      <c r="AA76" s="228">
        <v>6.2</v>
      </c>
      <c r="AB76" s="228">
        <v>-2</v>
      </c>
      <c r="AC76" s="229">
        <v>4.1999999999999997E-3</v>
      </c>
      <c r="AD76" s="228">
        <v>4.2</v>
      </c>
      <c r="AE76" s="228">
        <v>6.2</v>
      </c>
      <c r="AF76" s="228">
        <v>-2</v>
      </c>
      <c r="AG76" s="229">
        <v>4.1999999999999997E-3</v>
      </c>
      <c r="AH76" s="228">
        <v>9.8000000000000007</v>
      </c>
      <c r="AI76" s="228">
        <v>12.3</v>
      </c>
      <c r="AJ76" s="228">
        <v>-2.5</v>
      </c>
      <c r="AK76" s="229">
        <v>9.9000000000000008E-3</v>
      </c>
      <c r="AL76" s="228">
        <v>16.25</v>
      </c>
      <c r="AM76" s="228">
        <v>18.100000000000001</v>
      </c>
      <c r="AN76" s="228">
        <v>-1.85</v>
      </c>
      <c r="AO76" s="229">
        <v>1.6400000000000001E-2</v>
      </c>
      <c r="AP76" s="228">
        <v>997.6</v>
      </c>
      <c r="AQ76" s="231">
        <v>1003.2</v>
      </c>
      <c r="AR76" s="228">
        <v>0</v>
      </c>
      <c r="AS76" s="228">
        <v>775</v>
      </c>
      <c r="AT76" s="230">
        <v>1134</v>
      </c>
      <c r="AU76" s="228">
        <v>-359</v>
      </c>
      <c r="AV76" s="229">
        <v>-0.3165</v>
      </c>
      <c r="AW76" s="228">
        <v>735</v>
      </c>
      <c r="AX76" s="230">
        <v>1110</v>
      </c>
      <c r="AY76" s="228">
        <v>-376</v>
      </c>
      <c r="AZ76" s="229">
        <v>-0.33839999999999998</v>
      </c>
      <c r="BA76" s="228">
        <v>20</v>
      </c>
      <c r="BB76" s="228">
        <v>19</v>
      </c>
      <c r="BC76" s="228">
        <v>0</v>
      </c>
      <c r="BD76" s="229">
        <v>2.5700000000000001E-2</v>
      </c>
      <c r="BE76" s="228">
        <v>21</v>
      </c>
      <c r="BF76" s="228">
        <v>5</v>
      </c>
      <c r="BG76" s="228">
        <v>16</v>
      </c>
      <c r="BH76" s="229">
        <v>3.4651000000000001</v>
      </c>
      <c r="BI76" s="230">
        <v>1500</v>
      </c>
      <c r="BJ76" s="230">
        <v>3348</v>
      </c>
      <c r="BK76" s="230">
        <v>-1848</v>
      </c>
      <c r="BL76" s="229">
        <v>-0.55189999999999995</v>
      </c>
      <c r="BM76" s="228">
        <v>942</v>
      </c>
      <c r="BN76" s="230">
        <v>2014</v>
      </c>
      <c r="BO76" s="230">
        <v>-1072</v>
      </c>
      <c r="BP76" s="229">
        <v>-0.53249999999999997</v>
      </c>
      <c r="BQ76" s="230">
        <v>3217</v>
      </c>
      <c r="BR76" s="230">
        <v>6496</v>
      </c>
      <c r="BS76" s="230">
        <v>-3279</v>
      </c>
      <c r="BT76" s="229">
        <v>-0.50480000000000003</v>
      </c>
      <c r="BU76" s="230">
        <v>8187417</v>
      </c>
      <c r="BV76" s="230">
        <v>11361950</v>
      </c>
      <c r="BW76" s="230">
        <v>-3174533</v>
      </c>
      <c r="BX76" s="229">
        <v>-0.27939999999999998</v>
      </c>
      <c r="BY76" s="230">
        <v>21859</v>
      </c>
      <c r="BZ76" s="230">
        <v>21880</v>
      </c>
      <c r="CA76" s="228">
        <v>-21</v>
      </c>
      <c r="CB76" s="229">
        <v>-8.9999999999999998E-4</v>
      </c>
      <c r="CC76" s="230">
        <v>21668</v>
      </c>
      <c r="CD76" s="230">
        <v>21719</v>
      </c>
      <c r="CE76" s="228">
        <v>-51</v>
      </c>
      <c r="CF76" s="229">
        <v>-2.3999999999999998E-3</v>
      </c>
      <c r="CG76" s="228">
        <v>170</v>
      </c>
      <c r="CH76" s="228">
        <v>159</v>
      </c>
      <c r="CI76" s="228">
        <v>12</v>
      </c>
      <c r="CJ76" s="229">
        <v>7.46E-2</v>
      </c>
      <c r="CK76" s="228">
        <v>21</v>
      </c>
      <c r="CL76" s="228">
        <v>3</v>
      </c>
      <c r="CM76" s="228">
        <v>19</v>
      </c>
      <c r="CN76" s="229">
        <v>7.4565000000000001</v>
      </c>
      <c r="CO76" s="230">
        <v>2114</v>
      </c>
      <c r="CP76" s="230">
        <v>1893</v>
      </c>
      <c r="CQ76" s="228">
        <v>221</v>
      </c>
      <c r="CR76" s="229">
        <v>0.1167</v>
      </c>
      <c r="CS76" s="230">
        <v>1817</v>
      </c>
      <c r="CT76" s="230">
        <v>1689</v>
      </c>
      <c r="CU76" s="228">
        <v>128</v>
      </c>
      <c r="CV76" s="229">
        <v>7.5999999999999998E-2</v>
      </c>
      <c r="CW76" s="230">
        <v>25790</v>
      </c>
      <c r="CX76" s="230">
        <v>25462</v>
      </c>
      <c r="CY76" s="228">
        <v>329</v>
      </c>
      <c r="CZ76" s="229">
        <v>1.29E-2</v>
      </c>
      <c r="DA76" s="228">
        <v>15.85</v>
      </c>
      <c r="DB76" s="228">
        <v>15.93</v>
      </c>
      <c r="DC76" s="228">
        <v>-0.08</v>
      </c>
      <c r="DD76" s="228">
        <v>-0.08</v>
      </c>
      <c r="DE76" s="228">
        <v>19.579999999999998</v>
      </c>
      <c r="DF76" s="228">
        <v>19.63</v>
      </c>
      <c r="DG76" s="228">
        <v>-3.73</v>
      </c>
      <c r="DH76" s="228">
        <v>-0.05</v>
      </c>
      <c r="DI76" s="228">
        <v>15.64</v>
      </c>
      <c r="DJ76" s="228">
        <v>15.64</v>
      </c>
      <c r="DK76" s="228">
        <v>0</v>
      </c>
      <c r="DL76" s="228">
        <v>0</v>
      </c>
      <c r="DM76" s="228">
        <v>16.190000000000001</v>
      </c>
      <c r="DN76" s="228">
        <v>16.41</v>
      </c>
      <c r="DO76" s="228">
        <v>-0.22</v>
      </c>
      <c r="DP76" s="228">
        <v>-0.22</v>
      </c>
      <c r="DQ76" s="228">
        <v>0.86</v>
      </c>
      <c r="DR76" s="228">
        <v>0.89</v>
      </c>
      <c r="DS76" s="228">
        <v>-0.03</v>
      </c>
      <c r="DT76" s="229">
        <v>-3.3700000000000001E-2</v>
      </c>
      <c r="DU76" s="231">
        <v>1000</v>
      </c>
      <c r="DV76" s="228">
        <v>940</v>
      </c>
      <c r="DW76" s="228">
        <v>0.63</v>
      </c>
      <c r="DX76" s="228">
        <v>0.6</v>
      </c>
      <c r="DY76" s="228">
        <v>0.03</v>
      </c>
      <c r="DZ76" s="229">
        <v>0.05</v>
      </c>
      <c r="EA76" s="229">
        <v>8.8000000000000005E-3</v>
      </c>
      <c r="EB76" s="230">
        <v>1618100</v>
      </c>
      <c r="EC76" s="229">
        <v>5.5999999999999999E-3</v>
      </c>
      <c r="ED76" s="229">
        <v>8.8000000000000005E-3</v>
      </c>
      <c r="EE76" s="228">
        <v>5.6</v>
      </c>
      <c r="EF76" s="229">
        <v>5.5999999999999999E-3</v>
      </c>
      <c r="EG76" s="230">
        <v>2797470</v>
      </c>
      <c r="EH76" s="230">
        <v>7252728</v>
      </c>
      <c r="EI76" s="229">
        <v>-0.61429999999999996</v>
      </c>
      <c r="EJ76" s="229">
        <v>0.3417</v>
      </c>
      <c r="EK76" s="231">
        <v>1545.12</v>
      </c>
      <c r="EL76" s="228">
        <v>932.35</v>
      </c>
      <c r="EM76" s="228">
        <v>777.4</v>
      </c>
      <c r="EN76" s="231">
        <v>1165.8399999999999</v>
      </c>
      <c r="EO76" s="231">
        <v>3254.87</v>
      </c>
      <c r="EP76" s="231">
        <v>6582.51</v>
      </c>
      <c r="EQ76" s="231">
        <v>-3327.64</v>
      </c>
      <c r="ER76" s="229">
        <v>-0.50549999999999995</v>
      </c>
      <c r="ES76" s="231">
        <v>2173.14</v>
      </c>
      <c r="ET76" s="231">
        <v>1758.09</v>
      </c>
      <c r="EU76" s="231">
        <v>21860.6</v>
      </c>
      <c r="EV76" s="231">
        <v>1330694977</v>
      </c>
      <c r="EW76" s="231">
        <v>25791.83</v>
      </c>
      <c r="EX76" s="231">
        <v>25507.54</v>
      </c>
      <c r="EY76" s="228">
        <v>284.29000000000002</v>
      </c>
      <c r="EZ76" s="229">
        <v>1.11E-2</v>
      </c>
      <c r="FA76" s="229">
        <v>0.19470000000000001</v>
      </c>
      <c r="FB76" s="227" t="s">
        <v>568</v>
      </c>
      <c r="FC76">
        <f t="shared" si="1"/>
        <v>191</v>
      </c>
    </row>
    <row r="77" spans="1:159" ht="17.25" thickBot="1" x14ac:dyDescent="0.3">
      <c r="A77" s="226">
        <v>46023</v>
      </c>
      <c r="B77" s="227" t="s">
        <v>175</v>
      </c>
      <c r="C77" s="227" t="s">
        <v>225</v>
      </c>
      <c r="D77" s="228">
        <v>1100</v>
      </c>
      <c r="E77" s="228">
        <v>26</v>
      </c>
      <c r="F77" s="228">
        <v>753.85</v>
      </c>
      <c r="G77" s="228">
        <v>754.15</v>
      </c>
      <c r="H77" s="228">
        <v>-0.3</v>
      </c>
      <c r="I77" s="229">
        <v>-4.0000000000000002E-4</v>
      </c>
      <c r="J77" s="228">
        <v>750.1</v>
      </c>
      <c r="K77" s="228">
        <v>749.85</v>
      </c>
      <c r="L77" s="228">
        <v>0.25</v>
      </c>
      <c r="M77" s="229">
        <v>2.9999999999999997E-4</v>
      </c>
      <c r="N77" s="228">
        <v>753.85</v>
      </c>
      <c r="O77" s="228">
        <v>754.15</v>
      </c>
      <c r="P77" s="228">
        <v>-0.3</v>
      </c>
      <c r="Q77" s="229">
        <v>-4.0000000000000002E-4</v>
      </c>
      <c r="R77" s="228">
        <v>758.1</v>
      </c>
      <c r="S77" s="228">
        <v>758.55</v>
      </c>
      <c r="T77" s="228">
        <v>-0.45</v>
      </c>
      <c r="U77" s="229">
        <v>-5.9999999999999995E-4</v>
      </c>
      <c r="V77" s="228">
        <v>762.2</v>
      </c>
      <c r="W77" s="228">
        <v>763.9</v>
      </c>
      <c r="X77" s="228">
        <v>-1.7</v>
      </c>
      <c r="Y77" s="229">
        <v>-2.2000000000000001E-3</v>
      </c>
      <c r="Z77" s="228">
        <v>3.75</v>
      </c>
      <c r="AA77" s="228">
        <v>4.3</v>
      </c>
      <c r="AB77" s="228">
        <v>-0.55000000000000004</v>
      </c>
      <c r="AC77" s="229">
        <v>5.0000000000000001E-3</v>
      </c>
      <c r="AD77" s="228">
        <v>3.75</v>
      </c>
      <c r="AE77" s="228">
        <v>4.3</v>
      </c>
      <c r="AF77" s="228">
        <v>-0.55000000000000004</v>
      </c>
      <c r="AG77" s="229">
        <v>5.0000000000000001E-3</v>
      </c>
      <c r="AH77" s="228">
        <v>8</v>
      </c>
      <c r="AI77" s="228">
        <v>8.6999999999999993</v>
      </c>
      <c r="AJ77" s="228">
        <v>-0.7</v>
      </c>
      <c r="AK77" s="229">
        <v>1.0699999999999999E-2</v>
      </c>
      <c r="AL77" s="228">
        <v>12.1</v>
      </c>
      <c r="AM77" s="228">
        <v>14.05</v>
      </c>
      <c r="AN77" s="228">
        <v>-1.95</v>
      </c>
      <c r="AO77" s="229">
        <v>1.61E-2</v>
      </c>
      <c r="AP77" s="228">
        <v>753.77</v>
      </c>
      <c r="AQ77" s="228">
        <v>758.11</v>
      </c>
      <c r="AR77" s="228">
        <v>0</v>
      </c>
      <c r="AS77" s="228">
        <v>99</v>
      </c>
      <c r="AT77" s="228">
        <v>181</v>
      </c>
      <c r="AU77" s="228">
        <v>-83</v>
      </c>
      <c r="AV77" s="229">
        <v>-0.45650000000000002</v>
      </c>
      <c r="AW77" s="228">
        <v>95</v>
      </c>
      <c r="AX77" s="228">
        <v>176</v>
      </c>
      <c r="AY77" s="228">
        <v>-81</v>
      </c>
      <c r="AZ77" s="229">
        <v>-0.45760000000000001</v>
      </c>
      <c r="BA77" s="228">
        <v>2</v>
      </c>
      <c r="BB77" s="228">
        <v>4</v>
      </c>
      <c r="BC77" s="228">
        <v>-2</v>
      </c>
      <c r="BD77" s="229">
        <v>-0.55559999999999998</v>
      </c>
      <c r="BE77" s="228">
        <v>1</v>
      </c>
      <c r="BF77" s="228">
        <v>1</v>
      </c>
      <c r="BG77" s="228">
        <v>0</v>
      </c>
      <c r="BH77" s="229">
        <v>0.3</v>
      </c>
      <c r="BI77" s="228">
        <v>312</v>
      </c>
      <c r="BJ77" s="228">
        <v>561</v>
      </c>
      <c r="BK77" s="228">
        <v>-249</v>
      </c>
      <c r="BL77" s="229">
        <v>-0.44390000000000002</v>
      </c>
      <c r="BM77" s="228">
        <v>138</v>
      </c>
      <c r="BN77" s="228">
        <v>264</v>
      </c>
      <c r="BO77" s="228">
        <v>-126</v>
      </c>
      <c r="BP77" s="229">
        <v>-0.4763</v>
      </c>
      <c r="BQ77" s="228">
        <v>549</v>
      </c>
      <c r="BR77" s="230">
        <v>1007</v>
      </c>
      <c r="BS77" s="228">
        <v>-458</v>
      </c>
      <c r="BT77" s="229">
        <v>-0.45469999999999999</v>
      </c>
      <c r="BU77" s="230">
        <v>901342</v>
      </c>
      <c r="BV77" s="230">
        <v>2560194</v>
      </c>
      <c r="BW77" s="230">
        <v>-1658852</v>
      </c>
      <c r="BX77" s="229">
        <v>-0.64790000000000003</v>
      </c>
      <c r="BY77" s="230">
        <v>2607</v>
      </c>
      <c r="BZ77" s="230">
        <v>2597</v>
      </c>
      <c r="CA77" s="228">
        <v>10</v>
      </c>
      <c r="CB77" s="229">
        <v>3.7000000000000002E-3</v>
      </c>
      <c r="CC77" s="230">
        <v>2578</v>
      </c>
      <c r="CD77" s="230">
        <v>2570</v>
      </c>
      <c r="CE77" s="228">
        <v>8</v>
      </c>
      <c r="CF77" s="229">
        <v>3.2000000000000002E-3</v>
      </c>
      <c r="CG77" s="228">
        <v>27</v>
      </c>
      <c r="CH77" s="228">
        <v>27</v>
      </c>
      <c r="CI77" s="228">
        <v>0</v>
      </c>
      <c r="CJ77" s="229">
        <v>1.24E-2</v>
      </c>
      <c r="CK77" s="228">
        <v>2</v>
      </c>
      <c r="CL77" s="228">
        <v>1</v>
      </c>
      <c r="CM77" s="228">
        <v>1</v>
      </c>
      <c r="CN77" s="229">
        <v>1.5</v>
      </c>
      <c r="CO77" s="228">
        <v>525</v>
      </c>
      <c r="CP77" s="228">
        <v>427</v>
      </c>
      <c r="CQ77" s="228">
        <v>98</v>
      </c>
      <c r="CR77" s="229">
        <v>0.2281</v>
      </c>
      <c r="CS77" s="228">
        <v>343</v>
      </c>
      <c r="CT77" s="228">
        <v>313</v>
      </c>
      <c r="CU77" s="228">
        <v>30</v>
      </c>
      <c r="CV77" s="229">
        <v>9.64E-2</v>
      </c>
      <c r="CW77" s="230">
        <v>3475</v>
      </c>
      <c r="CX77" s="230">
        <v>3338</v>
      </c>
      <c r="CY77" s="228">
        <v>137</v>
      </c>
      <c r="CZ77" s="229">
        <v>4.1099999999999998E-2</v>
      </c>
      <c r="DA77" s="228">
        <v>19.59</v>
      </c>
      <c r="DB77" s="228">
        <v>19.97</v>
      </c>
      <c r="DC77" s="228">
        <v>-0.38</v>
      </c>
      <c r="DD77" s="228">
        <v>-0.38</v>
      </c>
      <c r="DE77" s="228">
        <v>24.89</v>
      </c>
      <c r="DF77" s="228">
        <v>24.95</v>
      </c>
      <c r="DG77" s="228">
        <v>-5.3</v>
      </c>
      <c r="DH77" s="228">
        <v>-0.06</v>
      </c>
      <c r="DI77" s="228">
        <v>19.41</v>
      </c>
      <c r="DJ77" s="228">
        <v>19.86</v>
      </c>
      <c r="DK77" s="228">
        <v>-0.45</v>
      </c>
      <c r="DL77" s="228">
        <v>-0.45</v>
      </c>
      <c r="DM77" s="228">
        <v>20.010000000000002</v>
      </c>
      <c r="DN77" s="228">
        <v>20.190000000000001</v>
      </c>
      <c r="DO77" s="228">
        <v>-0.18</v>
      </c>
      <c r="DP77" s="228">
        <v>-0.18</v>
      </c>
      <c r="DQ77" s="228">
        <v>0.65</v>
      </c>
      <c r="DR77" s="228">
        <v>0.73</v>
      </c>
      <c r="DS77" s="228">
        <v>-0.08</v>
      </c>
      <c r="DT77" s="229">
        <v>-0.1096</v>
      </c>
      <c r="DU77" s="228">
        <v>770</v>
      </c>
      <c r="DV77" s="228">
        <v>750</v>
      </c>
      <c r="DW77" s="228">
        <v>0.44</v>
      </c>
      <c r="DX77" s="228">
        <v>0.47</v>
      </c>
      <c r="DY77" s="228">
        <v>-0.03</v>
      </c>
      <c r="DZ77" s="229">
        <v>-6.3799999999999996E-2</v>
      </c>
      <c r="EA77" s="229">
        <v>1.0999999999999999E-2</v>
      </c>
      <c r="EB77" s="230">
        <v>364100</v>
      </c>
      <c r="EC77" s="229">
        <v>5.5999999999999999E-3</v>
      </c>
      <c r="ED77" s="229">
        <v>1.0999999999999999E-2</v>
      </c>
      <c r="EE77" s="228">
        <v>4.34</v>
      </c>
      <c r="EF77" s="229">
        <v>5.7999999999999996E-3</v>
      </c>
      <c r="EG77" s="230">
        <v>560002</v>
      </c>
      <c r="EH77" s="230">
        <v>1687011</v>
      </c>
      <c r="EI77" s="229">
        <v>-0.66810000000000003</v>
      </c>
      <c r="EJ77" s="229">
        <v>0.62129999999999996</v>
      </c>
      <c r="EK77" s="228">
        <v>326.69</v>
      </c>
      <c r="EL77" s="228">
        <v>135.96</v>
      </c>
      <c r="EM77" s="228">
        <v>98.53</v>
      </c>
      <c r="EN77" s="228">
        <v>142.04</v>
      </c>
      <c r="EO77" s="228">
        <v>561.16999999999996</v>
      </c>
      <c r="EP77" s="231">
        <v>1027.47</v>
      </c>
      <c r="EQ77" s="228">
        <v>-466.3</v>
      </c>
      <c r="ER77" s="229">
        <v>-0.45379999999999998</v>
      </c>
      <c r="ES77" s="228">
        <v>546.82000000000005</v>
      </c>
      <c r="ET77" s="228">
        <v>334.33</v>
      </c>
      <c r="EU77" s="231">
        <v>2606.87</v>
      </c>
      <c r="EV77" s="231">
        <v>128849634</v>
      </c>
      <c r="EW77" s="231">
        <v>3488.02</v>
      </c>
      <c r="EX77" s="231">
        <v>3348.87</v>
      </c>
      <c r="EY77" s="228">
        <v>139.15</v>
      </c>
      <c r="EZ77" s="229">
        <v>4.1599999999999998E-2</v>
      </c>
      <c r="FA77" s="229">
        <v>0.35780000000000001</v>
      </c>
      <c r="FB77" s="227" t="s">
        <v>567</v>
      </c>
      <c r="FC77">
        <f t="shared" si="1"/>
        <v>29</v>
      </c>
    </row>
    <row r="78" spans="1:159" ht="17.25" thickBot="1" x14ac:dyDescent="0.3">
      <c r="A78" s="226">
        <v>46023</v>
      </c>
      <c r="B78" s="227" t="s">
        <v>162</v>
      </c>
      <c r="C78" s="227" t="s">
        <v>226</v>
      </c>
      <c r="D78" s="228">
        <v>150</v>
      </c>
      <c r="E78" s="228">
        <v>26</v>
      </c>
      <c r="F78" s="231">
        <v>5860.5</v>
      </c>
      <c r="G78" s="231">
        <v>5793</v>
      </c>
      <c r="H78" s="228">
        <v>67.5</v>
      </c>
      <c r="I78" s="229">
        <v>1.17E-2</v>
      </c>
      <c r="J78" s="231">
        <v>5841.5</v>
      </c>
      <c r="K78" s="231">
        <v>5771</v>
      </c>
      <c r="L78" s="228">
        <v>70.5</v>
      </c>
      <c r="M78" s="229">
        <v>1.2200000000000001E-2</v>
      </c>
      <c r="N78" s="231">
        <v>5860.5</v>
      </c>
      <c r="O78" s="231">
        <v>5793</v>
      </c>
      <c r="P78" s="228">
        <v>67.5</v>
      </c>
      <c r="Q78" s="229">
        <v>1.17E-2</v>
      </c>
      <c r="R78" s="231">
        <v>5847</v>
      </c>
      <c r="S78" s="231">
        <v>5787.5</v>
      </c>
      <c r="T78" s="228">
        <v>59.5</v>
      </c>
      <c r="U78" s="229">
        <v>1.03E-2</v>
      </c>
      <c r="V78" s="231">
        <v>5882</v>
      </c>
      <c r="W78" s="231">
        <v>5817</v>
      </c>
      <c r="X78" s="228">
        <v>65</v>
      </c>
      <c r="Y78" s="229">
        <v>1.12E-2</v>
      </c>
      <c r="Z78" s="228">
        <v>19</v>
      </c>
      <c r="AA78" s="228">
        <v>22</v>
      </c>
      <c r="AB78" s="228">
        <v>-3</v>
      </c>
      <c r="AC78" s="229">
        <v>3.3E-3</v>
      </c>
      <c r="AD78" s="228">
        <v>19</v>
      </c>
      <c r="AE78" s="228">
        <v>22</v>
      </c>
      <c r="AF78" s="228">
        <v>-3</v>
      </c>
      <c r="AG78" s="229">
        <v>3.3E-3</v>
      </c>
      <c r="AH78" s="228">
        <v>5.5</v>
      </c>
      <c r="AI78" s="228">
        <v>16.5</v>
      </c>
      <c r="AJ78" s="228">
        <v>-11</v>
      </c>
      <c r="AK78" s="229">
        <v>8.9999999999999998E-4</v>
      </c>
      <c r="AL78" s="228">
        <v>40.5</v>
      </c>
      <c r="AM78" s="228">
        <v>46</v>
      </c>
      <c r="AN78" s="228">
        <v>-5.5</v>
      </c>
      <c r="AO78" s="229">
        <v>6.8999999999999999E-3</v>
      </c>
      <c r="AP78" s="231">
        <v>5827.35</v>
      </c>
      <c r="AQ78" s="231">
        <v>5809.91</v>
      </c>
      <c r="AR78" s="228">
        <v>0</v>
      </c>
      <c r="AS78" s="228">
        <v>473</v>
      </c>
      <c r="AT78" s="228">
        <v>503</v>
      </c>
      <c r="AU78" s="228">
        <v>-30</v>
      </c>
      <c r="AV78" s="229">
        <v>-5.91E-2</v>
      </c>
      <c r="AW78" s="228">
        <v>444</v>
      </c>
      <c r="AX78" s="228">
        <v>488</v>
      </c>
      <c r="AY78" s="228">
        <v>-44</v>
      </c>
      <c r="AZ78" s="229">
        <v>-8.9800000000000005E-2</v>
      </c>
      <c r="BA78" s="228">
        <v>27</v>
      </c>
      <c r="BB78" s="228">
        <v>14</v>
      </c>
      <c r="BC78" s="228">
        <v>13</v>
      </c>
      <c r="BD78" s="229">
        <v>0.90239999999999998</v>
      </c>
      <c r="BE78" s="228">
        <v>2</v>
      </c>
      <c r="BF78" s="228">
        <v>1</v>
      </c>
      <c r="BG78" s="228">
        <v>1</v>
      </c>
      <c r="BH78" s="229">
        <v>1.2</v>
      </c>
      <c r="BI78" s="230">
        <v>2141</v>
      </c>
      <c r="BJ78" s="230">
        <v>2582</v>
      </c>
      <c r="BK78" s="228">
        <v>-441</v>
      </c>
      <c r="BL78" s="229">
        <v>-0.17080000000000001</v>
      </c>
      <c r="BM78" s="228">
        <v>990</v>
      </c>
      <c r="BN78" s="228">
        <v>951</v>
      </c>
      <c r="BO78" s="228">
        <v>40</v>
      </c>
      <c r="BP78" s="229">
        <v>4.2000000000000003E-2</v>
      </c>
      <c r="BQ78" s="230">
        <v>3604</v>
      </c>
      <c r="BR78" s="230">
        <v>4035</v>
      </c>
      <c r="BS78" s="228">
        <v>-431</v>
      </c>
      <c r="BT78" s="229">
        <v>-0.10680000000000001</v>
      </c>
      <c r="BU78" s="230">
        <v>393850</v>
      </c>
      <c r="BV78" s="230">
        <v>486472</v>
      </c>
      <c r="BW78" s="230">
        <v>-92622</v>
      </c>
      <c r="BX78" s="229">
        <v>-0.19040000000000001</v>
      </c>
      <c r="BY78" s="230">
        <v>3383</v>
      </c>
      <c r="BZ78" s="230">
        <v>3368</v>
      </c>
      <c r="CA78" s="228">
        <v>15</v>
      </c>
      <c r="CB78" s="229">
        <v>4.3E-3</v>
      </c>
      <c r="CC78" s="230">
        <v>3331</v>
      </c>
      <c r="CD78" s="230">
        <v>3322</v>
      </c>
      <c r="CE78" s="228">
        <v>9</v>
      </c>
      <c r="CF78" s="229">
        <v>2.8999999999999998E-3</v>
      </c>
      <c r="CG78" s="228">
        <v>50</v>
      </c>
      <c r="CH78" s="228">
        <v>46</v>
      </c>
      <c r="CI78" s="228">
        <v>4</v>
      </c>
      <c r="CJ78" s="229">
        <v>9.4600000000000004E-2</v>
      </c>
      <c r="CK78" s="228">
        <v>2</v>
      </c>
      <c r="CL78" s="228">
        <v>1</v>
      </c>
      <c r="CM78" s="228">
        <v>1</v>
      </c>
      <c r="CN78" s="229">
        <v>0.9</v>
      </c>
      <c r="CO78" s="228">
        <v>874</v>
      </c>
      <c r="CP78" s="228">
        <v>875</v>
      </c>
      <c r="CQ78" s="228">
        <v>-1</v>
      </c>
      <c r="CR78" s="229">
        <v>-1.5E-3</v>
      </c>
      <c r="CS78" s="228">
        <v>610</v>
      </c>
      <c r="CT78" s="228">
        <v>581</v>
      </c>
      <c r="CU78" s="228">
        <v>29</v>
      </c>
      <c r="CV78" s="229">
        <v>5.0200000000000002E-2</v>
      </c>
      <c r="CW78" s="230">
        <v>4867</v>
      </c>
      <c r="CX78" s="230">
        <v>4825</v>
      </c>
      <c r="CY78" s="228">
        <v>42</v>
      </c>
      <c r="CZ78" s="229">
        <v>8.8000000000000005E-3</v>
      </c>
      <c r="DA78" s="228">
        <v>21.67</v>
      </c>
      <c r="DB78" s="228">
        <v>22.22</v>
      </c>
      <c r="DC78" s="228">
        <v>-0.55000000000000004</v>
      </c>
      <c r="DD78" s="228">
        <v>-0.55000000000000004</v>
      </c>
      <c r="DE78" s="228">
        <v>30.16</v>
      </c>
      <c r="DF78" s="228">
        <v>30.19</v>
      </c>
      <c r="DG78" s="228">
        <v>-8.49</v>
      </c>
      <c r="DH78" s="228">
        <v>-0.03</v>
      </c>
      <c r="DI78" s="228">
        <v>21.48</v>
      </c>
      <c r="DJ78" s="228">
        <v>21.97</v>
      </c>
      <c r="DK78" s="228">
        <v>-0.49</v>
      </c>
      <c r="DL78" s="228">
        <v>-0.49</v>
      </c>
      <c r="DM78" s="228">
        <v>22.07</v>
      </c>
      <c r="DN78" s="228">
        <v>22.87</v>
      </c>
      <c r="DO78" s="228">
        <v>-0.8</v>
      </c>
      <c r="DP78" s="228">
        <v>-0.8</v>
      </c>
      <c r="DQ78" s="228">
        <v>0.7</v>
      </c>
      <c r="DR78" s="228">
        <v>0.66</v>
      </c>
      <c r="DS78" s="228">
        <v>0.04</v>
      </c>
      <c r="DT78" s="229">
        <v>6.0600000000000001E-2</v>
      </c>
      <c r="DU78" s="231">
        <v>6000</v>
      </c>
      <c r="DV78" s="231">
        <v>5700</v>
      </c>
      <c r="DW78" s="228">
        <v>0.46</v>
      </c>
      <c r="DX78" s="228">
        <v>0.37</v>
      </c>
      <c r="DY78" s="228">
        <v>0.09</v>
      </c>
      <c r="DZ78" s="229">
        <v>0.2432</v>
      </c>
      <c r="EA78" s="229">
        <v>1.52E-2</v>
      </c>
      <c r="EB78" s="230">
        <v>79200</v>
      </c>
      <c r="EC78" s="229">
        <v>-2.3E-3</v>
      </c>
      <c r="ED78" s="229">
        <v>1.52E-2</v>
      </c>
      <c r="EE78" s="228">
        <v>-17.440000000000001</v>
      </c>
      <c r="EF78" s="229">
        <v>-3.0000000000000001E-3</v>
      </c>
      <c r="EG78" s="230">
        <v>176773</v>
      </c>
      <c r="EH78" s="230">
        <v>275319</v>
      </c>
      <c r="EI78" s="229">
        <v>-0.3579</v>
      </c>
      <c r="EJ78" s="229">
        <v>0.44879999999999998</v>
      </c>
      <c r="EK78" s="231">
        <v>2213.83</v>
      </c>
      <c r="EL78" s="228">
        <v>972.86</v>
      </c>
      <c r="EM78" s="228">
        <v>470.36</v>
      </c>
      <c r="EN78" s="228">
        <v>190.39</v>
      </c>
      <c r="EO78" s="231">
        <v>3657.04</v>
      </c>
      <c r="EP78" s="231">
        <v>4065.33</v>
      </c>
      <c r="EQ78" s="228">
        <v>-408.28</v>
      </c>
      <c r="ER78" s="229">
        <v>-0.1004</v>
      </c>
      <c r="ES78" s="228">
        <v>898.53</v>
      </c>
      <c r="ET78" s="228">
        <v>581.39</v>
      </c>
      <c r="EU78" s="231">
        <v>3382.75</v>
      </c>
      <c r="EV78" s="231">
        <v>19586951</v>
      </c>
      <c r="EW78" s="231">
        <v>4862.67</v>
      </c>
      <c r="EX78" s="231">
        <v>4778.5200000000004</v>
      </c>
      <c r="EY78" s="228">
        <v>84.15</v>
      </c>
      <c r="EZ78" s="229">
        <v>1.7600000000000001E-2</v>
      </c>
      <c r="FA78" s="229">
        <v>0.42399999999999999</v>
      </c>
      <c r="FB78" s="227" t="s">
        <v>555</v>
      </c>
      <c r="FC78">
        <f t="shared" si="1"/>
        <v>52</v>
      </c>
    </row>
    <row r="79" spans="1:159" ht="17.25" thickBot="1" x14ac:dyDescent="0.3">
      <c r="A79" s="226">
        <v>46023</v>
      </c>
      <c r="B79" s="227" t="s">
        <v>227</v>
      </c>
      <c r="C79" s="227" t="s">
        <v>228</v>
      </c>
      <c r="D79" s="228">
        <v>700</v>
      </c>
      <c r="E79" s="228">
        <v>26</v>
      </c>
      <c r="F79" s="228">
        <v>898.55</v>
      </c>
      <c r="G79" s="228">
        <v>890.2</v>
      </c>
      <c r="H79" s="228">
        <v>8.35</v>
      </c>
      <c r="I79" s="229">
        <v>9.4000000000000004E-3</v>
      </c>
      <c r="J79" s="228">
        <v>894.95</v>
      </c>
      <c r="K79" s="228">
        <v>886.7</v>
      </c>
      <c r="L79" s="228">
        <v>8.25</v>
      </c>
      <c r="M79" s="229">
        <v>9.2999999999999992E-3</v>
      </c>
      <c r="N79" s="228">
        <v>898.55</v>
      </c>
      <c r="O79" s="228">
        <v>890.2</v>
      </c>
      <c r="P79" s="228">
        <v>8.35</v>
      </c>
      <c r="Q79" s="229">
        <v>9.4000000000000004E-3</v>
      </c>
      <c r="R79" s="228">
        <v>903.95</v>
      </c>
      <c r="S79" s="228">
        <v>894.95</v>
      </c>
      <c r="T79" s="228">
        <v>9</v>
      </c>
      <c r="U79" s="229">
        <v>1.01E-2</v>
      </c>
      <c r="V79" s="228">
        <v>908.8</v>
      </c>
      <c r="W79" s="228">
        <v>900.95</v>
      </c>
      <c r="X79" s="228">
        <v>7.85</v>
      </c>
      <c r="Y79" s="229">
        <v>8.6999999999999994E-3</v>
      </c>
      <c r="Z79" s="228">
        <v>3.6</v>
      </c>
      <c r="AA79" s="228">
        <v>3.5</v>
      </c>
      <c r="AB79" s="228">
        <v>0.1</v>
      </c>
      <c r="AC79" s="229">
        <v>4.0000000000000001E-3</v>
      </c>
      <c r="AD79" s="228">
        <v>3.6</v>
      </c>
      <c r="AE79" s="228">
        <v>3.5</v>
      </c>
      <c r="AF79" s="228">
        <v>0.1</v>
      </c>
      <c r="AG79" s="229">
        <v>4.0000000000000001E-3</v>
      </c>
      <c r="AH79" s="228">
        <v>9</v>
      </c>
      <c r="AI79" s="228">
        <v>8.25</v>
      </c>
      <c r="AJ79" s="228">
        <v>0.75</v>
      </c>
      <c r="AK79" s="229">
        <v>1.01E-2</v>
      </c>
      <c r="AL79" s="228">
        <v>13.85</v>
      </c>
      <c r="AM79" s="228">
        <v>14.25</v>
      </c>
      <c r="AN79" s="228">
        <v>-0.4</v>
      </c>
      <c r="AO79" s="229">
        <v>1.55E-2</v>
      </c>
      <c r="AP79" s="228">
        <v>894.88</v>
      </c>
      <c r="AQ79" s="228">
        <v>899.37</v>
      </c>
      <c r="AR79" s="228">
        <v>0</v>
      </c>
      <c r="AS79" s="228">
        <v>369</v>
      </c>
      <c r="AT79" s="228">
        <v>542</v>
      </c>
      <c r="AU79" s="228">
        <v>-172</v>
      </c>
      <c r="AV79" s="229">
        <v>-0.31840000000000002</v>
      </c>
      <c r="AW79" s="228">
        <v>351</v>
      </c>
      <c r="AX79" s="228">
        <v>526</v>
      </c>
      <c r="AY79" s="228">
        <v>-175</v>
      </c>
      <c r="AZ79" s="229">
        <v>-0.33300000000000002</v>
      </c>
      <c r="BA79" s="228">
        <v>13</v>
      </c>
      <c r="BB79" s="228">
        <v>13</v>
      </c>
      <c r="BC79" s="228">
        <v>0</v>
      </c>
      <c r="BD79" s="229">
        <v>9.5999999999999992E-3</v>
      </c>
      <c r="BE79" s="228">
        <v>5</v>
      </c>
      <c r="BF79" s="228">
        <v>2</v>
      </c>
      <c r="BG79" s="228">
        <v>3</v>
      </c>
      <c r="BH79" s="229">
        <v>1.1943999999999999</v>
      </c>
      <c r="BI79" s="230">
        <v>1139</v>
      </c>
      <c r="BJ79" s="230">
        <v>2159</v>
      </c>
      <c r="BK79" s="230">
        <v>-1020</v>
      </c>
      <c r="BL79" s="229">
        <v>-0.47239999999999999</v>
      </c>
      <c r="BM79" s="228">
        <v>760</v>
      </c>
      <c r="BN79" s="228">
        <v>926</v>
      </c>
      <c r="BO79" s="228">
        <v>-166</v>
      </c>
      <c r="BP79" s="229">
        <v>-0.17910000000000001</v>
      </c>
      <c r="BQ79" s="230">
        <v>2269</v>
      </c>
      <c r="BR79" s="230">
        <v>3627</v>
      </c>
      <c r="BS79" s="230">
        <v>-1358</v>
      </c>
      <c r="BT79" s="229">
        <v>-0.3745</v>
      </c>
      <c r="BU79" s="230">
        <v>2623017</v>
      </c>
      <c r="BV79" s="230">
        <v>3677234</v>
      </c>
      <c r="BW79" s="230">
        <v>-1054217</v>
      </c>
      <c r="BX79" s="229">
        <v>-0.28670000000000001</v>
      </c>
      <c r="BY79" s="230">
        <v>5941</v>
      </c>
      <c r="BZ79" s="230">
        <v>6013</v>
      </c>
      <c r="CA79" s="228">
        <v>-72</v>
      </c>
      <c r="CB79" s="229">
        <v>-1.2E-2</v>
      </c>
      <c r="CC79" s="230">
        <v>5892</v>
      </c>
      <c r="CD79" s="230">
        <v>5970</v>
      </c>
      <c r="CE79" s="228">
        <v>-77</v>
      </c>
      <c r="CF79" s="229">
        <v>-1.29E-2</v>
      </c>
      <c r="CG79" s="228">
        <v>44</v>
      </c>
      <c r="CH79" s="228">
        <v>42</v>
      </c>
      <c r="CI79" s="228">
        <v>2</v>
      </c>
      <c r="CJ79" s="229">
        <v>5.3900000000000003E-2</v>
      </c>
      <c r="CK79" s="228">
        <v>5</v>
      </c>
      <c r="CL79" s="228">
        <v>2</v>
      </c>
      <c r="CM79" s="228">
        <v>3</v>
      </c>
      <c r="CN79" s="229">
        <v>2.0417000000000001</v>
      </c>
      <c r="CO79" s="228">
        <v>861</v>
      </c>
      <c r="CP79" s="228">
        <v>825</v>
      </c>
      <c r="CQ79" s="228">
        <v>35</v>
      </c>
      <c r="CR79" s="229">
        <v>4.2900000000000001E-2</v>
      </c>
      <c r="CS79" s="228">
        <v>801</v>
      </c>
      <c r="CT79" s="228">
        <v>760</v>
      </c>
      <c r="CU79" s="228">
        <v>41</v>
      </c>
      <c r="CV79" s="229">
        <v>5.4300000000000001E-2</v>
      </c>
      <c r="CW79" s="230">
        <v>7603</v>
      </c>
      <c r="CX79" s="230">
        <v>7598</v>
      </c>
      <c r="CY79" s="228">
        <v>5</v>
      </c>
      <c r="CZ79" s="229">
        <v>5.9999999999999995E-4</v>
      </c>
      <c r="DA79" s="228">
        <v>23.26</v>
      </c>
      <c r="DB79" s="228">
        <v>23.69</v>
      </c>
      <c r="DC79" s="228">
        <v>-0.43</v>
      </c>
      <c r="DD79" s="228">
        <v>-0.43</v>
      </c>
      <c r="DE79" s="228">
        <v>32.090000000000003</v>
      </c>
      <c r="DF79" s="228">
        <v>32.14</v>
      </c>
      <c r="DG79" s="228">
        <v>-8.83</v>
      </c>
      <c r="DH79" s="228">
        <v>-0.05</v>
      </c>
      <c r="DI79" s="228">
        <v>22.49</v>
      </c>
      <c r="DJ79" s="228">
        <v>23.29</v>
      </c>
      <c r="DK79" s="228">
        <v>-0.8</v>
      </c>
      <c r="DL79" s="228">
        <v>-0.8</v>
      </c>
      <c r="DM79" s="228">
        <v>24.41</v>
      </c>
      <c r="DN79" s="228">
        <v>24.62</v>
      </c>
      <c r="DO79" s="228">
        <v>-0.21</v>
      </c>
      <c r="DP79" s="228">
        <v>-0.21</v>
      </c>
      <c r="DQ79" s="228">
        <v>0.93</v>
      </c>
      <c r="DR79" s="228">
        <v>0.92</v>
      </c>
      <c r="DS79" s="228">
        <v>0.01</v>
      </c>
      <c r="DT79" s="229">
        <v>1.09E-2</v>
      </c>
      <c r="DU79" s="228">
        <v>900</v>
      </c>
      <c r="DV79" s="228">
        <v>880</v>
      </c>
      <c r="DW79" s="228">
        <v>0.67</v>
      </c>
      <c r="DX79" s="228">
        <v>0.43</v>
      </c>
      <c r="DY79" s="228">
        <v>0.24</v>
      </c>
      <c r="DZ79" s="229">
        <v>0.55810000000000004</v>
      </c>
      <c r="EA79" s="229">
        <v>8.2000000000000007E-3</v>
      </c>
      <c r="EB79" s="230">
        <v>484400</v>
      </c>
      <c r="EC79" s="229">
        <v>6.0000000000000001E-3</v>
      </c>
      <c r="ED79" s="229">
        <v>8.2000000000000007E-3</v>
      </c>
      <c r="EE79" s="228">
        <v>4.49</v>
      </c>
      <c r="EF79" s="229">
        <v>5.0000000000000001E-3</v>
      </c>
      <c r="EG79" s="230">
        <v>1332695</v>
      </c>
      <c r="EH79" s="230">
        <v>1993025</v>
      </c>
      <c r="EI79" s="229">
        <v>-0.33129999999999998</v>
      </c>
      <c r="EJ79" s="229">
        <v>0.5081</v>
      </c>
      <c r="EK79" s="231">
        <v>1176.74</v>
      </c>
      <c r="EL79" s="228">
        <v>733.91</v>
      </c>
      <c r="EM79" s="228">
        <v>367.78</v>
      </c>
      <c r="EN79" s="228">
        <v>352.77</v>
      </c>
      <c r="EO79" s="231">
        <v>2278.42</v>
      </c>
      <c r="EP79" s="231">
        <v>3660.33</v>
      </c>
      <c r="EQ79" s="231">
        <v>-1381.91</v>
      </c>
      <c r="ER79" s="229">
        <v>-0.3775</v>
      </c>
      <c r="ES79" s="228">
        <v>871.87</v>
      </c>
      <c r="ET79" s="228">
        <v>749.67</v>
      </c>
      <c r="EU79" s="231">
        <v>5941.52</v>
      </c>
      <c r="EV79" s="231">
        <v>212176873</v>
      </c>
      <c r="EW79" s="231">
        <v>7563.06</v>
      </c>
      <c r="EX79" s="231">
        <v>7497.47</v>
      </c>
      <c r="EY79" s="228">
        <v>65.59</v>
      </c>
      <c r="EZ79" s="229">
        <v>8.6999999999999994E-3</v>
      </c>
      <c r="FA79" s="229">
        <v>0.39879999999999999</v>
      </c>
      <c r="FB79" s="227" t="s">
        <v>556</v>
      </c>
      <c r="FC79">
        <f t="shared" si="1"/>
        <v>49</v>
      </c>
    </row>
    <row r="80" spans="1:159" ht="17.25" thickBot="1" x14ac:dyDescent="0.3">
      <c r="A80" s="226">
        <v>46023</v>
      </c>
      <c r="B80" s="227" t="s">
        <v>193</v>
      </c>
      <c r="C80" s="227" t="s">
        <v>229</v>
      </c>
      <c r="D80" s="228">
        <v>2025</v>
      </c>
      <c r="E80" s="228">
        <v>26</v>
      </c>
      <c r="F80" s="228">
        <v>500.45</v>
      </c>
      <c r="G80" s="228">
        <v>501.1</v>
      </c>
      <c r="H80" s="228">
        <v>-0.65</v>
      </c>
      <c r="I80" s="229">
        <v>-1.2999999999999999E-3</v>
      </c>
      <c r="J80" s="228">
        <v>498.6</v>
      </c>
      <c r="K80" s="228">
        <v>499.05</v>
      </c>
      <c r="L80" s="228">
        <v>-0.45</v>
      </c>
      <c r="M80" s="229">
        <v>-8.9999999999999998E-4</v>
      </c>
      <c r="N80" s="228">
        <v>500.45</v>
      </c>
      <c r="O80" s="228">
        <v>501.1</v>
      </c>
      <c r="P80" s="228">
        <v>-0.65</v>
      </c>
      <c r="Q80" s="229">
        <v>-1.2999999999999999E-3</v>
      </c>
      <c r="R80" s="228">
        <v>498.6</v>
      </c>
      <c r="S80" s="228">
        <v>499.35</v>
      </c>
      <c r="T80" s="228">
        <v>-0.75</v>
      </c>
      <c r="U80" s="229">
        <v>-1.5E-3</v>
      </c>
      <c r="V80" s="228">
        <v>496.9</v>
      </c>
      <c r="W80" s="228">
        <v>501.15</v>
      </c>
      <c r="X80" s="228">
        <v>-4.25</v>
      </c>
      <c r="Y80" s="229">
        <v>-8.5000000000000006E-3</v>
      </c>
      <c r="Z80" s="228">
        <v>1.85</v>
      </c>
      <c r="AA80" s="228">
        <v>2.0499999999999998</v>
      </c>
      <c r="AB80" s="228">
        <v>-0.2</v>
      </c>
      <c r="AC80" s="229">
        <v>3.7000000000000002E-3</v>
      </c>
      <c r="AD80" s="228">
        <v>1.85</v>
      </c>
      <c r="AE80" s="228">
        <v>2.0499999999999998</v>
      </c>
      <c r="AF80" s="228">
        <v>-0.2</v>
      </c>
      <c r="AG80" s="229">
        <v>3.7000000000000002E-3</v>
      </c>
      <c r="AH80" s="228">
        <v>0</v>
      </c>
      <c r="AI80" s="228">
        <v>0.3</v>
      </c>
      <c r="AJ80" s="228">
        <v>-0.3</v>
      </c>
      <c r="AK80" s="229">
        <v>0</v>
      </c>
      <c r="AL80" s="228">
        <v>-1.7</v>
      </c>
      <c r="AM80" s="228">
        <v>2.1</v>
      </c>
      <c r="AN80" s="228">
        <v>-3.8</v>
      </c>
      <c r="AO80" s="229">
        <v>-3.3999999999999998E-3</v>
      </c>
      <c r="AP80" s="228">
        <v>500.21</v>
      </c>
      <c r="AQ80" s="228">
        <v>498.19</v>
      </c>
      <c r="AR80" s="228">
        <v>0</v>
      </c>
      <c r="AS80" s="228">
        <v>307</v>
      </c>
      <c r="AT80" s="228">
        <v>701</v>
      </c>
      <c r="AU80" s="228">
        <v>-394</v>
      </c>
      <c r="AV80" s="229">
        <v>-0.56240000000000001</v>
      </c>
      <c r="AW80" s="228">
        <v>293</v>
      </c>
      <c r="AX80" s="228">
        <v>669</v>
      </c>
      <c r="AY80" s="228">
        <v>-376</v>
      </c>
      <c r="AZ80" s="229">
        <v>-0.56240000000000001</v>
      </c>
      <c r="BA80" s="228">
        <v>12</v>
      </c>
      <c r="BB80" s="228">
        <v>30</v>
      </c>
      <c r="BC80" s="228">
        <v>-18</v>
      </c>
      <c r="BD80" s="229">
        <v>-0.58589999999999998</v>
      </c>
      <c r="BE80" s="228">
        <v>2</v>
      </c>
      <c r="BF80" s="228">
        <v>2</v>
      </c>
      <c r="BG80" s="228">
        <v>-1</v>
      </c>
      <c r="BH80" s="229">
        <v>-0.23810000000000001</v>
      </c>
      <c r="BI80" s="230">
        <v>1054</v>
      </c>
      <c r="BJ80" s="230">
        <v>2989</v>
      </c>
      <c r="BK80" s="230">
        <v>-1935</v>
      </c>
      <c r="BL80" s="229">
        <v>-0.64739999999999998</v>
      </c>
      <c r="BM80" s="228">
        <v>628</v>
      </c>
      <c r="BN80" s="230">
        <v>1166</v>
      </c>
      <c r="BO80" s="228">
        <v>-538</v>
      </c>
      <c r="BP80" s="229">
        <v>-0.46160000000000001</v>
      </c>
      <c r="BQ80" s="230">
        <v>1989</v>
      </c>
      <c r="BR80" s="230">
        <v>4857</v>
      </c>
      <c r="BS80" s="230">
        <v>-2868</v>
      </c>
      <c r="BT80" s="229">
        <v>-0.59050000000000002</v>
      </c>
      <c r="BU80" s="230">
        <v>3464633</v>
      </c>
      <c r="BV80" s="230">
        <v>12399570</v>
      </c>
      <c r="BW80" s="230">
        <v>-8934937</v>
      </c>
      <c r="BX80" s="229">
        <v>-0.72060000000000002</v>
      </c>
      <c r="BY80" s="230">
        <v>1803</v>
      </c>
      <c r="BZ80" s="230">
        <v>1772</v>
      </c>
      <c r="CA80" s="228">
        <v>31</v>
      </c>
      <c r="CB80" s="229">
        <v>1.7399999999999999E-2</v>
      </c>
      <c r="CC80" s="230">
        <v>1767</v>
      </c>
      <c r="CD80" s="230">
        <v>1736</v>
      </c>
      <c r="CE80" s="228">
        <v>31</v>
      </c>
      <c r="CF80" s="229">
        <v>1.7999999999999999E-2</v>
      </c>
      <c r="CG80" s="228">
        <v>34</v>
      </c>
      <c r="CH80" s="228">
        <v>34</v>
      </c>
      <c r="CI80" s="228">
        <v>-1</v>
      </c>
      <c r="CJ80" s="229">
        <v>-1.4800000000000001E-2</v>
      </c>
      <c r="CK80" s="228">
        <v>2</v>
      </c>
      <c r="CL80" s="228">
        <v>2</v>
      </c>
      <c r="CM80" s="228">
        <v>0</v>
      </c>
      <c r="CN80" s="229">
        <v>0.125</v>
      </c>
      <c r="CO80" s="228">
        <v>543</v>
      </c>
      <c r="CP80" s="228">
        <v>532</v>
      </c>
      <c r="CQ80" s="228">
        <v>10</v>
      </c>
      <c r="CR80" s="229">
        <v>1.9599999999999999E-2</v>
      </c>
      <c r="CS80" s="228">
        <v>419</v>
      </c>
      <c r="CT80" s="228">
        <v>434</v>
      </c>
      <c r="CU80" s="228">
        <v>-15</v>
      </c>
      <c r="CV80" s="229">
        <v>-3.4099999999999998E-2</v>
      </c>
      <c r="CW80" s="230">
        <v>2764</v>
      </c>
      <c r="CX80" s="230">
        <v>2738</v>
      </c>
      <c r="CY80" s="228">
        <v>27</v>
      </c>
      <c r="CZ80" s="229">
        <v>9.7000000000000003E-3</v>
      </c>
      <c r="DA80" s="228">
        <v>26.79</v>
      </c>
      <c r="DB80" s="228">
        <v>28.41</v>
      </c>
      <c r="DC80" s="228">
        <v>-1.62</v>
      </c>
      <c r="DD80" s="228">
        <v>-1.62</v>
      </c>
      <c r="DE80" s="228">
        <v>38.44</v>
      </c>
      <c r="DF80" s="228">
        <v>38.54</v>
      </c>
      <c r="DG80" s="228">
        <v>-11.65</v>
      </c>
      <c r="DH80" s="228">
        <v>-0.1</v>
      </c>
      <c r="DI80" s="228">
        <v>26.56</v>
      </c>
      <c r="DJ80" s="228">
        <v>27.99</v>
      </c>
      <c r="DK80" s="228">
        <v>-1.43</v>
      </c>
      <c r="DL80" s="228">
        <v>-1.43</v>
      </c>
      <c r="DM80" s="228">
        <v>27.17</v>
      </c>
      <c r="DN80" s="228">
        <v>29.49</v>
      </c>
      <c r="DO80" s="228">
        <v>-2.3199999999999998</v>
      </c>
      <c r="DP80" s="228">
        <v>-2.3199999999999998</v>
      </c>
      <c r="DQ80" s="228">
        <v>0.77</v>
      </c>
      <c r="DR80" s="228">
        <v>0.81</v>
      </c>
      <c r="DS80" s="228">
        <v>-0.04</v>
      </c>
      <c r="DT80" s="229">
        <v>-4.9399999999999999E-2</v>
      </c>
      <c r="DU80" s="228">
        <v>500</v>
      </c>
      <c r="DV80" s="228">
        <v>480</v>
      </c>
      <c r="DW80" s="228">
        <v>0.6</v>
      </c>
      <c r="DX80" s="228">
        <v>0.39</v>
      </c>
      <c r="DY80" s="228">
        <v>0.21</v>
      </c>
      <c r="DZ80" s="229">
        <v>0.53849999999999998</v>
      </c>
      <c r="EA80" s="229">
        <v>1.9699999999999999E-2</v>
      </c>
      <c r="EB80" s="230">
        <v>714825</v>
      </c>
      <c r="EC80" s="229">
        <v>-3.7000000000000002E-3</v>
      </c>
      <c r="ED80" s="229">
        <v>1.9699999999999999E-2</v>
      </c>
      <c r="EE80" s="228">
        <v>-2.02</v>
      </c>
      <c r="EF80" s="229">
        <v>-4.0000000000000001E-3</v>
      </c>
      <c r="EG80" s="230">
        <v>1377515</v>
      </c>
      <c r="EH80" s="230">
        <v>5527225</v>
      </c>
      <c r="EI80" s="229">
        <v>-0.75080000000000002</v>
      </c>
      <c r="EJ80" s="229">
        <v>0.39760000000000001</v>
      </c>
      <c r="EK80" s="231">
        <v>1103.0899999999999</v>
      </c>
      <c r="EL80" s="228">
        <v>614.83000000000004</v>
      </c>
      <c r="EM80" s="228">
        <v>306.56</v>
      </c>
      <c r="EN80" s="228">
        <v>102.11</v>
      </c>
      <c r="EO80" s="231">
        <v>2024.48</v>
      </c>
      <c r="EP80" s="231">
        <v>4884.8</v>
      </c>
      <c r="EQ80" s="231">
        <v>-2860.32</v>
      </c>
      <c r="ER80" s="229">
        <v>-0.58560000000000001</v>
      </c>
      <c r="ES80" s="228">
        <v>548.6</v>
      </c>
      <c r="ET80" s="228">
        <v>393.51</v>
      </c>
      <c r="EU80" s="231">
        <v>1802.42</v>
      </c>
      <c r="EV80" s="231">
        <v>143933168</v>
      </c>
      <c r="EW80" s="231">
        <v>2744.53</v>
      </c>
      <c r="EX80" s="231">
        <v>2716.46</v>
      </c>
      <c r="EY80" s="228">
        <v>28.07</v>
      </c>
      <c r="EZ80" s="229">
        <v>1.03E-2</v>
      </c>
      <c r="FA80" s="229">
        <v>0.38369999999999999</v>
      </c>
      <c r="FB80" s="227" t="s">
        <v>567</v>
      </c>
      <c r="FC80">
        <f t="shared" si="1"/>
        <v>36</v>
      </c>
    </row>
    <row r="81" spans="1:159" ht="17.25" thickBot="1" x14ac:dyDescent="0.3">
      <c r="A81" s="226">
        <v>46023</v>
      </c>
      <c r="B81" s="227" t="s">
        <v>168</v>
      </c>
      <c r="C81" s="227" t="s">
        <v>230</v>
      </c>
      <c r="D81" s="228">
        <v>300</v>
      </c>
      <c r="E81" s="228">
        <v>26</v>
      </c>
      <c r="F81" s="231">
        <v>2331.1999999999998</v>
      </c>
      <c r="G81" s="231">
        <v>2324.4</v>
      </c>
      <c r="H81" s="228">
        <v>6.8</v>
      </c>
      <c r="I81" s="229">
        <v>2.8999999999999998E-3</v>
      </c>
      <c r="J81" s="231">
        <v>2323</v>
      </c>
      <c r="K81" s="231">
        <v>2315.9</v>
      </c>
      <c r="L81" s="228">
        <v>7.1</v>
      </c>
      <c r="M81" s="229">
        <v>3.0999999999999999E-3</v>
      </c>
      <c r="N81" s="231">
        <v>2331.1999999999998</v>
      </c>
      <c r="O81" s="231">
        <v>2324.4</v>
      </c>
      <c r="P81" s="228">
        <v>6.8</v>
      </c>
      <c r="Q81" s="229">
        <v>2.8999999999999998E-3</v>
      </c>
      <c r="R81" s="231">
        <v>2343.8000000000002</v>
      </c>
      <c r="S81" s="231">
        <v>2339</v>
      </c>
      <c r="T81" s="228">
        <v>4.8</v>
      </c>
      <c r="U81" s="229">
        <v>2.0999999999999999E-3</v>
      </c>
      <c r="V81" s="231">
        <v>2362.1</v>
      </c>
      <c r="W81" s="231">
        <v>2355.1</v>
      </c>
      <c r="X81" s="228">
        <v>7</v>
      </c>
      <c r="Y81" s="229">
        <v>3.0000000000000001E-3</v>
      </c>
      <c r="Z81" s="228">
        <v>8.1999999999999993</v>
      </c>
      <c r="AA81" s="228">
        <v>8.5</v>
      </c>
      <c r="AB81" s="228">
        <v>-0.3</v>
      </c>
      <c r="AC81" s="229">
        <v>3.5000000000000001E-3</v>
      </c>
      <c r="AD81" s="228">
        <v>8.1999999999999993</v>
      </c>
      <c r="AE81" s="228">
        <v>8.5</v>
      </c>
      <c r="AF81" s="228">
        <v>-0.3</v>
      </c>
      <c r="AG81" s="229">
        <v>3.5000000000000001E-3</v>
      </c>
      <c r="AH81" s="228">
        <v>20.8</v>
      </c>
      <c r="AI81" s="228">
        <v>23.1</v>
      </c>
      <c r="AJ81" s="228">
        <v>-2.2999999999999998</v>
      </c>
      <c r="AK81" s="229">
        <v>8.9999999999999993E-3</v>
      </c>
      <c r="AL81" s="228">
        <v>39.1</v>
      </c>
      <c r="AM81" s="228">
        <v>39.200000000000003</v>
      </c>
      <c r="AN81" s="228">
        <v>-0.1</v>
      </c>
      <c r="AO81" s="229">
        <v>1.6799999999999999E-2</v>
      </c>
      <c r="AP81" s="231">
        <v>2321.91</v>
      </c>
      <c r="AQ81" s="231">
        <v>2331.29</v>
      </c>
      <c r="AR81" s="228">
        <v>0</v>
      </c>
      <c r="AS81" s="228">
        <v>266</v>
      </c>
      <c r="AT81" s="228">
        <v>417</v>
      </c>
      <c r="AU81" s="228">
        <v>-152</v>
      </c>
      <c r="AV81" s="229">
        <v>-0.36309999999999998</v>
      </c>
      <c r="AW81" s="228">
        <v>252</v>
      </c>
      <c r="AX81" s="228">
        <v>399</v>
      </c>
      <c r="AY81" s="228">
        <v>-147</v>
      </c>
      <c r="AZ81" s="229">
        <v>-0.36940000000000001</v>
      </c>
      <c r="BA81" s="228">
        <v>11</v>
      </c>
      <c r="BB81" s="228">
        <v>16</v>
      </c>
      <c r="BC81" s="228">
        <v>-6</v>
      </c>
      <c r="BD81" s="229">
        <v>-0.34889999999999999</v>
      </c>
      <c r="BE81" s="228">
        <v>3</v>
      </c>
      <c r="BF81" s="228">
        <v>2</v>
      </c>
      <c r="BG81" s="228">
        <v>2</v>
      </c>
      <c r="BH81" s="229">
        <v>0.85189999999999999</v>
      </c>
      <c r="BI81" s="228">
        <v>987</v>
      </c>
      <c r="BJ81" s="230">
        <v>1428</v>
      </c>
      <c r="BK81" s="228">
        <v>-440</v>
      </c>
      <c r="BL81" s="229">
        <v>-0.3085</v>
      </c>
      <c r="BM81" s="228">
        <v>572</v>
      </c>
      <c r="BN81" s="228">
        <v>648</v>
      </c>
      <c r="BO81" s="228">
        <v>-76</v>
      </c>
      <c r="BP81" s="229">
        <v>-0.11749999999999999</v>
      </c>
      <c r="BQ81" s="230">
        <v>1825</v>
      </c>
      <c r="BR81" s="230">
        <v>2494</v>
      </c>
      <c r="BS81" s="228">
        <v>-668</v>
      </c>
      <c r="BT81" s="229">
        <v>-0.26800000000000002</v>
      </c>
      <c r="BU81" s="230">
        <v>887913</v>
      </c>
      <c r="BV81" s="230">
        <v>1387208</v>
      </c>
      <c r="BW81" s="230">
        <v>-499295</v>
      </c>
      <c r="BX81" s="229">
        <v>-0.3599</v>
      </c>
      <c r="BY81" s="230">
        <v>2835</v>
      </c>
      <c r="BZ81" s="230">
        <v>2903</v>
      </c>
      <c r="CA81" s="228">
        <v>-67</v>
      </c>
      <c r="CB81" s="229">
        <v>-2.3099999999999999E-2</v>
      </c>
      <c r="CC81" s="230">
        <v>2776</v>
      </c>
      <c r="CD81" s="230">
        <v>2848</v>
      </c>
      <c r="CE81" s="228">
        <v>-72</v>
      </c>
      <c r="CF81" s="229">
        <v>-2.52E-2</v>
      </c>
      <c r="CG81" s="228">
        <v>55</v>
      </c>
      <c r="CH81" s="228">
        <v>53</v>
      </c>
      <c r="CI81" s="228">
        <v>1</v>
      </c>
      <c r="CJ81" s="229">
        <v>2.3599999999999999E-2</v>
      </c>
      <c r="CK81" s="228">
        <v>5</v>
      </c>
      <c r="CL81" s="228">
        <v>1</v>
      </c>
      <c r="CM81" s="228">
        <v>3</v>
      </c>
      <c r="CN81" s="229">
        <v>2.4</v>
      </c>
      <c r="CO81" s="230">
        <v>1008</v>
      </c>
      <c r="CP81" s="228">
        <v>802</v>
      </c>
      <c r="CQ81" s="228">
        <v>205</v>
      </c>
      <c r="CR81" s="229">
        <v>0.25580000000000003</v>
      </c>
      <c r="CS81" s="228">
        <v>697</v>
      </c>
      <c r="CT81" s="228">
        <v>615</v>
      </c>
      <c r="CU81" s="228">
        <v>82</v>
      </c>
      <c r="CV81" s="229">
        <v>0.13370000000000001</v>
      </c>
      <c r="CW81" s="230">
        <v>4540</v>
      </c>
      <c r="CX81" s="230">
        <v>4320</v>
      </c>
      <c r="CY81" s="228">
        <v>220</v>
      </c>
      <c r="CZ81" s="229">
        <v>5.0999999999999997E-2</v>
      </c>
      <c r="DA81" s="228">
        <v>15.62</v>
      </c>
      <c r="DB81" s="228">
        <v>16.14</v>
      </c>
      <c r="DC81" s="228">
        <v>-0.52</v>
      </c>
      <c r="DD81" s="228">
        <v>-0.52</v>
      </c>
      <c r="DE81" s="228">
        <v>21.74</v>
      </c>
      <c r="DF81" s="228">
        <v>21.79</v>
      </c>
      <c r="DG81" s="228">
        <v>-6.12</v>
      </c>
      <c r="DH81" s="228">
        <v>-0.05</v>
      </c>
      <c r="DI81" s="228">
        <v>15.2</v>
      </c>
      <c r="DJ81" s="228">
        <v>15.88</v>
      </c>
      <c r="DK81" s="228">
        <v>-0.68</v>
      </c>
      <c r="DL81" s="228">
        <v>-0.68</v>
      </c>
      <c r="DM81" s="228">
        <v>16.36</v>
      </c>
      <c r="DN81" s="228">
        <v>16.71</v>
      </c>
      <c r="DO81" s="228">
        <v>-0.35</v>
      </c>
      <c r="DP81" s="228">
        <v>-0.35</v>
      </c>
      <c r="DQ81" s="228">
        <v>0.69</v>
      </c>
      <c r="DR81" s="228">
        <v>0.77</v>
      </c>
      <c r="DS81" s="228">
        <v>-0.08</v>
      </c>
      <c r="DT81" s="229">
        <v>-0.10390000000000001</v>
      </c>
      <c r="DU81" s="231">
        <v>2340</v>
      </c>
      <c r="DV81" s="231">
        <v>2300</v>
      </c>
      <c r="DW81" s="228">
        <v>0.57999999999999996</v>
      </c>
      <c r="DX81" s="228">
        <v>0.45</v>
      </c>
      <c r="DY81" s="228">
        <v>0.13</v>
      </c>
      <c r="DZ81" s="229">
        <v>0.28889999999999999</v>
      </c>
      <c r="EA81" s="229">
        <v>2.1000000000000001E-2</v>
      </c>
      <c r="EB81" s="230">
        <v>235200</v>
      </c>
      <c r="EC81" s="229">
        <v>5.4000000000000003E-3</v>
      </c>
      <c r="ED81" s="229">
        <v>2.1000000000000001E-2</v>
      </c>
      <c r="EE81" s="228">
        <v>9.3800000000000008</v>
      </c>
      <c r="EF81" s="229">
        <v>4.0000000000000001E-3</v>
      </c>
      <c r="EG81" s="230">
        <v>472038</v>
      </c>
      <c r="EH81" s="230">
        <v>956536</v>
      </c>
      <c r="EI81" s="229">
        <v>-0.50649999999999995</v>
      </c>
      <c r="EJ81" s="229">
        <v>0.53159999999999996</v>
      </c>
      <c r="EK81" s="231">
        <v>1011.52</v>
      </c>
      <c r="EL81" s="228">
        <v>562.78</v>
      </c>
      <c r="EM81" s="228">
        <v>264.85000000000002</v>
      </c>
      <c r="EN81" s="228">
        <v>171.91</v>
      </c>
      <c r="EO81" s="231">
        <v>1839.15</v>
      </c>
      <c r="EP81" s="231">
        <v>2517.23</v>
      </c>
      <c r="EQ81" s="228">
        <v>-678.08</v>
      </c>
      <c r="ER81" s="229">
        <v>-0.26939999999999997</v>
      </c>
      <c r="ES81" s="231">
        <v>1023.54</v>
      </c>
      <c r="ET81" s="228">
        <v>677.09</v>
      </c>
      <c r="EU81" s="231">
        <v>2835.77</v>
      </c>
      <c r="EV81" s="231">
        <v>91001773</v>
      </c>
      <c r="EW81" s="231">
        <v>4536.41</v>
      </c>
      <c r="EX81" s="231">
        <v>4307.1099999999997</v>
      </c>
      <c r="EY81" s="228">
        <v>229.3</v>
      </c>
      <c r="EZ81" s="229">
        <v>5.3199999999999997E-2</v>
      </c>
      <c r="FA81" s="229">
        <v>0.214</v>
      </c>
      <c r="FB81" s="227" t="s">
        <v>556</v>
      </c>
      <c r="FC81">
        <f t="shared" si="1"/>
        <v>59</v>
      </c>
    </row>
    <row r="82" spans="1:159" ht="17.25" thickBot="1" x14ac:dyDescent="0.3">
      <c r="A82" s="226">
        <v>46023</v>
      </c>
      <c r="B82" s="227" t="s">
        <v>227</v>
      </c>
      <c r="C82" s="227" t="s">
        <v>668</v>
      </c>
      <c r="D82" s="228">
        <v>1225</v>
      </c>
      <c r="E82" s="228">
        <v>26</v>
      </c>
      <c r="F82" s="228">
        <v>615.35</v>
      </c>
      <c r="G82" s="228">
        <v>616.29999999999995</v>
      </c>
      <c r="H82" s="228">
        <v>-0.95</v>
      </c>
      <c r="I82" s="229">
        <v>-1.5E-3</v>
      </c>
      <c r="J82" s="228">
        <v>611.95000000000005</v>
      </c>
      <c r="K82" s="228">
        <v>612.45000000000005</v>
      </c>
      <c r="L82" s="228">
        <v>-0.5</v>
      </c>
      <c r="M82" s="229">
        <v>-8.0000000000000004E-4</v>
      </c>
      <c r="N82" s="228">
        <v>615.35</v>
      </c>
      <c r="O82" s="228">
        <v>616.29999999999995</v>
      </c>
      <c r="P82" s="228">
        <v>-0.95</v>
      </c>
      <c r="Q82" s="229">
        <v>-1.5E-3</v>
      </c>
      <c r="R82" s="228">
        <v>618.65</v>
      </c>
      <c r="S82" s="228">
        <v>619.75</v>
      </c>
      <c r="T82" s="228">
        <v>-1.1000000000000001</v>
      </c>
      <c r="U82" s="229">
        <v>-1.8E-3</v>
      </c>
      <c r="V82" s="228">
        <v>622.6</v>
      </c>
      <c r="W82" s="228">
        <v>623.95000000000005</v>
      </c>
      <c r="X82" s="228">
        <v>-1.35</v>
      </c>
      <c r="Y82" s="229">
        <v>-2.2000000000000001E-3</v>
      </c>
      <c r="Z82" s="228">
        <v>3.4</v>
      </c>
      <c r="AA82" s="228">
        <v>3.85</v>
      </c>
      <c r="AB82" s="228">
        <v>-0.45</v>
      </c>
      <c r="AC82" s="229">
        <v>5.5999999999999999E-3</v>
      </c>
      <c r="AD82" s="228">
        <v>3.4</v>
      </c>
      <c r="AE82" s="228">
        <v>3.85</v>
      </c>
      <c r="AF82" s="228">
        <v>-0.45</v>
      </c>
      <c r="AG82" s="229">
        <v>5.5999999999999999E-3</v>
      </c>
      <c r="AH82" s="228">
        <v>6.7</v>
      </c>
      <c r="AI82" s="228">
        <v>7.3</v>
      </c>
      <c r="AJ82" s="228">
        <v>-0.6</v>
      </c>
      <c r="AK82" s="229">
        <v>1.09E-2</v>
      </c>
      <c r="AL82" s="228">
        <v>10.65</v>
      </c>
      <c r="AM82" s="228">
        <v>11.5</v>
      </c>
      <c r="AN82" s="228">
        <v>-0.85</v>
      </c>
      <c r="AO82" s="229">
        <v>1.7399999999999999E-2</v>
      </c>
      <c r="AP82" s="228">
        <v>614.9</v>
      </c>
      <c r="AQ82" s="228">
        <v>618.54</v>
      </c>
      <c r="AR82" s="228">
        <v>0</v>
      </c>
      <c r="AS82" s="228">
        <v>411</v>
      </c>
      <c r="AT82" s="228">
        <v>929</v>
      </c>
      <c r="AU82" s="228">
        <v>-519</v>
      </c>
      <c r="AV82" s="229">
        <v>-0.55810000000000004</v>
      </c>
      <c r="AW82" s="228">
        <v>391</v>
      </c>
      <c r="AX82" s="228">
        <v>871</v>
      </c>
      <c r="AY82" s="228">
        <v>-480</v>
      </c>
      <c r="AZ82" s="229">
        <v>-0.5514</v>
      </c>
      <c r="BA82" s="228">
        <v>17</v>
      </c>
      <c r="BB82" s="228">
        <v>55</v>
      </c>
      <c r="BC82" s="228">
        <v>-38</v>
      </c>
      <c r="BD82" s="229">
        <v>-0.69220000000000004</v>
      </c>
      <c r="BE82" s="228">
        <v>3</v>
      </c>
      <c r="BF82" s="228">
        <v>3</v>
      </c>
      <c r="BG82" s="228">
        <v>0</v>
      </c>
      <c r="BH82" s="229">
        <v>-0.1087</v>
      </c>
      <c r="BI82" s="230">
        <v>1351</v>
      </c>
      <c r="BJ82" s="230">
        <v>2825</v>
      </c>
      <c r="BK82" s="230">
        <v>-1474</v>
      </c>
      <c r="BL82" s="229">
        <v>-0.52190000000000003</v>
      </c>
      <c r="BM82" s="228">
        <v>821</v>
      </c>
      <c r="BN82" s="230">
        <v>1900</v>
      </c>
      <c r="BO82" s="230">
        <v>-1078</v>
      </c>
      <c r="BP82" s="229">
        <v>-0.56769999999999998</v>
      </c>
      <c r="BQ82" s="230">
        <v>2583</v>
      </c>
      <c r="BR82" s="230">
        <v>5654</v>
      </c>
      <c r="BS82" s="230">
        <v>-3071</v>
      </c>
      <c r="BT82" s="229">
        <v>-0.54320000000000002</v>
      </c>
      <c r="BU82" s="230">
        <v>4937720</v>
      </c>
      <c r="BV82" s="230">
        <v>10030523</v>
      </c>
      <c r="BW82" s="230">
        <v>-5092803</v>
      </c>
      <c r="BX82" s="229">
        <v>-0.50770000000000004</v>
      </c>
      <c r="BY82" s="230">
        <v>2152</v>
      </c>
      <c r="BZ82" s="230">
        <v>2164</v>
      </c>
      <c r="CA82" s="228">
        <v>-13</v>
      </c>
      <c r="CB82" s="229">
        <v>-5.7999999999999996E-3</v>
      </c>
      <c r="CC82" s="230">
        <v>2000</v>
      </c>
      <c r="CD82" s="230">
        <v>2015</v>
      </c>
      <c r="CE82" s="228">
        <v>-15</v>
      </c>
      <c r="CF82" s="229">
        <v>-7.4999999999999997E-3</v>
      </c>
      <c r="CG82" s="228">
        <v>149</v>
      </c>
      <c r="CH82" s="228">
        <v>147</v>
      </c>
      <c r="CI82" s="228">
        <v>1</v>
      </c>
      <c r="CJ82" s="229">
        <v>8.2000000000000007E-3</v>
      </c>
      <c r="CK82" s="228">
        <v>3</v>
      </c>
      <c r="CL82" s="228">
        <v>2</v>
      </c>
      <c r="CM82" s="228">
        <v>1</v>
      </c>
      <c r="CN82" s="229">
        <v>0.66669999999999996</v>
      </c>
      <c r="CO82" s="230">
        <v>2153</v>
      </c>
      <c r="CP82" s="230">
        <v>2161</v>
      </c>
      <c r="CQ82" s="228">
        <v>-8</v>
      </c>
      <c r="CR82" s="229">
        <v>-3.8E-3</v>
      </c>
      <c r="CS82" s="230">
        <v>1364</v>
      </c>
      <c r="CT82" s="230">
        <v>1356</v>
      </c>
      <c r="CU82" s="228">
        <v>9</v>
      </c>
      <c r="CV82" s="229">
        <v>6.3E-3</v>
      </c>
      <c r="CW82" s="230">
        <v>5669</v>
      </c>
      <c r="CX82" s="230">
        <v>5681</v>
      </c>
      <c r="CY82" s="228">
        <v>-12</v>
      </c>
      <c r="CZ82" s="229">
        <v>-2.0999999999999999E-3</v>
      </c>
      <c r="DA82" s="228">
        <v>39.479999999999997</v>
      </c>
      <c r="DB82" s="228">
        <v>41.94</v>
      </c>
      <c r="DC82" s="228">
        <v>-2.46</v>
      </c>
      <c r="DD82" s="228">
        <v>-2.46</v>
      </c>
      <c r="DE82" s="228">
        <v>43.25</v>
      </c>
      <c r="DF82" s="228">
        <v>43.36</v>
      </c>
      <c r="DG82" s="228">
        <v>-3.77</v>
      </c>
      <c r="DH82" s="228">
        <v>-0.11</v>
      </c>
      <c r="DI82" s="228">
        <v>40.14</v>
      </c>
      <c r="DJ82" s="228">
        <v>42.36</v>
      </c>
      <c r="DK82" s="228">
        <v>-2.2200000000000002</v>
      </c>
      <c r="DL82" s="228">
        <v>-2.2200000000000002</v>
      </c>
      <c r="DM82" s="228">
        <v>38.4</v>
      </c>
      <c r="DN82" s="228">
        <v>41.31</v>
      </c>
      <c r="DO82" s="228">
        <v>-2.91</v>
      </c>
      <c r="DP82" s="228">
        <v>-2.91</v>
      </c>
      <c r="DQ82" s="228">
        <v>0.63</v>
      </c>
      <c r="DR82" s="228">
        <v>0.63</v>
      </c>
      <c r="DS82" s="228">
        <v>0</v>
      </c>
      <c r="DT82" s="229">
        <v>0</v>
      </c>
      <c r="DU82" s="228">
        <v>650</v>
      </c>
      <c r="DV82" s="228">
        <v>600</v>
      </c>
      <c r="DW82" s="228">
        <v>0.61</v>
      </c>
      <c r="DX82" s="228">
        <v>0.67</v>
      </c>
      <c r="DY82" s="228">
        <v>-0.06</v>
      </c>
      <c r="DZ82" s="229">
        <v>-8.9599999999999999E-2</v>
      </c>
      <c r="EA82" s="229">
        <v>7.0699999999999999E-2</v>
      </c>
      <c r="EB82" s="230">
        <v>2429175</v>
      </c>
      <c r="EC82" s="229">
        <v>5.4000000000000003E-3</v>
      </c>
      <c r="ED82" s="229">
        <v>7.0699999999999999E-2</v>
      </c>
      <c r="EE82" s="228">
        <v>3.64</v>
      </c>
      <c r="EF82" s="229">
        <v>5.8999999999999999E-3</v>
      </c>
      <c r="EG82" s="230">
        <v>1469062</v>
      </c>
      <c r="EH82" s="230">
        <v>3090769</v>
      </c>
      <c r="EI82" s="229">
        <v>-0.52470000000000006</v>
      </c>
      <c r="EJ82" s="229">
        <v>0.29749999999999999</v>
      </c>
      <c r="EK82" s="231">
        <v>1457.62</v>
      </c>
      <c r="EL82" s="228">
        <v>807.08</v>
      </c>
      <c r="EM82" s="228">
        <v>410.51</v>
      </c>
      <c r="EN82" s="228">
        <v>275.98</v>
      </c>
      <c r="EO82" s="231">
        <v>2675.22</v>
      </c>
      <c r="EP82" s="231">
        <v>5915.08</v>
      </c>
      <c r="EQ82" s="231">
        <v>-3239.86</v>
      </c>
      <c r="ER82" s="229">
        <v>-0.54769999999999996</v>
      </c>
      <c r="ES82" s="231">
        <v>2278.35</v>
      </c>
      <c r="ET82" s="231">
        <v>1289.03</v>
      </c>
      <c r="EU82" s="231">
        <v>2152.65</v>
      </c>
      <c r="EV82" s="231">
        <v>161247058</v>
      </c>
      <c r="EW82" s="231">
        <v>5720.03</v>
      </c>
      <c r="EX82" s="231">
        <v>5741.16</v>
      </c>
      <c r="EY82" s="228">
        <v>-21.13</v>
      </c>
      <c r="EZ82" s="229">
        <v>-3.7000000000000002E-3</v>
      </c>
      <c r="FA82" s="229">
        <v>0.57140000000000002</v>
      </c>
      <c r="FB82" s="227" t="s">
        <v>568</v>
      </c>
      <c r="FC82">
        <f t="shared" si="1"/>
        <v>152</v>
      </c>
    </row>
    <row r="83" spans="1:159" ht="17.25" thickBot="1" x14ac:dyDescent="0.3">
      <c r="A83" s="226">
        <v>46023</v>
      </c>
      <c r="B83" s="227" t="s">
        <v>206</v>
      </c>
      <c r="C83" s="227" t="s">
        <v>608</v>
      </c>
      <c r="D83" s="228">
        <v>2775</v>
      </c>
      <c r="E83" s="228">
        <v>26</v>
      </c>
      <c r="F83" s="228">
        <v>229.16</v>
      </c>
      <c r="G83" s="228">
        <v>229.37</v>
      </c>
      <c r="H83" s="228">
        <v>-0.21</v>
      </c>
      <c r="I83" s="229">
        <v>-8.9999999999999998E-4</v>
      </c>
      <c r="J83" s="228">
        <v>227.58</v>
      </c>
      <c r="K83" s="228">
        <v>228.13</v>
      </c>
      <c r="L83" s="228">
        <v>-0.55000000000000004</v>
      </c>
      <c r="M83" s="229">
        <v>-2.3999999999999998E-3</v>
      </c>
      <c r="N83" s="228">
        <v>229.16</v>
      </c>
      <c r="O83" s="228">
        <v>229.37</v>
      </c>
      <c r="P83" s="228">
        <v>-0.21</v>
      </c>
      <c r="Q83" s="229">
        <v>-8.9999999999999998E-4</v>
      </c>
      <c r="R83" s="228">
        <v>229.41</v>
      </c>
      <c r="S83" s="228">
        <v>230</v>
      </c>
      <c r="T83" s="228">
        <v>-0.59</v>
      </c>
      <c r="U83" s="229">
        <v>-2.5999999999999999E-3</v>
      </c>
      <c r="V83" s="228">
        <v>231</v>
      </c>
      <c r="W83" s="228">
        <v>231</v>
      </c>
      <c r="X83" s="228">
        <v>0</v>
      </c>
      <c r="Y83" s="229">
        <v>0</v>
      </c>
      <c r="Z83" s="228">
        <v>1.58</v>
      </c>
      <c r="AA83" s="228">
        <v>1.24</v>
      </c>
      <c r="AB83" s="228">
        <v>0.34</v>
      </c>
      <c r="AC83" s="229">
        <v>6.8999999999999999E-3</v>
      </c>
      <c r="AD83" s="228">
        <v>1.58</v>
      </c>
      <c r="AE83" s="228">
        <v>1.24</v>
      </c>
      <c r="AF83" s="228">
        <v>0.34</v>
      </c>
      <c r="AG83" s="229">
        <v>6.8999999999999999E-3</v>
      </c>
      <c r="AH83" s="228">
        <v>1.83</v>
      </c>
      <c r="AI83" s="228">
        <v>1.87</v>
      </c>
      <c r="AJ83" s="228">
        <v>-0.04</v>
      </c>
      <c r="AK83" s="229">
        <v>8.0000000000000002E-3</v>
      </c>
      <c r="AL83" s="228">
        <v>3.42</v>
      </c>
      <c r="AM83" s="228">
        <v>2.87</v>
      </c>
      <c r="AN83" s="228">
        <v>0.55000000000000004</v>
      </c>
      <c r="AO83" s="229">
        <v>1.4999999999999999E-2</v>
      </c>
      <c r="AP83" s="228">
        <v>229.49</v>
      </c>
      <c r="AQ83" s="228">
        <v>230.4</v>
      </c>
      <c r="AR83" s="228">
        <v>0</v>
      </c>
      <c r="AS83" s="228">
        <v>124</v>
      </c>
      <c r="AT83" s="228">
        <v>260</v>
      </c>
      <c r="AU83" s="228">
        <v>-136</v>
      </c>
      <c r="AV83" s="229">
        <v>-0.52310000000000001</v>
      </c>
      <c r="AW83" s="228">
        <v>121</v>
      </c>
      <c r="AX83" s="228">
        <v>246</v>
      </c>
      <c r="AY83" s="228">
        <v>-125</v>
      </c>
      <c r="AZ83" s="229">
        <v>-0.50700000000000001</v>
      </c>
      <c r="BA83" s="228">
        <v>3</v>
      </c>
      <c r="BB83" s="228">
        <v>13</v>
      </c>
      <c r="BC83" s="228">
        <v>-11</v>
      </c>
      <c r="BD83" s="229">
        <v>-0.81130000000000002</v>
      </c>
      <c r="BE83" s="228">
        <v>0</v>
      </c>
      <c r="BF83" s="228">
        <v>0</v>
      </c>
      <c r="BG83" s="228">
        <v>0</v>
      </c>
      <c r="BH83" s="229">
        <v>-1</v>
      </c>
      <c r="BI83" s="228">
        <v>183</v>
      </c>
      <c r="BJ83" s="228">
        <v>429</v>
      </c>
      <c r="BK83" s="228">
        <v>-246</v>
      </c>
      <c r="BL83" s="229">
        <v>-0.57369999999999999</v>
      </c>
      <c r="BM83" s="228">
        <v>78</v>
      </c>
      <c r="BN83" s="228">
        <v>159</v>
      </c>
      <c r="BO83" s="228">
        <v>-82</v>
      </c>
      <c r="BP83" s="229">
        <v>-0.51300000000000001</v>
      </c>
      <c r="BQ83" s="228">
        <v>384</v>
      </c>
      <c r="BR83" s="228">
        <v>848</v>
      </c>
      <c r="BS83" s="228">
        <v>-464</v>
      </c>
      <c r="BT83" s="229">
        <v>-0.54679999999999995</v>
      </c>
      <c r="BU83" s="230">
        <v>2333618</v>
      </c>
      <c r="BV83" s="230">
        <v>4297425</v>
      </c>
      <c r="BW83" s="230">
        <v>-1963807</v>
      </c>
      <c r="BX83" s="229">
        <v>-0.45700000000000002</v>
      </c>
      <c r="BY83" s="228">
        <v>940</v>
      </c>
      <c r="BZ83" s="228">
        <v>952</v>
      </c>
      <c r="CA83" s="228">
        <v>-12</v>
      </c>
      <c r="CB83" s="229">
        <v>-1.2800000000000001E-2</v>
      </c>
      <c r="CC83" s="228">
        <v>917</v>
      </c>
      <c r="CD83" s="228">
        <v>929</v>
      </c>
      <c r="CE83" s="228">
        <v>-12</v>
      </c>
      <c r="CF83" s="229">
        <v>-1.3299999999999999E-2</v>
      </c>
      <c r="CG83" s="228">
        <v>23</v>
      </c>
      <c r="CH83" s="228">
        <v>23</v>
      </c>
      <c r="CI83" s="228">
        <v>0</v>
      </c>
      <c r="CJ83" s="229">
        <v>5.5999999999999999E-3</v>
      </c>
      <c r="CK83" s="228">
        <v>0</v>
      </c>
      <c r="CL83" s="228">
        <v>0</v>
      </c>
      <c r="CM83" s="228">
        <v>0</v>
      </c>
      <c r="CN83" s="229">
        <v>0</v>
      </c>
      <c r="CO83" s="228">
        <v>273</v>
      </c>
      <c r="CP83" s="228">
        <v>268</v>
      </c>
      <c r="CQ83" s="228">
        <v>5</v>
      </c>
      <c r="CR83" s="229">
        <v>1.7999999999999999E-2</v>
      </c>
      <c r="CS83" s="228">
        <v>246</v>
      </c>
      <c r="CT83" s="228">
        <v>243</v>
      </c>
      <c r="CU83" s="228">
        <v>3</v>
      </c>
      <c r="CV83" s="229">
        <v>1.2E-2</v>
      </c>
      <c r="CW83" s="230">
        <v>1459</v>
      </c>
      <c r="CX83" s="230">
        <v>1464</v>
      </c>
      <c r="CY83" s="228">
        <v>-4</v>
      </c>
      <c r="CZ83" s="229">
        <v>-3.0000000000000001E-3</v>
      </c>
      <c r="DA83" s="228">
        <v>31.29</v>
      </c>
      <c r="DB83" s="228">
        <v>32.619999999999997</v>
      </c>
      <c r="DC83" s="228">
        <v>-1.33</v>
      </c>
      <c r="DD83" s="228">
        <v>-1.33</v>
      </c>
      <c r="DE83" s="228">
        <v>50.44</v>
      </c>
      <c r="DF83" s="228">
        <v>50.56</v>
      </c>
      <c r="DG83" s="228">
        <v>-19.149999999999999</v>
      </c>
      <c r="DH83" s="228">
        <v>-0.12</v>
      </c>
      <c r="DI83" s="228">
        <v>31.19</v>
      </c>
      <c r="DJ83" s="228">
        <v>32.6</v>
      </c>
      <c r="DK83" s="228">
        <v>-1.41</v>
      </c>
      <c r="DL83" s="228">
        <v>-1.41</v>
      </c>
      <c r="DM83" s="228">
        <v>31.52</v>
      </c>
      <c r="DN83" s="228">
        <v>32.68</v>
      </c>
      <c r="DO83" s="228">
        <v>-1.1599999999999999</v>
      </c>
      <c r="DP83" s="228">
        <v>-1.1599999999999999</v>
      </c>
      <c r="DQ83" s="228">
        <v>0.9</v>
      </c>
      <c r="DR83" s="228">
        <v>0.91</v>
      </c>
      <c r="DS83" s="228">
        <v>-0.01</v>
      </c>
      <c r="DT83" s="229">
        <v>-1.0999999999999999E-2</v>
      </c>
      <c r="DU83" s="228">
        <v>230</v>
      </c>
      <c r="DV83" s="228">
        <v>210</v>
      </c>
      <c r="DW83" s="228">
        <v>0.42</v>
      </c>
      <c r="DX83" s="228">
        <v>0.37</v>
      </c>
      <c r="DY83" s="228">
        <v>0.05</v>
      </c>
      <c r="DZ83" s="229">
        <v>0.1351</v>
      </c>
      <c r="EA83" s="229">
        <v>2.4500000000000001E-2</v>
      </c>
      <c r="EB83" s="230">
        <v>999000</v>
      </c>
      <c r="EC83" s="229">
        <v>1.1000000000000001E-3</v>
      </c>
      <c r="ED83" s="229">
        <v>2.4500000000000001E-2</v>
      </c>
      <c r="EE83" s="228">
        <v>0.91</v>
      </c>
      <c r="EF83" s="229">
        <v>4.0000000000000001E-3</v>
      </c>
      <c r="EG83" s="230">
        <v>730514</v>
      </c>
      <c r="EH83" s="230">
        <v>1909575</v>
      </c>
      <c r="EI83" s="229">
        <v>-0.61739999999999995</v>
      </c>
      <c r="EJ83" s="229">
        <v>0.313</v>
      </c>
      <c r="EK83" s="228">
        <v>192.95</v>
      </c>
      <c r="EL83" s="228">
        <v>75.430000000000007</v>
      </c>
      <c r="EM83" s="228">
        <v>124</v>
      </c>
      <c r="EN83" s="228">
        <v>110.51</v>
      </c>
      <c r="EO83" s="228">
        <v>392.39</v>
      </c>
      <c r="EP83" s="228">
        <v>865.65</v>
      </c>
      <c r="EQ83" s="228">
        <v>-473.26</v>
      </c>
      <c r="ER83" s="229">
        <v>-0.54669999999999996</v>
      </c>
      <c r="ES83" s="228">
        <v>282.05</v>
      </c>
      <c r="ET83" s="228">
        <v>232.38</v>
      </c>
      <c r="EU83" s="228">
        <v>940.04</v>
      </c>
      <c r="EV83" s="231">
        <v>75071250</v>
      </c>
      <c r="EW83" s="231">
        <v>1454.48</v>
      </c>
      <c r="EX83" s="231">
        <v>1459.99</v>
      </c>
      <c r="EY83" s="228">
        <v>-5.51</v>
      </c>
      <c r="EZ83" s="229">
        <v>-3.8E-3</v>
      </c>
      <c r="FA83" s="229">
        <v>0.84840000000000004</v>
      </c>
      <c r="FB83" s="227" t="s">
        <v>568</v>
      </c>
      <c r="FC83">
        <f t="shared" si="1"/>
        <v>23</v>
      </c>
    </row>
    <row r="84" spans="1:159" ht="17.25" thickBot="1" x14ac:dyDescent="0.3">
      <c r="A84" s="226">
        <v>46023</v>
      </c>
      <c r="B84" s="227" t="s">
        <v>172</v>
      </c>
      <c r="C84" s="227" t="s">
        <v>232</v>
      </c>
      <c r="D84" s="228">
        <v>700</v>
      </c>
      <c r="E84" s="228">
        <v>26</v>
      </c>
      <c r="F84" s="231">
        <v>1344.7</v>
      </c>
      <c r="G84" s="231">
        <v>1350.6</v>
      </c>
      <c r="H84" s="228">
        <v>-5.9</v>
      </c>
      <c r="I84" s="229">
        <v>-4.4000000000000003E-3</v>
      </c>
      <c r="J84" s="231">
        <v>1338</v>
      </c>
      <c r="K84" s="231">
        <v>1342.9</v>
      </c>
      <c r="L84" s="228">
        <v>-4.9000000000000004</v>
      </c>
      <c r="M84" s="229">
        <v>-3.5999999999999999E-3</v>
      </c>
      <c r="N84" s="231">
        <v>1344.7</v>
      </c>
      <c r="O84" s="231">
        <v>1350.6</v>
      </c>
      <c r="P84" s="228">
        <v>-5.9</v>
      </c>
      <c r="Q84" s="229">
        <v>-4.4000000000000003E-3</v>
      </c>
      <c r="R84" s="231">
        <v>1352.8</v>
      </c>
      <c r="S84" s="231">
        <v>1358.3</v>
      </c>
      <c r="T84" s="228">
        <v>-5.5</v>
      </c>
      <c r="U84" s="229">
        <v>-4.0000000000000001E-3</v>
      </c>
      <c r="V84" s="231">
        <v>1361.5</v>
      </c>
      <c r="W84" s="231">
        <v>1367.3</v>
      </c>
      <c r="X84" s="228">
        <v>-5.8</v>
      </c>
      <c r="Y84" s="229">
        <v>-4.1999999999999997E-3</v>
      </c>
      <c r="Z84" s="228">
        <v>6.7</v>
      </c>
      <c r="AA84" s="228">
        <v>7.7</v>
      </c>
      <c r="AB84" s="228">
        <v>-1</v>
      </c>
      <c r="AC84" s="229">
        <v>5.0000000000000001E-3</v>
      </c>
      <c r="AD84" s="228">
        <v>6.7</v>
      </c>
      <c r="AE84" s="228">
        <v>7.7</v>
      </c>
      <c r="AF84" s="228">
        <v>-1</v>
      </c>
      <c r="AG84" s="229">
        <v>5.0000000000000001E-3</v>
      </c>
      <c r="AH84" s="228">
        <v>14.8</v>
      </c>
      <c r="AI84" s="228">
        <v>15.4</v>
      </c>
      <c r="AJ84" s="228">
        <v>-0.6</v>
      </c>
      <c r="AK84" s="229">
        <v>1.11E-2</v>
      </c>
      <c r="AL84" s="228">
        <v>23.5</v>
      </c>
      <c r="AM84" s="228">
        <v>24.4</v>
      </c>
      <c r="AN84" s="228">
        <v>-0.9</v>
      </c>
      <c r="AO84" s="229">
        <v>1.7600000000000001E-2</v>
      </c>
      <c r="AP84" s="231">
        <v>1347.86</v>
      </c>
      <c r="AQ84" s="231">
        <v>1355.88</v>
      </c>
      <c r="AR84" s="228">
        <v>0</v>
      </c>
      <c r="AS84" s="228">
        <v>787</v>
      </c>
      <c r="AT84" s="230">
        <v>1306</v>
      </c>
      <c r="AU84" s="228">
        <v>-518</v>
      </c>
      <c r="AV84" s="229">
        <v>-0.39710000000000001</v>
      </c>
      <c r="AW84" s="228">
        <v>746</v>
      </c>
      <c r="AX84" s="230">
        <v>1264</v>
      </c>
      <c r="AY84" s="228">
        <v>-518</v>
      </c>
      <c r="AZ84" s="229">
        <v>-0.41</v>
      </c>
      <c r="BA84" s="228">
        <v>27</v>
      </c>
      <c r="BB84" s="228">
        <v>37</v>
      </c>
      <c r="BC84" s="228">
        <v>-10</v>
      </c>
      <c r="BD84" s="229">
        <v>-0.26140000000000002</v>
      </c>
      <c r="BE84" s="228">
        <v>14</v>
      </c>
      <c r="BF84" s="228">
        <v>5</v>
      </c>
      <c r="BG84" s="228">
        <v>9</v>
      </c>
      <c r="BH84" s="229">
        <v>1.98</v>
      </c>
      <c r="BI84" s="230">
        <v>1708</v>
      </c>
      <c r="BJ84" s="230">
        <v>3492</v>
      </c>
      <c r="BK84" s="230">
        <v>-1784</v>
      </c>
      <c r="BL84" s="229">
        <v>-0.51090000000000002</v>
      </c>
      <c r="BM84" s="228">
        <v>892</v>
      </c>
      <c r="BN84" s="230">
        <v>2079</v>
      </c>
      <c r="BO84" s="230">
        <v>-1187</v>
      </c>
      <c r="BP84" s="229">
        <v>-0.57099999999999995</v>
      </c>
      <c r="BQ84" s="230">
        <v>3387</v>
      </c>
      <c r="BR84" s="230">
        <v>6877</v>
      </c>
      <c r="BS84" s="230">
        <v>-3489</v>
      </c>
      <c r="BT84" s="229">
        <v>-0.50739999999999996</v>
      </c>
      <c r="BU84" s="230">
        <v>5041626</v>
      </c>
      <c r="BV84" s="230">
        <v>6295265</v>
      </c>
      <c r="BW84" s="230">
        <v>-1253639</v>
      </c>
      <c r="BX84" s="229">
        <v>-0.1991</v>
      </c>
      <c r="BY84" s="230">
        <v>16465</v>
      </c>
      <c r="BZ84" s="230">
        <v>16324</v>
      </c>
      <c r="CA84" s="228">
        <v>142</v>
      </c>
      <c r="CB84" s="229">
        <v>8.6999999999999994E-3</v>
      </c>
      <c r="CC84" s="230">
        <v>16151</v>
      </c>
      <c r="CD84" s="230">
        <v>16033</v>
      </c>
      <c r="CE84" s="228">
        <v>118</v>
      </c>
      <c r="CF84" s="229">
        <v>7.4000000000000003E-3</v>
      </c>
      <c r="CG84" s="228">
        <v>299</v>
      </c>
      <c r="CH84" s="228">
        <v>288</v>
      </c>
      <c r="CI84" s="228">
        <v>11</v>
      </c>
      <c r="CJ84" s="229">
        <v>3.8300000000000001E-2</v>
      </c>
      <c r="CK84" s="228">
        <v>16</v>
      </c>
      <c r="CL84" s="228">
        <v>3</v>
      </c>
      <c r="CM84" s="228">
        <v>13</v>
      </c>
      <c r="CN84" s="229">
        <v>3.8</v>
      </c>
      <c r="CO84" s="230">
        <v>3261</v>
      </c>
      <c r="CP84" s="230">
        <v>2913</v>
      </c>
      <c r="CQ84" s="228">
        <v>348</v>
      </c>
      <c r="CR84" s="229">
        <v>0.1196</v>
      </c>
      <c r="CS84" s="230">
        <v>2672</v>
      </c>
      <c r="CT84" s="230">
        <v>2518</v>
      </c>
      <c r="CU84" s="228">
        <v>153</v>
      </c>
      <c r="CV84" s="229">
        <v>6.0900000000000003E-2</v>
      </c>
      <c r="CW84" s="230">
        <v>22398</v>
      </c>
      <c r="CX84" s="230">
        <v>21755</v>
      </c>
      <c r="CY84" s="228">
        <v>643</v>
      </c>
      <c r="CZ84" s="229">
        <v>2.9600000000000001E-2</v>
      </c>
      <c r="DA84" s="228">
        <v>15.98</v>
      </c>
      <c r="DB84" s="228">
        <v>15.94</v>
      </c>
      <c r="DC84" s="228">
        <v>0.04</v>
      </c>
      <c r="DD84" s="228">
        <v>0.04</v>
      </c>
      <c r="DE84" s="228">
        <v>20.100000000000001</v>
      </c>
      <c r="DF84" s="228">
        <v>20.14</v>
      </c>
      <c r="DG84" s="228">
        <v>-4.12</v>
      </c>
      <c r="DH84" s="228">
        <v>-0.04</v>
      </c>
      <c r="DI84" s="228">
        <v>15.91</v>
      </c>
      <c r="DJ84" s="228">
        <v>15.72</v>
      </c>
      <c r="DK84" s="228">
        <v>0.19</v>
      </c>
      <c r="DL84" s="228">
        <v>0.19</v>
      </c>
      <c r="DM84" s="228">
        <v>16.13</v>
      </c>
      <c r="DN84" s="228">
        <v>16.32</v>
      </c>
      <c r="DO84" s="228">
        <v>-0.19</v>
      </c>
      <c r="DP84" s="228">
        <v>-0.19</v>
      </c>
      <c r="DQ84" s="228">
        <v>0.82</v>
      </c>
      <c r="DR84" s="228">
        <v>0.86</v>
      </c>
      <c r="DS84" s="228">
        <v>-0.04</v>
      </c>
      <c r="DT84" s="229">
        <v>-4.65E-2</v>
      </c>
      <c r="DU84" s="231">
        <v>1360</v>
      </c>
      <c r="DV84" s="231">
        <v>1350</v>
      </c>
      <c r="DW84" s="228">
        <v>0.52</v>
      </c>
      <c r="DX84" s="228">
        <v>0.6</v>
      </c>
      <c r="DY84" s="228">
        <v>-0.08</v>
      </c>
      <c r="DZ84" s="229">
        <v>-0.1333</v>
      </c>
      <c r="EA84" s="229">
        <v>1.9099999999999999E-2</v>
      </c>
      <c r="EB84" s="230">
        <v>2165100</v>
      </c>
      <c r="EC84" s="229">
        <v>6.0000000000000001E-3</v>
      </c>
      <c r="ED84" s="229">
        <v>1.9099999999999999E-2</v>
      </c>
      <c r="EE84" s="228">
        <v>8.02</v>
      </c>
      <c r="EF84" s="229">
        <v>6.0000000000000001E-3</v>
      </c>
      <c r="EG84" s="230">
        <v>1550613</v>
      </c>
      <c r="EH84" s="230">
        <v>3867014</v>
      </c>
      <c r="EI84" s="229">
        <v>-0.59899999999999998</v>
      </c>
      <c r="EJ84" s="229">
        <v>0.30759999999999998</v>
      </c>
      <c r="EK84" s="231">
        <v>1764.35</v>
      </c>
      <c r="EL84" s="228">
        <v>892.45</v>
      </c>
      <c r="EM84" s="228">
        <v>789.29</v>
      </c>
      <c r="EN84" s="228">
        <v>561.57000000000005</v>
      </c>
      <c r="EO84" s="231">
        <v>3446.09</v>
      </c>
      <c r="EP84" s="231">
        <v>6999.24</v>
      </c>
      <c r="EQ84" s="231">
        <v>-3553.15</v>
      </c>
      <c r="ER84" s="229">
        <v>-0.50760000000000005</v>
      </c>
      <c r="ES84" s="231">
        <v>3347.3</v>
      </c>
      <c r="ET84" s="231">
        <v>2670.2</v>
      </c>
      <c r="EU84" s="231">
        <v>16467.32</v>
      </c>
      <c r="EV84" s="231">
        <v>580601807</v>
      </c>
      <c r="EW84" s="231">
        <v>22484.83</v>
      </c>
      <c r="EX84" s="231">
        <v>21905.42</v>
      </c>
      <c r="EY84" s="228">
        <v>579.41</v>
      </c>
      <c r="EZ84" s="229">
        <v>2.6499999999999999E-2</v>
      </c>
      <c r="FA84" s="229">
        <v>0.28689999999999999</v>
      </c>
      <c r="FB84" s="227" t="s">
        <v>567</v>
      </c>
      <c r="FC84">
        <f t="shared" si="1"/>
        <v>314</v>
      </c>
    </row>
    <row r="85" spans="1:159" ht="17.25" thickBot="1" x14ac:dyDescent="0.3">
      <c r="A85" s="226">
        <v>46023</v>
      </c>
      <c r="B85" s="227" t="s">
        <v>175</v>
      </c>
      <c r="C85" s="227" t="s">
        <v>472</v>
      </c>
      <c r="D85" s="228">
        <v>325</v>
      </c>
      <c r="E85" s="228">
        <v>26</v>
      </c>
      <c r="F85" s="231">
        <v>1961.2</v>
      </c>
      <c r="G85" s="231">
        <v>1972.1</v>
      </c>
      <c r="H85" s="228">
        <v>-10.9</v>
      </c>
      <c r="I85" s="229">
        <v>-5.4999999999999997E-3</v>
      </c>
      <c r="J85" s="231">
        <v>1956.9</v>
      </c>
      <c r="K85" s="231">
        <v>1962.1</v>
      </c>
      <c r="L85" s="228">
        <v>-5.2</v>
      </c>
      <c r="M85" s="229">
        <v>-2.7000000000000001E-3</v>
      </c>
      <c r="N85" s="231">
        <v>1961.2</v>
      </c>
      <c r="O85" s="231">
        <v>1972.1</v>
      </c>
      <c r="P85" s="228">
        <v>-10.9</v>
      </c>
      <c r="Q85" s="229">
        <v>-5.4999999999999997E-3</v>
      </c>
      <c r="R85" s="231">
        <v>1974</v>
      </c>
      <c r="S85" s="231">
        <v>1984.7</v>
      </c>
      <c r="T85" s="228">
        <v>-10.7</v>
      </c>
      <c r="U85" s="229">
        <v>-5.4000000000000003E-3</v>
      </c>
      <c r="V85" s="228">
        <v>0</v>
      </c>
      <c r="W85" s="228">
        <v>0</v>
      </c>
      <c r="X85" s="228">
        <v>0</v>
      </c>
      <c r="Y85" s="229">
        <v>0</v>
      </c>
      <c r="Z85" s="228">
        <v>4.3</v>
      </c>
      <c r="AA85" s="228">
        <v>10</v>
      </c>
      <c r="AB85" s="228">
        <v>-5.7</v>
      </c>
      <c r="AC85" s="229">
        <v>2.2000000000000001E-3</v>
      </c>
      <c r="AD85" s="228">
        <v>4.3</v>
      </c>
      <c r="AE85" s="228">
        <v>10</v>
      </c>
      <c r="AF85" s="228">
        <v>-5.7</v>
      </c>
      <c r="AG85" s="229">
        <v>2.2000000000000001E-3</v>
      </c>
      <c r="AH85" s="228">
        <v>17.100000000000001</v>
      </c>
      <c r="AI85" s="228">
        <v>22.6</v>
      </c>
      <c r="AJ85" s="228">
        <v>-5.5</v>
      </c>
      <c r="AK85" s="229">
        <v>8.6999999999999994E-3</v>
      </c>
      <c r="AL85" s="228">
        <v>0</v>
      </c>
      <c r="AM85" s="228">
        <v>0</v>
      </c>
      <c r="AN85" s="228">
        <v>0</v>
      </c>
      <c r="AO85" s="229">
        <v>0</v>
      </c>
      <c r="AP85" s="231">
        <v>1959.28</v>
      </c>
      <c r="AQ85" s="231">
        <v>1973.73</v>
      </c>
      <c r="AR85" s="228">
        <v>0</v>
      </c>
      <c r="AS85" s="228">
        <v>60</v>
      </c>
      <c r="AT85" s="228">
        <v>79</v>
      </c>
      <c r="AU85" s="228">
        <v>-19</v>
      </c>
      <c r="AV85" s="229">
        <v>-0.2402</v>
      </c>
      <c r="AW85" s="228">
        <v>58</v>
      </c>
      <c r="AX85" s="228">
        <v>77</v>
      </c>
      <c r="AY85" s="228">
        <v>-19</v>
      </c>
      <c r="AZ85" s="229">
        <v>-0.25040000000000001</v>
      </c>
      <c r="BA85" s="228">
        <v>2</v>
      </c>
      <c r="BB85" s="228">
        <v>2</v>
      </c>
      <c r="BC85" s="228">
        <v>0</v>
      </c>
      <c r="BD85" s="229">
        <v>0.1143</v>
      </c>
      <c r="BE85" s="228">
        <v>0</v>
      </c>
      <c r="BF85" s="228">
        <v>0</v>
      </c>
      <c r="BG85" s="228">
        <v>0</v>
      </c>
      <c r="BH85" s="229">
        <v>0</v>
      </c>
      <c r="BI85" s="228">
        <v>55</v>
      </c>
      <c r="BJ85" s="228">
        <v>64</v>
      </c>
      <c r="BK85" s="228">
        <v>-8</v>
      </c>
      <c r="BL85" s="229">
        <v>-0.13189999999999999</v>
      </c>
      <c r="BM85" s="228">
        <v>49</v>
      </c>
      <c r="BN85" s="228">
        <v>75</v>
      </c>
      <c r="BO85" s="228">
        <v>-26</v>
      </c>
      <c r="BP85" s="229">
        <v>-0.34160000000000001</v>
      </c>
      <c r="BQ85" s="228">
        <v>165</v>
      </c>
      <c r="BR85" s="228">
        <v>218</v>
      </c>
      <c r="BS85" s="228">
        <v>-53</v>
      </c>
      <c r="BT85" s="229">
        <v>-0.24329999999999999</v>
      </c>
      <c r="BU85" s="230">
        <v>214484</v>
      </c>
      <c r="BV85" s="230">
        <v>267708</v>
      </c>
      <c r="BW85" s="230">
        <v>-53224</v>
      </c>
      <c r="BX85" s="229">
        <v>-0.1988</v>
      </c>
      <c r="BY85" s="230">
        <v>1046</v>
      </c>
      <c r="BZ85" s="230">
        <v>1033</v>
      </c>
      <c r="CA85" s="228">
        <v>13</v>
      </c>
      <c r="CB85" s="229">
        <v>1.2200000000000001E-2</v>
      </c>
      <c r="CC85" s="230">
        <v>1040</v>
      </c>
      <c r="CD85" s="230">
        <v>1029</v>
      </c>
      <c r="CE85" s="228">
        <v>12</v>
      </c>
      <c r="CF85" s="229">
        <v>1.14E-2</v>
      </c>
      <c r="CG85" s="228">
        <v>5</v>
      </c>
      <c r="CH85" s="228">
        <v>5</v>
      </c>
      <c r="CI85" s="228">
        <v>1</v>
      </c>
      <c r="CJ85" s="229">
        <v>0.18310000000000001</v>
      </c>
      <c r="CK85" s="228">
        <v>0</v>
      </c>
      <c r="CL85" s="228">
        <v>0</v>
      </c>
      <c r="CM85" s="228">
        <v>0</v>
      </c>
      <c r="CN85" s="229">
        <v>0</v>
      </c>
      <c r="CO85" s="228">
        <v>70</v>
      </c>
      <c r="CP85" s="228">
        <v>57</v>
      </c>
      <c r="CQ85" s="228">
        <v>12</v>
      </c>
      <c r="CR85" s="229">
        <v>0.21579999999999999</v>
      </c>
      <c r="CS85" s="228">
        <v>96</v>
      </c>
      <c r="CT85" s="228">
        <v>73</v>
      </c>
      <c r="CU85" s="228">
        <v>23</v>
      </c>
      <c r="CV85" s="229">
        <v>0.30840000000000001</v>
      </c>
      <c r="CW85" s="230">
        <v>1211</v>
      </c>
      <c r="CX85" s="230">
        <v>1164</v>
      </c>
      <c r="CY85" s="228">
        <v>47</v>
      </c>
      <c r="CZ85" s="229">
        <v>4.0800000000000003E-2</v>
      </c>
      <c r="DA85" s="228">
        <v>21.76</v>
      </c>
      <c r="DB85" s="228">
        <v>21.6</v>
      </c>
      <c r="DC85" s="228">
        <v>0.16</v>
      </c>
      <c r="DD85" s="228">
        <v>0.16</v>
      </c>
      <c r="DE85" s="228">
        <v>27.64</v>
      </c>
      <c r="DF85" s="228">
        <v>27.71</v>
      </c>
      <c r="DG85" s="228">
        <v>-5.88</v>
      </c>
      <c r="DH85" s="228">
        <v>-7.0000000000000007E-2</v>
      </c>
      <c r="DI85" s="228">
        <v>21.61</v>
      </c>
      <c r="DJ85" s="228">
        <v>21.43</v>
      </c>
      <c r="DK85" s="228">
        <v>0.18</v>
      </c>
      <c r="DL85" s="228">
        <v>0.18</v>
      </c>
      <c r="DM85" s="228">
        <v>21.93</v>
      </c>
      <c r="DN85" s="228">
        <v>21.75</v>
      </c>
      <c r="DO85" s="228">
        <v>0.18</v>
      </c>
      <c r="DP85" s="228">
        <v>0.18</v>
      </c>
      <c r="DQ85" s="228">
        <v>1.37</v>
      </c>
      <c r="DR85" s="228">
        <v>1.28</v>
      </c>
      <c r="DS85" s="228">
        <v>0.09</v>
      </c>
      <c r="DT85" s="229">
        <v>7.0300000000000001E-2</v>
      </c>
      <c r="DU85" s="231">
        <v>2100</v>
      </c>
      <c r="DV85" s="231">
        <v>1800</v>
      </c>
      <c r="DW85" s="228">
        <v>0.89</v>
      </c>
      <c r="DX85" s="228">
        <v>1.17</v>
      </c>
      <c r="DY85" s="228">
        <v>-0.28000000000000003</v>
      </c>
      <c r="DZ85" s="229">
        <v>-0.23930000000000001</v>
      </c>
      <c r="EA85" s="229">
        <v>5.1000000000000004E-3</v>
      </c>
      <c r="EB85" s="230">
        <v>23075</v>
      </c>
      <c r="EC85" s="229">
        <v>6.4999999999999997E-3</v>
      </c>
      <c r="ED85" s="229">
        <v>5.1000000000000004E-3</v>
      </c>
      <c r="EE85" s="228">
        <v>14.45</v>
      </c>
      <c r="EF85" s="229">
        <v>7.4000000000000003E-3</v>
      </c>
      <c r="EG85" s="230">
        <v>134480</v>
      </c>
      <c r="EH85" s="230">
        <v>156278</v>
      </c>
      <c r="EI85" s="229">
        <v>-0.13950000000000001</v>
      </c>
      <c r="EJ85" s="229">
        <v>0.627</v>
      </c>
      <c r="EK85" s="228">
        <v>57.99</v>
      </c>
      <c r="EL85" s="228">
        <v>47.42</v>
      </c>
      <c r="EM85" s="228">
        <v>60.26</v>
      </c>
      <c r="EN85" s="228">
        <v>85.9</v>
      </c>
      <c r="EO85" s="228">
        <v>165.67</v>
      </c>
      <c r="EP85" s="228">
        <v>219.61</v>
      </c>
      <c r="EQ85" s="228">
        <v>-53.94</v>
      </c>
      <c r="ER85" s="229">
        <v>-0.24560000000000001</v>
      </c>
      <c r="ES85" s="228">
        <v>72.42</v>
      </c>
      <c r="ET85" s="228">
        <v>91.89</v>
      </c>
      <c r="EU85" s="231">
        <v>1045.74</v>
      </c>
      <c r="EV85" s="231">
        <v>28747897</v>
      </c>
      <c r="EW85" s="231">
        <v>1210.05</v>
      </c>
      <c r="EX85" s="231">
        <v>1169.27</v>
      </c>
      <c r="EY85" s="228">
        <v>40.78</v>
      </c>
      <c r="EZ85" s="229">
        <v>3.49E-2</v>
      </c>
      <c r="FA85" s="229">
        <v>0.21479999999999999</v>
      </c>
      <c r="FB85" s="227" t="s">
        <v>567</v>
      </c>
      <c r="FC85">
        <f t="shared" si="1"/>
        <v>6</v>
      </c>
    </row>
    <row r="86" spans="1:159" ht="17.25" thickBot="1" x14ac:dyDescent="0.3">
      <c r="A86" s="226">
        <v>46023</v>
      </c>
      <c r="B86" s="227" t="s">
        <v>175</v>
      </c>
      <c r="C86" s="227" t="s">
        <v>233</v>
      </c>
      <c r="D86" s="228">
        <v>925</v>
      </c>
      <c r="E86" s="228">
        <v>26</v>
      </c>
      <c r="F86" s="228">
        <v>678.75</v>
      </c>
      <c r="G86" s="228">
        <v>671.1</v>
      </c>
      <c r="H86" s="228">
        <v>7.65</v>
      </c>
      <c r="I86" s="229">
        <v>1.14E-2</v>
      </c>
      <c r="J86" s="228">
        <v>674.3</v>
      </c>
      <c r="K86" s="228">
        <v>668.25</v>
      </c>
      <c r="L86" s="228">
        <v>6.05</v>
      </c>
      <c r="M86" s="229">
        <v>9.1000000000000004E-3</v>
      </c>
      <c r="N86" s="228">
        <v>678.75</v>
      </c>
      <c r="O86" s="228">
        <v>671.1</v>
      </c>
      <c r="P86" s="228">
        <v>7.65</v>
      </c>
      <c r="Q86" s="229">
        <v>1.14E-2</v>
      </c>
      <c r="R86" s="228">
        <v>682.45</v>
      </c>
      <c r="S86" s="228">
        <v>675.25</v>
      </c>
      <c r="T86" s="228">
        <v>7.2</v>
      </c>
      <c r="U86" s="229">
        <v>1.0699999999999999E-2</v>
      </c>
      <c r="V86" s="228">
        <v>684.7</v>
      </c>
      <c r="W86" s="228">
        <v>0</v>
      </c>
      <c r="X86" s="228">
        <v>684.7</v>
      </c>
      <c r="Y86" s="229">
        <v>0</v>
      </c>
      <c r="Z86" s="228">
        <v>4.45</v>
      </c>
      <c r="AA86" s="228">
        <v>2.85</v>
      </c>
      <c r="AB86" s="228">
        <v>1.6</v>
      </c>
      <c r="AC86" s="229">
        <v>6.6E-3</v>
      </c>
      <c r="AD86" s="228">
        <v>4.45</v>
      </c>
      <c r="AE86" s="228">
        <v>2.85</v>
      </c>
      <c r="AF86" s="228">
        <v>1.6</v>
      </c>
      <c r="AG86" s="229">
        <v>6.6E-3</v>
      </c>
      <c r="AH86" s="228">
        <v>8.15</v>
      </c>
      <c r="AI86" s="228">
        <v>7</v>
      </c>
      <c r="AJ86" s="228">
        <v>1.1499999999999999</v>
      </c>
      <c r="AK86" s="229">
        <v>1.21E-2</v>
      </c>
      <c r="AL86" s="228">
        <v>10.4</v>
      </c>
      <c r="AM86" s="228">
        <v>0</v>
      </c>
      <c r="AN86" s="228">
        <v>10.4</v>
      </c>
      <c r="AO86" s="229">
        <v>1.54E-2</v>
      </c>
      <c r="AP86" s="228">
        <v>675.5</v>
      </c>
      <c r="AQ86" s="228">
        <v>678.95</v>
      </c>
      <c r="AR86" s="228">
        <v>0</v>
      </c>
      <c r="AS86" s="228">
        <v>66</v>
      </c>
      <c r="AT86" s="228">
        <v>165</v>
      </c>
      <c r="AU86" s="228">
        <v>-98</v>
      </c>
      <c r="AV86" s="229">
        <v>-0.59730000000000005</v>
      </c>
      <c r="AW86" s="228">
        <v>64</v>
      </c>
      <c r="AX86" s="228">
        <v>159</v>
      </c>
      <c r="AY86" s="228">
        <v>-96</v>
      </c>
      <c r="AZ86" s="229">
        <v>-0.60040000000000004</v>
      </c>
      <c r="BA86" s="228">
        <v>2</v>
      </c>
      <c r="BB86" s="228">
        <v>5</v>
      </c>
      <c r="BC86" s="228">
        <v>-3</v>
      </c>
      <c r="BD86" s="229">
        <v>-0.55169999999999997</v>
      </c>
      <c r="BE86" s="228">
        <v>0</v>
      </c>
      <c r="BF86" s="228">
        <v>0</v>
      </c>
      <c r="BG86" s="228">
        <v>0</v>
      </c>
      <c r="BH86" s="229">
        <v>0</v>
      </c>
      <c r="BI86" s="228">
        <v>83</v>
      </c>
      <c r="BJ86" s="228">
        <v>274</v>
      </c>
      <c r="BK86" s="228">
        <v>-191</v>
      </c>
      <c r="BL86" s="229">
        <v>-0.69679999999999997</v>
      </c>
      <c r="BM86" s="228">
        <v>60</v>
      </c>
      <c r="BN86" s="228">
        <v>110</v>
      </c>
      <c r="BO86" s="228">
        <v>-50</v>
      </c>
      <c r="BP86" s="229">
        <v>-0.45319999999999999</v>
      </c>
      <c r="BQ86" s="228">
        <v>210</v>
      </c>
      <c r="BR86" s="228">
        <v>549</v>
      </c>
      <c r="BS86" s="228">
        <v>-339</v>
      </c>
      <c r="BT86" s="229">
        <v>-0.61809999999999998</v>
      </c>
      <c r="BU86" s="230">
        <v>407849</v>
      </c>
      <c r="BV86" s="230">
        <v>1607738</v>
      </c>
      <c r="BW86" s="230">
        <v>-1199889</v>
      </c>
      <c r="BX86" s="229">
        <v>-0.74629999999999996</v>
      </c>
      <c r="BY86" s="230">
        <v>1144</v>
      </c>
      <c r="BZ86" s="230">
        <v>1129</v>
      </c>
      <c r="CA86" s="228">
        <v>15</v>
      </c>
      <c r="CB86" s="229">
        <v>1.3100000000000001E-2</v>
      </c>
      <c r="CC86" s="230">
        <v>1138</v>
      </c>
      <c r="CD86" s="230">
        <v>1123</v>
      </c>
      <c r="CE86" s="228">
        <v>15</v>
      </c>
      <c r="CF86" s="229">
        <v>1.2999999999999999E-2</v>
      </c>
      <c r="CG86" s="228">
        <v>6</v>
      </c>
      <c r="CH86" s="228">
        <v>6</v>
      </c>
      <c r="CI86" s="228">
        <v>0</v>
      </c>
      <c r="CJ86" s="229">
        <v>-2.0400000000000001E-2</v>
      </c>
      <c r="CK86" s="228">
        <v>0</v>
      </c>
      <c r="CL86" s="228">
        <v>0</v>
      </c>
      <c r="CM86" s="228">
        <v>0</v>
      </c>
      <c r="CN86" s="229">
        <v>0</v>
      </c>
      <c r="CO86" s="228">
        <v>124</v>
      </c>
      <c r="CP86" s="228">
        <v>123</v>
      </c>
      <c r="CQ86" s="228">
        <v>1</v>
      </c>
      <c r="CR86" s="229">
        <v>8.2000000000000007E-3</v>
      </c>
      <c r="CS86" s="228">
        <v>132</v>
      </c>
      <c r="CT86" s="228">
        <v>116</v>
      </c>
      <c r="CU86" s="228">
        <v>16</v>
      </c>
      <c r="CV86" s="229">
        <v>0.1401</v>
      </c>
      <c r="CW86" s="230">
        <v>1400</v>
      </c>
      <c r="CX86" s="230">
        <v>1368</v>
      </c>
      <c r="CY86" s="228">
        <v>32</v>
      </c>
      <c r="CZ86" s="229">
        <v>2.3400000000000001E-2</v>
      </c>
      <c r="DA86" s="228">
        <v>25.21</v>
      </c>
      <c r="DB86" s="228">
        <v>24.94</v>
      </c>
      <c r="DC86" s="228">
        <v>0.27</v>
      </c>
      <c r="DD86" s="228">
        <v>0.27</v>
      </c>
      <c r="DE86" s="228">
        <v>27.01</v>
      </c>
      <c r="DF86" s="228">
        <v>27.04</v>
      </c>
      <c r="DG86" s="228">
        <v>-1.8</v>
      </c>
      <c r="DH86" s="228">
        <v>-0.03</v>
      </c>
      <c r="DI86" s="228">
        <v>24.23</v>
      </c>
      <c r="DJ86" s="228">
        <v>24.5</v>
      </c>
      <c r="DK86" s="228">
        <v>-0.27</v>
      </c>
      <c r="DL86" s="228">
        <v>-0.27</v>
      </c>
      <c r="DM86" s="228">
        <v>26.57</v>
      </c>
      <c r="DN86" s="228">
        <v>26.04</v>
      </c>
      <c r="DO86" s="228">
        <v>0.53</v>
      </c>
      <c r="DP86" s="228">
        <v>0.53</v>
      </c>
      <c r="DQ86" s="228">
        <v>1.06</v>
      </c>
      <c r="DR86" s="228">
        <v>0.94</v>
      </c>
      <c r="DS86" s="228">
        <v>0.12</v>
      </c>
      <c r="DT86" s="229">
        <v>0.12770000000000001</v>
      </c>
      <c r="DU86" s="228">
        <v>670</v>
      </c>
      <c r="DV86" s="228">
        <v>620</v>
      </c>
      <c r="DW86" s="228">
        <v>0.72</v>
      </c>
      <c r="DX86" s="228">
        <v>0.4</v>
      </c>
      <c r="DY86" s="228">
        <v>0.32</v>
      </c>
      <c r="DZ86" s="229">
        <v>0.8</v>
      </c>
      <c r="EA86" s="229">
        <v>5.4999999999999997E-3</v>
      </c>
      <c r="EB86" s="230">
        <v>90650</v>
      </c>
      <c r="EC86" s="229">
        <v>5.4999999999999997E-3</v>
      </c>
      <c r="ED86" s="229">
        <v>5.4999999999999997E-3</v>
      </c>
      <c r="EE86" s="228">
        <v>3.45</v>
      </c>
      <c r="EF86" s="229">
        <v>5.1000000000000004E-3</v>
      </c>
      <c r="EG86" s="230">
        <v>191186</v>
      </c>
      <c r="EH86" s="230">
        <v>843235</v>
      </c>
      <c r="EI86" s="229">
        <v>-0.77329999999999999</v>
      </c>
      <c r="EJ86" s="229">
        <v>0.46879999999999999</v>
      </c>
      <c r="EK86" s="228">
        <v>85.86</v>
      </c>
      <c r="EL86" s="228">
        <v>57.64</v>
      </c>
      <c r="EM86" s="228">
        <v>66</v>
      </c>
      <c r="EN86" s="228">
        <v>76.900000000000006</v>
      </c>
      <c r="EO86" s="228">
        <v>209.5</v>
      </c>
      <c r="EP86" s="228">
        <v>546.39</v>
      </c>
      <c r="EQ86" s="228">
        <v>-336.9</v>
      </c>
      <c r="ER86" s="229">
        <v>-0.61660000000000004</v>
      </c>
      <c r="ES86" s="228">
        <v>123.97</v>
      </c>
      <c r="ET86" s="228">
        <v>123.51</v>
      </c>
      <c r="EU86" s="231">
        <v>1143.8399999999999</v>
      </c>
      <c r="EV86" s="231">
        <v>58746582</v>
      </c>
      <c r="EW86" s="231">
        <v>1391.33</v>
      </c>
      <c r="EX86" s="231">
        <v>1347.08</v>
      </c>
      <c r="EY86" s="228">
        <v>44.25</v>
      </c>
      <c r="EZ86" s="229">
        <v>3.2800000000000003E-2</v>
      </c>
      <c r="FA86" s="229">
        <v>0.35099999999999998</v>
      </c>
      <c r="FB86" s="227" t="s">
        <v>555</v>
      </c>
      <c r="FC86">
        <f t="shared" si="1"/>
        <v>6</v>
      </c>
    </row>
    <row r="87" spans="1:159" ht="17.25" thickBot="1" x14ac:dyDescent="0.3">
      <c r="A87" s="226">
        <v>46023</v>
      </c>
      <c r="B87" s="227" t="s">
        <v>188</v>
      </c>
      <c r="C87" s="227" t="s">
        <v>234</v>
      </c>
      <c r="D87" s="228">
        <v>40000</v>
      </c>
      <c r="E87" s="228">
        <v>26</v>
      </c>
      <c r="F87" s="228">
        <v>11.71</v>
      </c>
      <c r="G87" s="228">
        <v>10.83</v>
      </c>
      <c r="H87" s="228">
        <v>0.88</v>
      </c>
      <c r="I87" s="229">
        <v>8.1299999999999997E-2</v>
      </c>
      <c r="J87" s="228">
        <v>11.6</v>
      </c>
      <c r="K87" s="228">
        <v>10.76</v>
      </c>
      <c r="L87" s="228">
        <v>0.84</v>
      </c>
      <c r="M87" s="229">
        <v>7.8100000000000003E-2</v>
      </c>
      <c r="N87" s="228">
        <v>11.71</v>
      </c>
      <c r="O87" s="228">
        <v>10.83</v>
      </c>
      <c r="P87" s="228">
        <v>0.88</v>
      </c>
      <c r="Q87" s="229">
        <v>8.1299999999999997E-2</v>
      </c>
      <c r="R87" s="228">
        <v>11.78</v>
      </c>
      <c r="S87" s="228">
        <v>10.91</v>
      </c>
      <c r="T87" s="228">
        <v>0.87</v>
      </c>
      <c r="U87" s="229">
        <v>7.9699999999999993E-2</v>
      </c>
      <c r="V87" s="228">
        <v>11.86</v>
      </c>
      <c r="W87" s="228">
        <v>10.97</v>
      </c>
      <c r="X87" s="228">
        <v>0.89</v>
      </c>
      <c r="Y87" s="229">
        <v>8.1100000000000005E-2</v>
      </c>
      <c r="Z87" s="228">
        <v>0.11</v>
      </c>
      <c r="AA87" s="228">
        <v>7.0000000000000007E-2</v>
      </c>
      <c r="AB87" s="228">
        <v>0.04</v>
      </c>
      <c r="AC87" s="229">
        <v>9.4999999999999998E-3</v>
      </c>
      <c r="AD87" s="228">
        <v>0.11</v>
      </c>
      <c r="AE87" s="228">
        <v>7.0000000000000007E-2</v>
      </c>
      <c r="AF87" s="228">
        <v>0.04</v>
      </c>
      <c r="AG87" s="229">
        <v>9.4999999999999998E-3</v>
      </c>
      <c r="AH87" s="228">
        <v>0.18</v>
      </c>
      <c r="AI87" s="228">
        <v>0.15</v>
      </c>
      <c r="AJ87" s="228">
        <v>0.03</v>
      </c>
      <c r="AK87" s="229">
        <v>1.55E-2</v>
      </c>
      <c r="AL87" s="228">
        <v>0.26</v>
      </c>
      <c r="AM87" s="228">
        <v>0.21</v>
      </c>
      <c r="AN87" s="228">
        <v>0.05</v>
      </c>
      <c r="AO87" s="229">
        <v>2.24E-2</v>
      </c>
      <c r="AP87" s="228">
        <v>20.66</v>
      </c>
      <c r="AQ87" s="228">
        <v>11.61</v>
      </c>
      <c r="AR87" s="228">
        <v>0</v>
      </c>
      <c r="AS87" s="230">
        <v>1725</v>
      </c>
      <c r="AT87" s="230">
        <v>3547</v>
      </c>
      <c r="AU87" s="230">
        <v>-1822</v>
      </c>
      <c r="AV87" s="229">
        <v>-0.51380000000000003</v>
      </c>
      <c r="AW87" s="230">
        <v>1577</v>
      </c>
      <c r="AX87" s="230">
        <v>3152</v>
      </c>
      <c r="AY87" s="230">
        <v>-1575</v>
      </c>
      <c r="AZ87" s="229">
        <v>-0.49969999999999998</v>
      </c>
      <c r="BA87" s="228">
        <v>120</v>
      </c>
      <c r="BB87" s="228">
        <v>348</v>
      </c>
      <c r="BC87" s="228">
        <v>-229</v>
      </c>
      <c r="BD87" s="229">
        <v>-0.65649999999999997</v>
      </c>
      <c r="BE87" s="228">
        <v>28</v>
      </c>
      <c r="BF87" s="228">
        <v>47</v>
      </c>
      <c r="BG87" s="228">
        <v>-19</v>
      </c>
      <c r="BH87" s="229">
        <v>-0.39939999999999998</v>
      </c>
      <c r="BI87" s="230">
        <v>3279</v>
      </c>
      <c r="BJ87" s="230">
        <v>5330</v>
      </c>
      <c r="BK87" s="230">
        <v>-2051</v>
      </c>
      <c r="BL87" s="229">
        <v>-0.38479999999999998</v>
      </c>
      <c r="BM87" s="230">
        <v>1552</v>
      </c>
      <c r="BN87" s="230">
        <v>2871</v>
      </c>
      <c r="BO87" s="230">
        <v>-1320</v>
      </c>
      <c r="BP87" s="229">
        <v>-0.45950000000000002</v>
      </c>
      <c r="BQ87" s="230">
        <v>6555</v>
      </c>
      <c r="BR87" s="230">
        <v>11748</v>
      </c>
      <c r="BS87" s="230">
        <v>-5193</v>
      </c>
      <c r="BT87" s="229">
        <v>-0.442</v>
      </c>
      <c r="BU87" s="230">
        <v>3249947846</v>
      </c>
      <c r="BV87" s="230">
        <v>3643571673</v>
      </c>
      <c r="BW87" s="230">
        <v>-393623827</v>
      </c>
      <c r="BX87" s="229">
        <v>-0.108</v>
      </c>
      <c r="BY87" s="230">
        <v>8270</v>
      </c>
      <c r="BZ87" s="230">
        <v>7994</v>
      </c>
      <c r="CA87" s="228">
        <v>276</v>
      </c>
      <c r="CB87" s="229">
        <v>3.4599999999999999E-2</v>
      </c>
      <c r="CC87" s="230">
        <v>7850</v>
      </c>
      <c r="CD87" s="230">
        <v>7600</v>
      </c>
      <c r="CE87" s="228">
        <v>250</v>
      </c>
      <c r="CF87" s="229">
        <v>3.2800000000000003E-2</v>
      </c>
      <c r="CG87" s="228">
        <v>383</v>
      </c>
      <c r="CH87" s="228">
        <v>367</v>
      </c>
      <c r="CI87" s="228">
        <v>16</v>
      </c>
      <c r="CJ87" s="229">
        <v>4.3400000000000001E-2</v>
      </c>
      <c r="CK87" s="228">
        <v>37</v>
      </c>
      <c r="CL87" s="228">
        <v>27</v>
      </c>
      <c r="CM87" s="228">
        <v>11</v>
      </c>
      <c r="CN87" s="229">
        <v>0.40570000000000001</v>
      </c>
      <c r="CO87" s="230">
        <v>2879</v>
      </c>
      <c r="CP87" s="230">
        <v>2755</v>
      </c>
      <c r="CQ87" s="228">
        <v>124</v>
      </c>
      <c r="CR87" s="229">
        <v>4.4900000000000002E-2</v>
      </c>
      <c r="CS87" s="230">
        <v>1753</v>
      </c>
      <c r="CT87" s="230">
        <v>1538</v>
      </c>
      <c r="CU87" s="228">
        <v>215</v>
      </c>
      <c r="CV87" s="229">
        <v>0.13969999999999999</v>
      </c>
      <c r="CW87" s="230">
        <v>12902</v>
      </c>
      <c r="CX87" s="230">
        <v>12287</v>
      </c>
      <c r="CY87" s="228">
        <v>615</v>
      </c>
      <c r="CZ87" s="229">
        <v>5.0099999999999999E-2</v>
      </c>
      <c r="DA87" s="228">
        <v>57.54</v>
      </c>
      <c r="DB87" s="228">
        <v>73.28</v>
      </c>
      <c r="DC87" s="228">
        <v>-15.74</v>
      </c>
      <c r="DD87" s="228">
        <v>-15.74</v>
      </c>
      <c r="DE87" s="228">
        <v>68.819999999999993</v>
      </c>
      <c r="DF87" s="228">
        <v>68.180000000000007</v>
      </c>
      <c r="DG87" s="228">
        <v>-11.28</v>
      </c>
      <c r="DH87" s="228">
        <v>0.64</v>
      </c>
      <c r="DI87" s="228">
        <v>57.71</v>
      </c>
      <c r="DJ87" s="228">
        <v>74.42</v>
      </c>
      <c r="DK87" s="228">
        <v>-16.71</v>
      </c>
      <c r="DL87" s="228">
        <v>-16.71</v>
      </c>
      <c r="DM87" s="228">
        <v>57.18</v>
      </c>
      <c r="DN87" s="228">
        <v>71.16</v>
      </c>
      <c r="DO87" s="228">
        <v>-13.98</v>
      </c>
      <c r="DP87" s="228">
        <v>-13.98</v>
      </c>
      <c r="DQ87" s="228">
        <v>0.61</v>
      </c>
      <c r="DR87" s="228">
        <v>0.56000000000000005</v>
      </c>
      <c r="DS87" s="228">
        <v>0.05</v>
      </c>
      <c r="DT87" s="229">
        <v>8.9300000000000004E-2</v>
      </c>
      <c r="DU87" s="228">
        <v>12</v>
      </c>
      <c r="DV87" s="228">
        <v>10</v>
      </c>
      <c r="DW87" s="228">
        <v>0.47</v>
      </c>
      <c r="DX87" s="228">
        <v>0.54</v>
      </c>
      <c r="DY87" s="228">
        <v>-7.0000000000000007E-2</v>
      </c>
      <c r="DZ87" s="229">
        <v>-0.12959999999999999</v>
      </c>
      <c r="EA87" s="229">
        <v>5.0799999999999998E-2</v>
      </c>
      <c r="EB87" s="230">
        <v>335861025</v>
      </c>
      <c r="EC87" s="229">
        <v>6.0000000000000001E-3</v>
      </c>
      <c r="ED87" s="229">
        <v>5.0799999999999998E-2</v>
      </c>
      <c r="EE87" s="228">
        <v>-9.0500000000000007</v>
      </c>
      <c r="EF87" s="229">
        <v>-0.438</v>
      </c>
      <c r="EG87" s="230">
        <v>426216392</v>
      </c>
      <c r="EH87" s="230">
        <v>674019228</v>
      </c>
      <c r="EI87" s="229">
        <v>-0.36759999999999998</v>
      </c>
      <c r="EJ87" s="229">
        <v>0.13109999999999999</v>
      </c>
      <c r="EK87" s="231">
        <v>6743.42</v>
      </c>
      <c r="EL87" s="231">
        <v>2538.9299999999998</v>
      </c>
      <c r="EM87" s="231">
        <v>3044.56</v>
      </c>
      <c r="EN87" s="228">
        <v>573.29</v>
      </c>
      <c r="EO87" s="231">
        <v>12326.91</v>
      </c>
      <c r="EP87" s="231">
        <v>22175.85</v>
      </c>
      <c r="EQ87" s="231">
        <v>-9848.94</v>
      </c>
      <c r="ER87" s="229">
        <v>-0.44409999999999999</v>
      </c>
      <c r="ES87" s="231">
        <v>3200.66</v>
      </c>
      <c r="ET87" s="231">
        <v>1581.15</v>
      </c>
      <c r="EU87" s="231">
        <v>8272.81</v>
      </c>
      <c r="EV87" s="231">
        <v>12037179660</v>
      </c>
      <c r="EW87" s="231">
        <v>13054.62</v>
      </c>
      <c r="EX87" s="231">
        <v>11845.78</v>
      </c>
      <c r="EY87" s="231">
        <v>1208.8399999999999</v>
      </c>
      <c r="EZ87" s="229">
        <v>0.10199999999999999</v>
      </c>
      <c r="FA87" s="229">
        <v>0.9153</v>
      </c>
      <c r="FB87" s="227" t="s">
        <v>555</v>
      </c>
      <c r="FC87">
        <f t="shared" si="1"/>
        <v>420</v>
      </c>
    </row>
    <row r="88" spans="1:159" ht="17.25" thickBot="1" x14ac:dyDescent="0.3">
      <c r="A88" s="226">
        <v>46023</v>
      </c>
      <c r="B88" s="227" t="s">
        <v>172</v>
      </c>
      <c r="C88" s="227" t="s">
        <v>235</v>
      </c>
      <c r="D88" s="228">
        <v>9275</v>
      </c>
      <c r="E88" s="228">
        <v>26</v>
      </c>
      <c r="F88" s="228">
        <v>86.15</v>
      </c>
      <c r="G88" s="228">
        <v>85.9</v>
      </c>
      <c r="H88" s="228">
        <v>0.25</v>
      </c>
      <c r="I88" s="229">
        <v>2.8999999999999998E-3</v>
      </c>
      <c r="J88" s="228">
        <v>85.61</v>
      </c>
      <c r="K88" s="228">
        <v>85.61</v>
      </c>
      <c r="L88" s="228">
        <v>0</v>
      </c>
      <c r="M88" s="229">
        <v>0</v>
      </c>
      <c r="N88" s="228">
        <v>86.15</v>
      </c>
      <c r="O88" s="228">
        <v>85.9</v>
      </c>
      <c r="P88" s="228">
        <v>0.25</v>
      </c>
      <c r="Q88" s="229">
        <v>2.8999999999999998E-3</v>
      </c>
      <c r="R88" s="228">
        <v>86.7</v>
      </c>
      <c r="S88" s="228">
        <v>86.36</v>
      </c>
      <c r="T88" s="228">
        <v>0.34</v>
      </c>
      <c r="U88" s="229">
        <v>3.8999999999999998E-3</v>
      </c>
      <c r="V88" s="228">
        <v>87.28</v>
      </c>
      <c r="W88" s="228">
        <v>86.89</v>
      </c>
      <c r="X88" s="228">
        <v>0.39</v>
      </c>
      <c r="Y88" s="229">
        <v>4.4999999999999997E-3</v>
      </c>
      <c r="Z88" s="228">
        <v>0.54</v>
      </c>
      <c r="AA88" s="228">
        <v>0.28999999999999998</v>
      </c>
      <c r="AB88" s="228">
        <v>0.25</v>
      </c>
      <c r="AC88" s="229">
        <v>6.3E-3</v>
      </c>
      <c r="AD88" s="228">
        <v>0.54</v>
      </c>
      <c r="AE88" s="228">
        <v>0.28999999999999998</v>
      </c>
      <c r="AF88" s="228">
        <v>0.25</v>
      </c>
      <c r="AG88" s="229">
        <v>6.3E-3</v>
      </c>
      <c r="AH88" s="228">
        <v>1.0900000000000001</v>
      </c>
      <c r="AI88" s="228">
        <v>0.75</v>
      </c>
      <c r="AJ88" s="228">
        <v>0.34</v>
      </c>
      <c r="AK88" s="229">
        <v>1.2699999999999999E-2</v>
      </c>
      <c r="AL88" s="228">
        <v>1.67</v>
      </c>
      <c r="AM88" s="228">
        <v>1.28</v>
      </c>
      <c r="AN88" s="228">
        <v>0.39</v>
      </c>
      <c r="AO88" s="229">
        <v>1.95E-2</v>
      </c>
      <c r="AP88" s="228">
        <v>85.78</v>
      </c>
      <c r="AQ88" s="228">
        <v>86.24</v>
      </c>
      <c r="AR88" s="228">
        <v>0</v>
      </c>
      <c r="AS88" s="228">
        <v>260</v>
      </c>
      <c r="AT88" s="228">
        <v>431</v>
      </c>
      <c r="AU88" s="228">
        <v>-170</v>
      </c>
      <c r="AV88" s="229">
        <v>-0.39510000000000001</v>
      </c>
      <c r="AW88" s="228">
        <v>245</v>
      </c>
      <c r="AX88" s="228">
        <v>409</v>
      </c>
      <c r="AY88" s="228">
        <v>-164</v>
      </c>
      <c r="AZ88" s="229">
        <v>-0.40029999999999999</v>
      </c>
      <c r="BA88" s="228">
        <v>12</v>
      </c>
      <c r="BB88" s="228">
        <v>19</v>
      </c>
      <c r="BC88" s="228">
        <v>-7</v>
      </c>
      <c r="BD88" s="229">
        <v>-0.38400000000000001</v>
      </c>
      <c r="BE88" s="228">
        <v>4</v>
      </c>
      <c r="BF88" s="228">
        <v>3</v>
      </c>
      <c r="BG88" s="228">
        <v>1</v>
      </c>
      <c r="BH88" s="229">
        <v>0.27779999999999999</v>
      </c>
      <c r="BI88" s="228">
        <v>345</v>
      </c>
      <c r="BJ88" s="228">
        <v>735</v>
      </c>
      <c r="BK88" s="228">
        <v>-390</v>
      </c>
      <c r="BL88" s="229">
        <v>-0.53029999999999999</v>
      </c>
      <c r="BM88" s="228">
        <v>182</v>
      </c>
      <c r="BN88" s="228">
        <v>405</v>
      </c>
      <c r="BO88" s="228">
        <v>-223</v>
      </c>
      <c r="BP88" s="229">
        <v>-0.54969999999999997</v>
      </c>
      <c r="BQ88" s="228">
        <v>788</v>
      </c>
      <c r="BR88" s="230">
        <v>1570</v>
      </c>
      <c r="BS88" s="228">
        <v>-782</v>
      </c>
      <c r="BT88" s="229">
        <v>-0.49819999999999998</v>
      </c>
      <c r="BU88" s="230">
        <v>12038591</v>
      </c>
      <c r="BV88" s="230">
        <v>20732248</v>
      </c>
      <c r="BW88" s="230">
        <v>-8693657</v>
      </c>
      <c r="BX88" s="229">
        <v>-0.41930000000000001</v>
      </c>
      <c r="BY88" s="230">
        <v>2727</v>
      </c>
      <c r="BZ88" s="230">
        <v>2762</v>
      </c>
      <c r="CA88" s="228">
        <v>-35</v>
      </c>
      <c r="CB88" s="229">
        <v>-1.2800000000000001E-2</v>
      </c>
      <c r="CC88" s="230">
        <v>2630</v>
      </c>
      <c r="CD88" s="230">
        <v>2669</v>
      </c>
      <c r="CE88" s="228">
        <v>-39</v>
      </c>
      <c r="CF88" s="229">
        <v>-1.47E-2</v>
      </c>
      <c r="CG88" s="228">
        <v>94</v>
      </c>
      <c r="CH88" s="228">
        <v>91</v>
      </c>
      <c r="CI88" s="228">
        <v>3</v>
      </c>
      <c r="CJ88" s="229">
        <v>3.1600000000000003E-2</v>
      </c>
      <c r="CK88" s="228">
        <v>3</v>
      </c>
      <c r="CL88" s="228">
        <v>2</v>
      </c>
      <c r="CM88" s="228">
        <v>1</v>
      </c>
      <c r="CN88" s="229">
        <v>0.61899999999999999</v>
      </c>
      <c r="CO88" s="228">
        <v>686</v>
      </c>
      <c r="CP88" s="228">
        <v>651</v>
      </c>
      <c r="CQ88" s="228">
        <v>35</v>
      </c>
      <c r="CR88" s="229">
        <v>5.4300000000000001E-2</v>
      </c>
      <c r="CS88" s="228">
        <v>444</v>
      </c>
      <c r="CT88" s="228">
        <v>427</v>
      </c>
      <c r="CU88" s="228">
        <v>17</v>
      </c>
      <c r="CV88" s="229">
        <v>3.9100000000000003E-2</v>
      </c>
      <c r="CW88" s="230">
        <v>3857</v>
      </c>
      <c r="CX88" s="230">
        <v>3840</v>
      </c>
      <c r="CY88" s="228">
        <v>17</v>
      </c>
      <c r="CZ88" s="229">
        <v>4.4000000000000003E-3</v>
      </c>
      <c r="DA88" s="228">
        <v>22.98</v>
      </c>
      <c r="DB88" s="228">
        <v>23.55</v>
      </c>
      <c r="DC88" s="228">
        <v>-0.56999999999999995</v>
      </c>
      <c r="DD88" s="228">
        <v>-0.56999999999999995</v>
      </c>
      <c r="DE88" s="228">
        <v>32.479999999999997</v>
      </c>
      <c r="DF88" s="228">
        <v>32.56</v>
      </c>
      <c r="DG88" s="228">
        <v>-9.5</v>
      </c>
      <c r="DH88" s="228">
        <v>-0.08</v>
      </c>
      <c r="DI88" s="228">
        <v>22.82</v>
      </c>
      <c r="DJ88" s="228">
        <v>23.5</v>
      </c>
      <c r="DK88" s="228">
        <v>-0.68</v>
      </c>
      <c r="DL88" s="228">
        <v>-0.68</v>
      </c>
      <c r="DM88" s="228">
        <v>23.28</v>
      </c>
      <c r="DN88" s="228">
        <v>23.64</v>
      </c>
      <c r="DO88" s="228">
        <v>-0.36</v>
      </c>
      <c r="DP88" s="228">
        <v>-0.36</v>
      </c>
      <c r="DQ88" s="228">
        <v>0.65</v>
      </c>
      <c r="DR88" s="228">
        <v>0.66</v>
      </c>
      <c r="DS88" s="228">
        <v>-0.01</v>
      </c>
      <c r="DT88" s="229">
        <v>-1.52E-2</v>
      </c>
      <c r="DU88" s="228">
        <v>90</v>
      </c>
      <c r="DV88" s="228">
        <v>85</v>
      </c>
      <c r="DW88" s="228">
        <v>0.53</v>
      </c>
      <c r="DX88" s="228">
        <v>0.55000000000000004</v>
      </c>
      <c r="DY88" s="228">
        <v>-0.02</v>
      </c>
      <c r="DZ88" s="229">
        <v>-3.6400000000000002E-2</v>
      </c>
      <c r="EA88" s="229">
        <v>3.5499999999999997E-2</v>
      </c>
      <c r="EB88" s="230">
        <v>10777550</v>
      </c>
      <c r="EC88" s="229">
        <v>6.4000000000000003E-3</v>
      </c>
      <c r="ED88" s="229">
        <v>3.5499999999999997E-2</v>
      </c>
      <c r="EE88" s="228">
        <v>0.46</v>
      </c>
      <c r="EF88" s="229">
        <v>5.4000000000000003E-3</v>
      </c>
      <c r="EG88" s="230">
        <v>6511911</v>
      </c>
      <c r="EH88" s="230">
        <v>10814505</v>
      </c>
      <c r="EI88" s="229">
        <v>-0.39789999999999998</v>
      </c>
      <c r="EJ88" s="229">
        <v>0.54090000000000005</v>
      </c>
      <c r="EK88" s="228">
        <v>358.81</v>
      </c>
      <c r="EL88" s="228">
        <v>178.62</v>
      </c>
      <c r="EM88" s="228">
        <v>259.47000000000003</v>
      </c>
      <c r="EN88" s="228">
        <v>157.18</v>
      </c>
      <c r="EO88" s="228">
        <v>796.91</v>
      </c>
      <c r="EP88" s="231">
        <v>1591.09</v>
      </c>
      <c r="EQ88" s="228">
        <v>-794.18</v>
      </c>
      <c r="ER88" s="229">
        <v>-0.49909999999999999</v>
      </c>
      <c r="ES88" s="228">
        <v>700.09</v>
      </c>
      <c r="ET88" s="228">
        <v>422.58</v>
      </c>
      <c r="EU88" s="231">
        <v>2727.68</v>
      </c>
      <c r="EV88" s="231">
        <v>936861183</v>
      </c>
      <c r="EW88" s="231">
        <v>3850.35</v>
      </c>
      <c r="EX88" s="231">
        <v>3824.28</v>
      </c>
      <c r="EY88" s="228">
        <v>26.07</v>
      </c>
      <c r="EZ88" s="229">
        <v>6.7999999999999996E-3</v>
      </c>
      <c r="FA88" s="229">
        <v>0.4778</v>
      </c>
      <c r="FB88" s="227" t="s">
        <v>556</v>
      </c>
      <c r="FC88">
        <f t="shared" si="1"/>
        <v>97</v>
      </c>
    </row>
    <row r="89" spans="1:159" ht="17.25" thickBot="1" x14ac:dyDescent="0.3">
      <c r="A89" s="226">
        <v>46023</v>
      </c>
      <c r="B89" s="227" t="s">
        <v>161</v>
      </c>
      <c r="C89" s="227" t="s">
        <v>514</v>
      </c>
      <c r="D89" s="228">
        <v>3750</v>
      </c>
      <c r="E89" s="228">
        <v>26</v>
      </c>
      <c r="F89" s="228">
        <v>133.53</v>
      </c>
      <c r="G89" s="228">
        <v>134.57</v>
      </c>
      <c r="H89" s="228">
        <v>-1.04</v>
      </c>
      <c r="I89" s="229">
        <v>-7.7000000000000002E-3</v>
      </c>
      <c r="J89" s="228">
        <v>133.38999999999999</v>
      </c>
      <c r="K89" s="228">
        <v>134.22</v>
      </c>
      <c r="L89" s="228">
        <v>-0.83</v>
      </c>
      <c r="M89" s="229">
        <v>-6.1999999999999998E-3</v>
      </c>
      <c r="N89" s="228">
        <v>133.53</v>
      </c>
      <c r="O89" s="228">
        <v>134.57</v>
      </c>
      <c r="P89" s="228">
        <v>-1.04</v>
      </c>
      <c r="Q89" s="229">
        <v>-7.7000000000000002E-3</v>
      </c>
      <c r="R89" s="228">
        <v>133.57</v>
      </c>
      <c r="S89" s="228">
        <v>134.47</v>
      </c>
      <c r="T89" s="228">
        <v>-0.9</v>
      </c>
      <c r="U89" s="229">
        <v>-6.7000000000000002E-3</v>
      </c>
      <c r="V89" s="228">
        <v>134.38</v>
      </c>
      <c r="W89" s="228">
        <v>135.41</v>
      </c>
      <c r="X89" s="228">
        <v>-1.03</v>
      </c>
      <c r="Y89" s="229">
        <v>-7.6E-3</v>
      </c>
      <c r="Z89" s="228">
        <v>0.14000000000000001</v>
      </c>
      <c r="AA89" s="228">
        <v>0.35</v>
      </c>
      <c r="AB89" s="228">
        <v>-0.21</v>
      </c>
      <c r="AC89" s="229">
        <v>1E-3</v>
      </c>
      <c r="AD89" s="228">
        <v>0.14000000000000001</v>
      </c>
      <c r="AE89" s="228">
        <v>0.35</v>
      </c>
      <c r="AF89" s="228">
        <v>-0.21</v>
      </c>
      <c r="AG89" s="229">
        <v>1E-3</v>
      </c>
      <c r="AH89" s="228">
        <v>0.18</v>
      </c>
      <c r="AI89" s="228">
        <v>0.25</v>
      </c>
      <c r="AJ89" s="228">
        <v>-7.0000000000000007E-2</v>
      </c>
      <c r="AK89" s="229">
        <v>1.2999999999999999E-3</v>
      </c>
      <c r="AL89" s="228">
        <v>0.99</v>
      </c>
      <c r="AM89" s="228">
        <v>1.19</v>
      </c>
      <c r="AN89" s="228">
        <v>-0.2</v>
      </c>
      <c r="AO89" s="229">
        <v>7.4000000000000003E-3</v>
      </c>
      <c r="AP89" s="228">
        <v>133.88</v>
      </c>
      <c r="AQ89" s="228">
        <v>133.71</v>
      </c>
      <c r="AR89" s="228">
        <v>0</v>
      </c>
      <c r="AS89" s="228">
        <v>80</v>
      </c>
      <c r="AT89" s="228">
        <v>117</v>
      </c>
      <c r="AU89" s="228">
        <v>-37</v>
      </c>
      <c r="AV89" s="229">
        <v>-0.31459999999999999</v>
      </c>
      <c r="AW89" s="228">
        <v>74</v>
      </c>
      <c r="AX89" s="228">
        <v>109</v>
      </c>
      <c r="AY89" s="228">
        <v>-34</v>
      </c>
      <c r="AZ89" s="229">
        <v>-0.31509999999999999</v>
      </c>
      <c r="BA89" s="228">
        <v>5</v>
      </c>
      <c r="BB89" s="228">
        <v>8</v>
      </c>
      <c r="BC89" s="228">
        <v>-3</v>
      </c>
      <c r="BD89" s="229">
        <v>-0.40260000000000001</v>
      </c>
      <c r="BE89" s="228">
        <v>1</v>
      </c>
      <c r="BF89" s="228">
        <v>0</v>
      </c>
      <c r="BG89" s="228">
        <v>1</v>
      </c>
      <c r="BH89" s="229">
        <v>2.6</v>
      </c>
      <c r="BI89" s="228">
        <v>198</v>
      </c>
      <c r="BJ89" s="228">
        <v>312</v>
      </c>
      <c r="BK89" s="228">
        <v>-114</v>
      </c>
      <c r="BL89" s="229">
        <v>-0.36580000000000001</v>
      </c>
      <c r="BM89" s="228">
        <v>67</v>
      </c>
      <c r="BN89" s="228">
        <v>117</v>
      </c>
      <c r="BO89" s="228">
        <v>-49</v>
      </c>
      <c r="BP89" s="229">
        <v>-0.42249999999999999</v>
      </c>
      <c r="BQ89" s="228">
        <v>345</v>
      </c>
      <c r="BR89" s="228">
        <v>545</v>
      </c>
      <c r="BS89" s="228">
        <v>-200</v>
      </c>
      <c r="BT89" s="229">
        <v>-0.36699999999999999</v>
      </c>
      <c r="BU89" s="230">
        <v>2962814</v>
      </c>
      <c r="BV89" s="230">
        <v>4712403</v>
      </c>
      <c r="BW89" s="230">
        <v>-1749589</v>
      </c>
      <c r="BX89" s="229">
        <v>-0.37130000000000002</v>
      </c>
      <c r="BY89" s="228">
        <v>807</v>
      </c>
      <c r="BZ89" s="228">
        <v>803</v>
      </c>
      <c r="CA89" s="228">
        <v>3</v>
      </c>
      <c r="CB89" s="229">
        <v>3.8999999999999998E-3</v>
      </c>
      <c r="CC89" s="228">
        <v>758</v>
      </c>
      <c r="CD89" s="228">
        <v>757</v>
      </c>
      <c r="CE89" s="228">
        <v>1</v>
      </c>
      <c r="CF89" s="229">
        <v>6.9999999999999999E-4</v>
      </c>
      <c r="CG89" s="228">
        <v>47</v>
      </c>
      <c r="CH89" s="228">
        <v>46</v>
      </c>
      <c r="CI89" s="228">
        <v>2</v>
      </c>
      <c r="CJ89" s="229">
        <v>3.61E-2</v>
      </c>
      <c r="CK89" s="228">
        <v>1</v>
      </c>
      <c r="CL89" s="228">
        <v>0</v>
      </c>
      <c r="CM89" s="228">
        <v>1</v>
      </c>
      <c r="CN89" s="229">
        <v>3.6</v>
      </c>
      <c r="CO89" s="228">
        <v>448</v>
      </c>
      <c r="CP89" s="228">
        <v>404</v>
      </c>
      <c r="CQ89" s="228">
        <v>44</v>
      </c>
      <c r="CR89" s="229">
        <v>0.1084</v>
      </c>
      <c r="CS89" s="228">
        <v>325</v>
      </c>
      <c r="CT89" s="228">
        <v>314</v>
      </c>
      <c r="CU89" s="228">
        <v>11</v>
      </c>
      <c r="CV89" s="229">
        <v>3.4099999999999998E-2</v>
      </c>
      <c r="CW89" s="230">
        <v>1579</v>
      </c>
      <c r="CX89" s="230">
        <v>1522</v>
      </c>
      <c r="CY89" s="228">
        <v>58</v>
      </c>
      <c r="CZ89" s="229">
        <v>3.7900000000000003E-2</v>
      </c>
      <c r="DA89" s="228">
        <v>38.06</v>
      </c>
      <c r="DB89" s="228">
        <v>37.049999999999997</v>
      </c>
      <c r="DC89" s="228">
        <v>1.01</v>
      </c>
      <c r="DD89" s="228">
        <v>1.01</v>
      </c>
      <c r="DE89" s="228">
        <v>52.43</v>
      </c>
      <c r="DF89" s="228">
        <v>52.55</v>
      </c>
      <c r="DG89" s="228">
        <v>-14.37</v>
      </c>
      <c r="DH89" s="228">
        <v>-0.12</v>
      </c>
      <c r="DI89" s="228">
        <v>38.590000000000003</v>
      </c>
      <c r="DJ89" s="228">
        <v>37.29</v>
      </c>
      <c r="DK89" s="228">
        <v>1.3</v>
      </c>
      <c r="DL89" s="228">
        <v>1.3</v>
      </c>
      <c r="DM89" s="228">
        <v>36.51</v>
      </c>
      <c r="DN89" s="228">
        <v>36.39</v>
      </c>
      <c r="DO89" s="228">
        <v>0.12</v>
      </c>
      <c r="DP89" s="228">
        <v>0.12</v>
      </c>
      <c r="DQ89" s="228">
        <v>0.72</v>
      </c>
      <c r="DR89" s="228">
        <v>0.78</v>
      </c>
      <c r="DS89" s="228">
        <v>-0.06</v>
      </c>
      <c r="DT89" s="229">
        <v>-7.6899999999999996E-2</v>
      </c>
      <c r="DU89" s="228">
        <v>140</v>
      </c>
      <c r="DV89" s="228">
        <v>135</v>
      </c>
      <c r="DW89" s="228">
        <v>0.34</v>
      </c>
      <c r="DX89" s="228">
        <v>0.37</v>
      </c>
      <c r="DY89" s="228">
        <v>-0.03</v>
      </c>
      <c r="DZ89" s="229">
        <v>-8.1100000000000005E-2</v>
      </c>
      <c r="EA89" s="229">
        <v>6.0299999999999999E-2</v>
      </c>
      <c r="EB89" s="230">
        <v>3450000</v>
      </c>
      <c r="EC89" s="229">
        <v>2.9999999999999997E-4</v>
      </c>
      <c r="ED89" s="229">
        <v>6.0299999999999999E-2</v>
      </c>
      <c r="EE89" s="228">
        <v>-0.17</v>
      </c>
      <c r="EF89" s="229">
        <v>-1.2999999999999999E-3</v>
      </c>
      <c r="EG89" s="230">
        <v>1132212</v>
      </c>
      <c r="EH89" s="230">
        <v>2167267</v>
      </c>
      <c r="EI89" s="229">
        <v>-0.47760000000000002</v>
      </c>
      <c r="EJ89" s="229">
        <v>0.3821</v>
      </c>
      <c r="EK89" s="228">
        <v>216.39</v>
      </c>
      <c r="EL89" s="228">
        <v>66.760000000000005</v>
      </c>
      <c r="EM89" s="228">
        <v>80.17</v>
      </c>
      <c r="EN89" s="228">
        <v>95.68</v>
      </c>
      <c r="EO89" s="228">
        <v>363.32</v>
      </c>
      <c r="EP89" s="228">
        <v>575.74</v>
      </c>
      <c r="EQ89" s="228">
        <v>-212.41</v>
      </c>
      <c r="ER89" s="229">
        <v>-0.36890000000000001</v>
      </c>
      <c r="ES89" s="228">
        <v>488.93</v>
      </c>
      <c r="ET89" s="228">
        <v>327.69</v>
      </c>
      <c r="EU89" s="228">
        <v>806.61</v>
      </c>
      <c r="EV89" s="231">
        <v>133395043</v>
      </c>
      <c r="EW89" s="231">
        <v>1623.23</v>
      </c>
      <c r="EX89" s="231">
        <v>1568.09</v>
      </c>
      <c r="EY89" s="228">
        <v>55.14</v>
      </c>
      <c r="EZ89" s="229">
        <v>3.5200000000000002E-2</v>
      </c>
      <c r="FA89" s="229">
        <v>0.88660000000000005</v>
      </c>
      <c r="FB89" s="227" t="s">
        <v>567</v>
      </c>
      <c r="FC89">
        <f t="shared" si="1"/>
        <v>49</v>
      </c>
    </row>
    <row r="90" spans="1:159" ht="17.25" thickBot="1" x14ac:dyDescent="0.3">
      <c r="A90" s="226">
        <v>46023</v>
      </c>
      <c r="B90" s="227" t="s">
        <v>175</v>
      </c>
      <c r="C90" s="227" t="s">
        <v>666</v>
      </c>
      <c r="D90" s="228">
        <v>1650</v>
      </c>
      <c r="E90" s="228">
        <v>26</v>
      </c>
      <c r="F90" s="228">
        <v>621.6</v>
      </c>
      <c r="G90" s="228">
        <v>611.35</v>
      </c>
      <c r="H90" s="228">
        <v>10.25</v>
      </c>
      <c r="I90" s="229">
        <v>1.6799999999999999E-2</v>
      </c>
      <c r="J90" s="228">
        <v>620.45000000000005</v>
      </c>
      <c r="K90" s="228">
        <v>610.5</v>
      </c>
      <c r="L90" s="228">
        <v>9.9499999999999993</v>
      </c>
      <c r="M90" s="229">
        <v>1.6299999999999999E-2</v>
      </c>
      <c r="N90" s="228">
        <v>621.6</v>
      </c>
      <c r="O90" s="228">
        <v>611.35</v>
      </c>
      <c r="P90" s="228">
        <v>10.25</v>
      </c>
      <c r="Q90" s="229">
        <v>1.6799999999999999E-2</v>
      </c>
      <c r="R90" s="228">
        <v>0</v>
      </c>
      <c r="S90" s="228">
        <v>0</v>
      </c>
      <c r="T90" s="228">
        <v>0</v>
      </c>
      <c r="U90" s="229">
        <v>0</v>
      </c>
      <c r="V90" s="228">
        <v>0</v>
      </c>
      <c r="W90" s="228">
        <v>0</v>
      </c>
      <c r="X90" s="228">
        <v>0</v>
      </c>
      <c r="Y90" s="229">
        <v>0</v>
      </c>
      <c r="Z90" s="228">
        <v>1.1499999999999999</v>
      </c>
      <c r="AA90" s="228">
        <v>0.85</v>
      </c>
      <c r="AB90" s="228">
        <v>0.3</v>
      </c>
      <c r="AC90" s="229">
        <v>1.9E-3</v>
      </c>
      <c r="AD90" s="228">
        <v>1.1499999999999999</v>
      </c>
      <c r="AE90" s="228">
        <v>0.85</v>
      </c>
      <c r="AF90" s="228">
        <v>0.3</v>
      </c>
      <c r="AG90" s="229">
        <v>1.9E-3</v>
      </c>
      <c r="AH90" s="228">
        <v>0</v>
      </c>
      <c r="AI90" s="228">
        <v>0</v>
      </c>
      <c r="AJ90" s="228">
        <v>0</v>
      </c>
      <c r="AK90" s="229">
        <v>0</v>
      </c>
      <c r="AL90" s="228">
        <v>0</v>
      </c>
      <c r="AM90" s="228">
        <v>0</v>
      </c>
      <c r="AN90" s="228">
        <v>0</v>
      </c>
      <c r="AO90" s="229">
        <v>0</v>
      </c>
      <c r="AP90" s="228">
        <v>617.94000000000005</v>
      </c>
      <c r="AQ90" s="228">
        <v>0</v>
      </c>
      <c r="AR90" s="228">
        <v>0</v>
      </c>
      <c r="AS90" s="228">
        <v>148</v>
      </c>
      <c r="AT90" s="228">
        <v>211</v>
      </c>
      <c r="AU90" s="228">
        <v>-63</v>
      </c>
      <c r="AV90" s="229">
        <v>-0.29759999999999998</v>
      </c>
      <c r="AW90" s="228">
        <v>148</v>
      </c>
      <c r="AX90" s="228">
        <v>211</v>
      </c>
      <c r="AY90" s="228">
        <v>-63</v>
      </c>
      <c r="AZ90" s="229">
        <v>-0.29759999999999998</v>
      </c>
      <c r="BA90" s="228">
        <v>0</v>
      </c>
      <c r="BB90" s="228">
        <v>0</v>
      </c>
      <c r="BC90" s="228">
        <v>0</v>
      </c>
      <c r="BD90" s="229">
        <v>0</v>
      </c>
      <c r="BE90" s="228">
        <v>0</v>
      </c>
      <c r="BF90" s="228">
        <v>0</v>
      </c>
      <c r="BG90" s="228">
        <v>0</v>
      </c>
      <c r="BH90" s="229">
        <v>0</v>
      </c>
      <c r="BI90" s="228">
        <v>370</v>
      </c>
      <c r="BJ90" s="228">
        <v>500</v>
      </c>
      <c r="BK90" s="228">
        <v>-130</v>
      </c>
      <c r="BL90" s="229">
        <v>-0.25969999999999999</v>
      </c>
      <c r="BM90" s="228">
        <v>188</v>
      </c>
      <c r="BN90" s="228">
        <v>144</v>
      </c>
      <c r="BO90" s="228">
        <v>44</v>
      </c>
      <c r="BP90" s="229">
        <v>0.30930000000000002</v>
      </c>
      <c r="BQ90" s="228">
        <v>707</v>
      </c>
      <c r="BR90" s="228">
        <v>855</v>
      </c>
      <c r="BS90" s="228">
        <v>-148</v>
      </c>
      <c r="BT90" s="229">
        <v>-0.17349999999999999</v>
      </c>
      <c r="BU90" s="230">
        <v>1071932</v>
      </c>
      <c r="BV90" s="230">
        <v>1438771</v>
      </c>
      <c r="BW90" s="230">
        <v>-366839</v>
      </c>
      <c r="BX90" s="229">
        <v>-0.255</v>
      </c>
      <c r="BY90" s="228">
        <v>825</v>
      </c>
      <c r="BZ90" s="228">
        <v>824</v>
      </c>
      <c r="CA90" s="228">
        <v>1</v>
      </c>
      <c r="CB90" s="229">
        <v>1.6000000000000001E-3</v>
      </c>
      <c r="CC90" s="228">
        <v>825</v>
      </c>
      <c r="CD90" s="228">
        <v>824</v>
      </c>
      <c r="CE90" s="228">
        <v>1</v>
      </c>
      <c r="CF90" s="229">
        <v>1.6000000000000001E-3</v>
      </c>
      <c r="CG90" s="228">
        <v>0</v>
      </c>
      <c r="CH90" s="228">
        <v>0</v>
      </c>
      <c r="CI90" s="228">
        <v>0</v>
      </c>
      <c r="CJ90" s="229">
        <v>0</v>
      </c>
      <c r="CK90" s="228">
        <v>0</v>
      </c>
      <c r="CL90" s="228">
        <v>0</v>
      </c>
      <c r="CM90" s="228">
        <v>0</v>
      </c>
      <c r="CN90" s="229">
        <v>0</v>
      </c>
      <c r="CO90" s="228">
        <v>199</v>
      </c>
      <c r="CP90" s="228">
        <v>207</v>
      </c>
      <c r="CQ90" s="228">
        <v>-8</v>
      </c>
      <c r="CR90" s="229">
        <v>-3.9100000000000003E-2</v>
      </c>
      <c r="CS90" s="228">
        <v>195</v>
      </c>
      <c r="CT90" s="228">
        <v>166</v>
      </c>
      <c r="CU90" s="228">
        <v>29</v>
      </c>
      <c r="CV90" s="229">
        <v>0.1736</v>
      </c>
      <c r="CW90" s="230">
        <v>1219</v>
      </c>
      <c r="CX90" s="230">
        <v>1197</v>
      </c>
      <c r="CY90" s="228">
        <v>22</v>
      </c>
      <c r="CZ90" s="229">
        <v>1.84E-2</v>
      </c>
      <c r="DA90" s="228">
        <v>30.18</v>
      </c>
      <c r="DB90" s="228">
        <v>31.62</v>
      </c>
      <c r="DC90" s="228">
        <v>-1.44</v>
      </c>
      <c r="DD90" s="228">
        <v>-1.44</v>
      </c>
      <c r="DE90" s="228">
        <v>48.78</v>
      </c>
      <c r="DF90" s="228">
        <v>48.85</v>
      </c>
      <c r="DG90" s="228">
        <v>-18.600000000000001</v>
      </c>
      <c r="DH90" s="228">
        <v>-7.0000000000000007E-2</v>
      </c>
      <c r="DI90" s="228">
        <v>29.72</v>
      </c>
      <c r="DJ90" s="228">
        <v>31.54</v>
      </c>
      <c r="DK90" s="228">
        <v>-1.82</v>
      </c>
      <c r="DL90" s="228">
        <v>-1.82</v>
      </c>
      <c r="DM90" s="228">
        <v>31.1</v>
      </c>
      <c r="DN90" s="228">
        <v>31.88</v>
      </c>
      <c r="DO90" s="228">
        <v>-0.78</v>
      </c>
      <c r="DP90" s="228">
        <v>-0.78</v>
      </c>
      <c r="DQ90" s="228">
        <v>0.98</v>
      </c>
      <c r="DR90" s="228">
        <v>0.8</v>
      </c>
      <c r="DS90" s="228">
        <v>0.18</v>
      </c>
      <c r="DT90" s="229">
        <v>0.22500000000000001</v>
      </c>
      <c r="DU90" s="228">
        <v>600</v>
      </c>
      <c r="DV90" s="228">
        <v>600</v>
      </c>
      <c r="DW90" s="228">
        <v>0.51</v>
      </c>
      <c r="DX90" s="228">
        <v>0.28999999999999998</v>
      </c>
      <c r="DY90" s="228">
        <v>0.22</v>
      </c>
      <c r="DZ90" s="229">
        <v>0.75860000000000005</v>
      </c>
      <c r="EA90" s="229">
        <v>0</v>
      </c>
      <c r="EB90" s="228">
        <v>0</v>
      </c>
      <c r="EC90" s="229">
        <v>0</v>
      </c>
      <c r="ED90" s="229">
        <v>0</v>
      </c>
      <c r="EE90" s="228">
        <v>0</v>
      </c>
      <c r="EF90" s="229">
        <v>0</v>
      </c>
      <c r="EG90" s="230">
        <v>377839</v>
      </c>
      <c r="EH90" s="230">
        <v>604828</v>
      </c>
      <c r="EI90" s="229">
        <v>-0.37530000000000002</v>
      </c>
      <c r="EJ90" s="229">
        <v>0.35249999999999998</v>
      </c>
      <c r="EK90" s="228">
        <v>385.11</v>
      </c>
      <c r="EL90" s="228">
        <v>179.95</v>
      </c>
      <c r="EM90" s="228">
        <v>147.54</v>
      </c>
      <c r="EN90" s="228">
        <v>51.04</v>
      </c>
      <c r="EO90" s="228">
        <v>712.6</v>
      </c>
      <c r="EP90" s="228">
        <v>857.99</v>
      </c>
      <c r="EQ90" s="228">
        <v>-145.38999999999999</v>
      </c>
      <c r="ER90" s="229">
        <v>-0.16950000000000001</v>
      </c>
      <c r="ES90" s="228">
        <v>199.81</v>
      </c>
      <c r="ET90" s="228">
        <v>181.73</v>
      </c>
      <c r="EU90" s="228">
        <v>825.02</v>
      </c>
      <c r="EV90" s="231">
        <v>35669230</v>
      </c>
      <c r="EW90" s="231">
        <v>1206.57</v>
      </c>
      <c r="EX90" s="231">
        <v>1169.56</v>
      </c>
      <c r="EY90" s="228">
        <v>37.01</v>
      </c>
      <c r="EZ90" s="229">
        <v>3.1600000000000003E-2</v>
      </c>
      <c r="FA90" s="229">
        <v>0.54979999999999996</v>
      </c>
      <c r="FB90" s="227" t="s">
        <v>555</v>
      </c>
      <c r="FC90">
        <f t="shared" si="1"/>
        <v>0</v>
      </c>
    </row>
    <row r="91" spans="1:159" ht="17.25" thickBot="1" x14ac:dyDescent="0.3">
      <c r="A91" s="226">
        <v>46023</v>
      </c>
      <c r="B91" s="227" t="s">
        <v>206</v>
      </c>
      <c r="C91" s="227" t="s">
        <v>501</v>
      </c>
      <c r="D91" s="228">
        <v>1000</v>
      </c>
      <c r="E91" s="228">
        <v>26</v>
      </c>
      <c r="F91" s="228">
        <v>742.05</v>
      </c>
      <c r="G91" s="228">
        <v>741.35</v>
      </c>
      <c r="H91" s="228">
        <v>0.7</v>
      </c>
      <c r="I91" s="229">
        <v>8.9999999999999998E-4</v>
      </c>
      <c r="J91" s="228">
        <v>738.6</v>
      </c>
      <c r="K91" s="228">
        <v>738.85</v>
      </c>
      <c r="L91" s="228">
        <v>-0.25</v>
      </c>
      <c r="M91" s="229">
        <v>-2.9999999999999997E-4</v>
      </c>
      <c r="N91" s="228">
        <v>742.05</v>
      </c>
      <c r="O91" s="228">
        <v>741.35</v>
      </c>
      <c r="P91" s="228">
        <v>0.7</v>
      </c>
      <c r="Q91" s="229">
        <v>8.9999999999999998E-4</v>
      </c>
      <c r="R91" s="228">
        <v>746</v>
      </c>
      <c r="S91" s="228">
        <v>745.4</v>
      </c>
      <c r="T91" s="228">
        <v>0.6</v>
      </c>
      <c r="U91" s="229">
        <v>8.0000000000000004E-4</v>
      </c>
      <c r="V91" s="228">
        <v>749.75</v>
      </c>
      <c r="W91" s="228">
        <v>750.55</v>
      </c>
      <c r="X91" s="228">
        <v>-0.8</v>
      </c>
      <c r="Y91" s="229">
        <v>-1.1000000000000001E-3</v>
      </c>
      <c r="Z91" s="228">
        <v>3.45</v>
      </c>
      <c r="AA91" s="228">
        <v>2.5</v>
      </c>
      <c r="AB91" s="228">
        <v>0.95</v>
      </c>
      <c r="AC91" s="229">
        <v>4.7000000000000002E-3</v>
      </c>
      <c r="AD91" s="228">
        <v>3.45</v>
      </c>
      <c r="AE91" s="228">
        <v>2.5</v>
      </c>
      <c r="AF91" s="228">
        <v>0.95</v>
      </c>
      <c r="AG91" s="229">
        <v>4.7000000000000002E-3</v>
      </c>
      <c r="AH91" s="228">
        <v>7.4</v>
      </c>
      <c r="AI91" s="228">
        <v>6.55</v>
      </c>
      <c r="AJ91" s="228">
        <v>0.85</v>
      </c>
      <c r="AK91" s="229">
        <v>0.01</v>
      </c>
      <c r="AL91" s="228">
        <v>11.15</v>
      </c>
      <c r="AM91" s="228">
        <v>11.7</v>
      </c>
      <c r="AN91" s="228">
        <v>-0.55000000000000004</v>
      </c>
      <c r="AO91" s="229">
        <v>1.5100000000000001E-2</v>
      </c>
      <c r="AP91" s="228">
        <v>740.19</v>
      </c>
      <c r="AQ91" s="228">
        <v>744.27</v>
      </c>
      <c r="AR91" s="228">
        <v>0</v>
      </c>
      <c r="AS91" s="228">
        <v>152</v>
      </c>
      <c r="AT91" s="228">
        <v>259</v>
      </c>
      <c r="AU91" s="228">
        <v>-107</v>
      </c>
      <c r="AV91" s="229">
        <v>-0.41389999999999999</v>
      </c>
      <c r="AW91" s="228">
        <v>148</v>
      </c>
      <c r="AX91" s="228">
        <v>252</v>
      </c>
      <c r="AY91" s="228">
        <v>-104</v>
      </c>
      <c r="AZ91" s="229">
        <v>-0.4123</v>
      </c>
      <c r="BA91" s="228">
        <v>4</v>
      </c>
      <c r="BB91" s="228">
        <v>7</v>
      </c>
      <c r="BC91" s="228">
        <v>-3</v>
      </c>
      <c r="BD91" s="229">
        <v>-0.40910000000000002</v>
      </c>
      <c r="BE91" s="228">
        <v>0</v>
      </c>
      <c r="BF91" s="228">
        <v>1</v>
      </c>
      <c r="BG91" s="228">
        <v>-1</v>
      </c>
      <c r="BH91" s="229">
        <v>-0.91669999999999996</v>
      </c>
      <c r="BI91" s="228">
        <v>288</v>
      </c>
      <c r="BJ91" s="228">
        <v>411</v>
      </c>
      <c r="BK91" s="228">
        <v>-123</v>
      </c>
      <c r="BL91" s="229">
        <v>-0.2994</v>
      </c>
      <c r="BM91" s="228">
        <v>125</v>
      </c>
      <c r="BN91" s="228">
        <v>204</v>
      </c>
      <c r="BO91" s="228">
        <v>-79</v>
      </c>
      <c r="BP91" s="229">
        <v>-0.3886</v>
      </c>
      <c r="BQ91" s="228">
        <v>565</v>
      </c>
      <c r="BR91" s="228">
        <v>874</v>
      </c>
      <c r="BS91" s="228">
        <v>-310</v>
      </c>
      <c r="BT91" s="229">
        <v>-0.35410000000000003</v>
      </c>
      <c r="BU91" s="230">
        <v>1197392</v>
      </c>
      <c r="BV91" s="230">
        <v>2450887</v>
      </c>
      <c r="BW91" s="230">
        <v>-1253495</v>
      </c>
      <c r="BX91" s="229">
        <v>-0.51139999999999997</v>
      </c>
      <c r="BY91" s="230">
        <v>1938</v>
      </c>
      <c r="BZ91" s="230">
        <v>1911</v>
      </c>
      <c r="CA91" s="228">
        <v>28</v>
      </c>
      <c r="CB91" s="229">
        <v>1.46E-2</v>
      </c>
      <c r="CC91" s="230">
        <v>1904</v>
      </c>
      <c r="CD91" s="230">
        <v>1876</v>
      </c>
      <c r="CE91" s="228">
        <v>28</v>
      </c>
      <c r="CF91" s="229">
        <v>1.47E-2</v>
      </c>
      <c r="CG91" s="228">
        <v>35</v>
      </c>
      <c r="CH91" s="228">
        <v>34</v>
      </c>
      <c r="CI91" s="228">
        <v>0</v>
      </c>
      <c r="CJ91" s="229">
        <v>8.6E-3</v>
      </c>
      <c r="CK91" s="228">
        <v>0</v>
      </c>
      <c r="CL91" s="228">
        <v>0</v>
      </c>
      <c r="CM91" s="228">
        <v>0</v>
      </c>
      <c r="CN91" s="229">
        <v>0</v>
      </c>
      <c r="CO91" s="228">
        <v>371</v>
      </c>
      <c r="CP91" s="228">
        <v>335</v>
      </c>
      <c r="CQ91" s="228">
        <v>36</v>
      </c>
      <c r="CR91" s="229">
        <v>0.1067</v>
      </c>
      <c r="CS91" s="228">
        <v>286</v>
      </c>
      <c r="CT91" s="228">
        <v>269</v>
      </c>
      <c r="CU91" s="228">
        <v>17</v>
      </c>
      <c r="CV91" s="229">
        <v>6.4899999999999999E-2</v>
      </c>
      <c r="CW91" s="230">
        <v>2596</v>
      </c>
      <c r="CX91" s="230">
        <v>2515</v>
      </c>
      <c r="CY91" s="228">
        <v>81</v>
      </c>
      <c r="CZ91" s="229">
        <v>3.2300000000000002E-2</v>
      </c>
      <c r="DA91" s="228">
        <v>18.54</v>
      </c>
      <c r="DB91" s="228">
        <v>18.98</v>
      </c>
      <c r="DC91" s="228">
        <v>-0.44</v>
      </c>
      <c r="DD91" s="228">
        <v>-0.44</v>
      </c>
      <c r="DE91" s="228">
        <v>33.479999999999997</v>
      </c>
      <c r="DF91" s="228">
        <v>33.57</v>
      </c>
      <c r="DG91" s="228">
        <v>-14.94</v>
      </c>
      <c r="DH91" s="228">
        <v>-0.09</v>
      </c>
      <c r="DI91" s="228">
        <v>18.29</v>
      </c>
      <c r="DJ91" s="228">
        <v>18.78</v>
      </c>
      <c r="DK91" s="228">
        <v>-0.49</v>
      </c>
      <c r="DL91" s="228">
        <v>-0.49</v>
      </c>
      <c r="DM91" s="228">
        <v>19.13</v>
      </c>
      <c r="DN91" s="228">
        <v>19.38</v>
      </c>
      <c r="DO91" s="228">
        <v>-0.25</v>
      </c>
      <c r="DP91" s="228">
        <v>-0.25</v>
      </c>
      <c r="DQ91" s="228">
        <v>0.77</v>
      </c>
      <c r="DR91" s="228">
        <v>0.8</v>
      </c>
      <c r="DS91" s="228">
        <v>-0.03</v>
      </c>
      <c r="DT91" s="229">
        <v>-3.7499999999999999E-2</v>
      </c>
      <c r="DU91" s="228">
        <v>800</v>
      </c>
      <c r="DV91" s="228">
        <v>740</v>
      </c>
      <c r="DW91" s="228">
        <v>0.43</v>
      </c>
      <c r="DX91" s="228">
        <v>0.5</v>
      </c>
      <c r="DY91" s="228">
        <v>-7.0000000000000007E-2</v>
      </c>
      <c r="DZ91" s="229">
        <v>-0.14000000000000001</v>
      </c>
      <c r="EA91" s="229">
        <v>1.7999999999999999E-2</v>
      </c>
      <c r="EB91" s="230">
        <v>467000</v>
      </c>
      <c r="EC91" s="229">
        <v>5.3E-3</v>
      </c>
      <c r="ED91" s="229">
        <v>1.7999999999999999E-2</v>
      </c>
      <c r="EE91" s="228">
        <v>4.08</v>
      </c>
      <c r="EF91" s="229">
        <v>5.4999999999999997E-3</v>
      </c>
      <c r="EG91" s="230">
        <v>653622</v>
      </c>
      <c r="EH91" s="230">
        <v>1477544</v>
      </c>
      <c r="EI91" s="229">
        <v>-0.55759999999999998</v>
      </c>
      <c r="EJ91" s="229">
        <v>0.54590000000000005</v>
      </c>
      <c r="EK91" s="228">
        <v>297.98</v>
      </c>
      <c r="EL91" s="228">
        <v>122.21</v>
      </c>
      <c r="EM91" s="228">
        <v>151.46</v>
      </c>
      <c r="EN91" s="228">
        <v>117.27</v>
      </c>
      <c r="EO91" s="228">
        <v>571.65</v>
      </c>
      <c r="EP91" s="228">
        <v>885.29</v>
      </c>
      <c r="EQ91" s="228">
        <v>-313.64</v>
      </c>
      <c r="ER91" s="229">
        <v>-0.3543</v>
      </c>
      <c r="ES91" s="228">
        <v>383.13</v>
      </c>
      <c r="ET91" s="228">
        <v>281.82</v>
      </c>
      <c r="EU91" s="231">
        <v>1938.64</v>
      </c>
      <c r="EV91" s="231">
        <v>132129624</v>
      </c>
      <c r="EW91" s="231">
        <v>2603.59</v>
      </c>
      <c r="EX91" s="231">
        <v>2520.14</v>
      </c>
      <c r="EY91" s="228">
        <v>83.45</v>
      </c>
      <c r="EZ91" s="229">
        <v>3.3099999999999997E-2</v>
      </c>
      <c r="FA91" s="229">
        <v>0.26469999999999999</v>
      </c>
      <c r="FB91" s="227" t="s">
        <v>555</v>
      </c>
      <c r="FC91">
        <f t="shared" si="1"/>
        <v>34</v>
      </c>
    </row>
    <row r="92" spans="1:159" ht="17.25" thickBot="1" x14ac:dyDescent="0.3">
      <c r="A92" s="226">
        <v>46023</v>
      </c>
      <c r="B92" s="227" t="s">
        <v>172</v>
      </c>
      <c r="C92" s="227" t="s">
        <v>578</v>
      </c>
      <c r="D92" s="228">
        <v>1000</v>
      </c>
      <c r="E92" s="228">
        <v>26</v>
      </c>
      <c r="F92" s="228">
        <v>838.2</v>
      </c>
      <c r="G92" s="228">
        <v>839.4</v>
      </c>
      <c r="H92" s="228">
        <v>-1.2</v>
      </c>
      <c r="I92" s="229">
        <v>-1.4E-3</v>
      </c>
      <c r="J92" s="228">
        <v>832.6</v>
      </c>
      <c r="K92" s="228">
        <v>837.25</v>
      </c>
      <c r="L92" s="228">
        <v>-4.6500000000000004</v>
      </c>
      <c r="M92" s="229">
        <v>-5.5999999999999999E-3</v>
      </c>
      <c r="N92" s="228">
        <v>838.2</v>
      </c>
      <c r="O92" s="228">
        <v>839.4</v>
      </c>
      <c r="P92" s="228">
        <v>-1.2</v>
      </c>
      <c r="Q92" s="229">
        <v>-1.4E-3</v>
      </c>
      <c r="R92" s="228">
        <v>842.3</v>
      </c>
      <c r="S92" s="228">
        <v>841.65</v>
      </c>
      <c r="T92" s="228">
        <v>0.65</v>
      </c>
      <c r="U92" s="229">
        <v>8.0000000000000004E-4</v>
      </c>
      <c r="V92" s="228">
        <v>840.35</v>
      </c>
      <c r="W92" s="228">
        <v>843.05</v>
      </c>
      <c r="X92" s="228">
        <v>-2.7</v>
      </c>
      <c r="Y92" s="229">
        <v>-3.2000000000000002E-3</v>
      </c>
      <c r="Z92" s="228">
        <v>5.6</v>
      </c>
      <c r="AA92" s="228">
        <v>2.15</v>
      </c>
      <c r="AB92" s="228">
        <v>3.45</v>
      </c>
      <c r="AC92" s="229">
        <v>6.7000000000000002E-3</v>
      </c>
      <c r="AD92" s="228">
        <v>5.6</v>
      </c>
      <c r="AE92" s="228">
        <v>2.15</v>
      </c>
      <c r="AF92" s="228">
        <v>3.45</v>
      </c>
      <c r="AG92" s="229">
        <v>6.7000000000000002E-3</v>
      </c>
      <c r="AH92" s="228">
        <v>9.6999999999999993</v>
      </c>
      <c r="AI92" s="228">
        <v>4.4000000000000004</v>
      </c>
      <c r="AJ92" s="228">
        <v>5.3</v>
      </c>
      <c r="AK92" s="229">
        <v>1.17E-2</v>
      </c>
      <c r="AL92" s="228">
        <v>7.75</v>
      </c>
      <c r="AM92" s="228">
        <v>5.8</v>
      </c>
      <c r="AN92" s="228">
        <v>1.95</v>
      </c>
      <c r="AO92" s="229">
        <v>9.2999999999999992E-3</v>
      </c>
      <c r="AP92" s="228">
        <v>839.53</v>
      </c>
      <c r="AQ92" s="228">
        <v>842.83</v>
      </c>
      <c r="AR92" s="228">
        <v>0</v>
      </c>
      <c r="AS92" s="228">
        <v>172</v>
      </c>
      <c r="AT92" s="228">
        <v>371</v>
      </c>
      <c r="AU92" s="228">
        <v>-199</v>
      </c>
      <c r="AV92" s="229">
        <v>-0.53639999999999999</v>
      </c>
      <c r="AW92" s="228">
        <v>162</v>
      </c>
      <c r="AX92" s="228">
        <v>359</v>
      </c>
      <c r="AY92" s="228">
        <v>-197</v>
      </c>
      <c r="AZ92" s="229">
        <v>-0.5494</v>
      </c>
      <c r="BA92" s="228">
        <v>9</v>
      </c>
      <c r="BB92" s="228">
        <v>12</v>
      </c>
      <c r="BC92" s="228">
        <v>-3</v>
      </c>
      <c r="BD92" s="229">
        <v>-0.22919999999999999</v>
      </c>
      <c r="BE92" s="228">
        <v>1</v>
      </c>
      <c r="BF92" s="228">
        <v>0</v>
      </c>
      <c r="BG92" s="228">
        <v>1</v>
      </c>
      <c r="BH92" s="229">
        <v>11</v>
      </c>
      <c r="BI92" s="228">
        <v>508</v>
      </c>
      <c r="BJ92" s="230">
        <v>1279</v>
      </c>
      <c r="BK92" s="228">
        <v>-771</v>
      </c>
      <c r="BL92" s="229">
        <v>-0.60289999999999999</v>
      </c>
      <c r="BM92" s="228">
        <v>193</v>
      </c>
      <c r="BN92" s="228">
        <v>411</v>
      </c>
      <c r="BO92" s="228">
        <v>-218</v>
      </c>
      <c r="BP92" s="229">
        <v>-0.53039999999999998</v>
      </c>
      <c r="BQ92" s="228">
        <v>873</v>
      </c>
      <c r="BR92" s="230">
        <v>2060</v>
      </c>
      <c r="BS92" s="230">
        <v>-1188</v>
      </c>
      <c r="BT92" s="229">
        <v>-0.57650000000000001</v>
      </c>
      <c r="BU92" s="230">
        <v>1279276</v>
      </c>
      <c r="BV92" s="230">
        <v>3729734</v>
      </c>
      <c r="BW92" s="230">
        <v>-2450458</v>
      </c>
      <c r="BX92" s="229">
        <v>-0.65700000000000003</v>
      </c>
      <c r="BY92" s="228">
        <v>805</v>
      </c>
      <c r="BZ92" s="228">
        <v>810</v>
      </c>
      <c r="CA92" s="228">
        <v>-5</v>
      </c>
      <c r="CB92" s="229">
        <v>-5.8999999999999999E-3</v>
      </c>
      <c r="CC92" s="228">
        <v>794</v>
      </c>
      <c r="CD92" s="228">
        <v>801</v>
      </c>
      <c r="CE92" s="228">
        <v>-7</v>
      </c>
      <c r="CF92" s="229">
        <v>-8.2000000000000007E-3</v>
      </c>
      <c r="CG92" s="228">
        <v>10</v>
      </c>
      <c r="CH92" s="228">
        <v>9</v>
      </c>
      <c r="CI92" s="228">
        <v>1</v>
      </c>
      <c r="CJ92" s="229">
        <v>0.12609999999999999</v>
      </c>
      <c r="CK92" s="228">
        <v>1</v>
      </c>
      <c r="CL92" s="228">
        <v>0</v>
      </c>
      <c r="CM92" s="228">
        <v>1</v>
      </c>
      <c r="CN92" s="229">
        <v>7</v>
      </c>
      <c r="CO92" s="228">
        <v>286</v>
      </c>
      <c r="CP92" s="228">
        <v>271</v>
      </c>
      <c r="CQ92" s="228">
        <v>15</v>
      </c>
      <c r="CR92" s="229">
        <v>5.4699999999999999E-2</v>
      </c>
      <c r="CS92" s="228">
        <v>225</v>
      </c>
      <c r="CT92" s="228">
        <v>230</v>
      </c>
      <c r="CU92" s="228">
        <v>-5</v>
      </c>
      <c r="CV92" s="229">
        <v>-2.0400000000000001E-2</v>
      </c>
      <c r="CW92" s="230">
        <v>1316</v>
      </c>
      <c r="CX92" s="230">
        <v>1311</v>
      </c>
      <c r="CY92" s="228">
        <v>5</v>
      </c>
      <c r="CZ92" s="229">
        <v>4.1000000000000003E-3</v>
      </c>
      <c r="DA92" s="228">
        <v>27.52</v>
      </c>
      <c r="DB92" s="228">
        <v>27.26</v>
      </c>
      <c r="DC92" s="228">
        <v>0.26</v>
      </c>
      <c r="DD92" s="228">
        <v>0.26</v>
      </c>
      <c r="DE92" s="228">
        <v>37.369999999999997</v>
      </c>
      <c r="DF92" s="228">
        <v>37.46</v>
      </c>
      <c r="DG92" s="228">
        <v>-9.85</v>
      </c>
      <c r="DH92" s="228">
        <v>-0.09</v>
      </c>
      <c r="DI92" s="228">
        <v>27.44</v>
      </c>
      <c r="DJ92" s="228">
        <v>27.07</v>
      </c>
      <c r="DK92" s="228">
        <v>0.37</v>
      </c>
      <c r="DL92" s="228">
        <v>0.37</v>
      </c>
      <c r="DM92" s="228">
        <v>27.71</v>
      </c>
      <c r="DN92" s="228">
        <v>27.85</v>
      </c>
      <c r="DO92" s="228">
        <v>-0.14000000000000001</v>
      </c>
      <c r="DP92" s="228">
        <v>-0.14000000000000001</v>
      </c>
      <c r="DQ92" s="228">
        <v>0.79</v>
      </c>
      <c r="DR92" s="228">
        <v>0.85</v>
      </c>
      <c r="DS92" s="228">
        <v>-0.06</v>
      </c>
      <c r="DT92" s="229">
        <v>-7.0599999999999996E-2</v>
      </c>
      <c r="DU92" s="228">
        <v>840</v>
      </c>
      <c r="DV92" s="228">
        <v>800</v>
      </c>
      <c r="DW92" s="228">
        <v>0.38</v>
      </c>
      <c r="DX92" s="228">
        <v>0.32</v>
      </c>
      <c r="DY92" s="228">
        <v>0.06</v>
      </c>
      <c r="DZ92" s="229">
        <v>0.1875</v>
      </c>
      <c r="EA92" s="229">
        <v>1.38E-2</v>
      </c>
      <c r="EB92" s="230">
        <v>112000</v>
      </c>
      <c r="EC92" s="229">
        <v>4.8999999999999998E-3</v>
      </c>
      <c r="ED92" s="229">
        <v>1.38E-2</v>
      </c>
      <c r="EE92" s="228">
        <v>3.3</v>
      </c>
      <c r="EF92" s="229">
        <v>3.8999999999999998E-3</v>
      </c>
      <c r="EG92" s="230">
        <v>427832</v>
      </c>
      <c r="EH92" s="230">
        <v>1667472</v>
      </c>
      <c r="EI92" s="229">
        <v>-0.74339999999999995</v>
      </c>
      <c r="EJ92" s="229">
        <v>0.33439999999999998</v>
      </c>
      <c r="EK92" s="228">
        <v>531.52</v>
      </c>
      <c r="EL92" s="228">
        <v>189.08</v>
      </c>
      <c r="EM92" s="228">
        <v>172.23</v>
      </c>
      <c r="EN92" s="228">
        <v>79.61</v>
      </c>
      <c r="EO92" s="228">
        <v>892.84</v>
      </c>
      <c r="EP92" s="231">
        <v>2084.16</v>
      </c>
      <c r="EQ92" s="231">
        <v>-1191.32</v>
      </c>
      <c r="ER92" s="229">
        <v>-0.5716</v>
      </c>
      <c r="ES92" s="228">
        <v>290.76</v>
      </c>
      <c r="ET92" s="228">
        <v>214.52</v>
      </c>
      <c r="EU92" s="228">
        <v>805.23</v>
      </c>
      <c r="EV92" s="231">
        <v>52862157</v>
      </c>
      <c r="EW92" s="231">
        <v>1310.5</v>
      </c>
      <c r="EX92" s="231">
        <v>1305.44</v>
      </c>
      <c r="EY92" s="228">
        <v>5.0599999999999996</v>
      </c>
      <c r="EZ92" s="229">
        <v>3.8999999999999998E-3</v>
      </c>
      <c r="FA92" s="229">
        <v>0.29709999999999998</v>
      </c>
      <c r="FB92" s="227" t="s">
        <v>568</v>
      </c>
      <c r="FC92">
        <f t="shared" si="1"/>
        <v>11</v>
      </c>
    </row>
    <row r="93" spans="1:159" ht="17.25" thickBot="1" x14ac:dyDescent="0.3">
      <c r="A93" s="226">
        <v>46023</v>
      </c>
      <c r="B93" s="227" t="s">
        <v>181</v>
      </c>
      <c r="C93" s="227" t="s">
        <v>688</v>
      </c>
      <c r="D93" s="228">
        <v>1</v>
      </c>
      <c r="E93" s="228">
        <v>26</v>
      </c>
      <c r="F93" s="228">
        <v>9.19</v>
      </c>
      <c r="G93" s="228">
        <v>9.4700000000000006</v>
      </c>
      <c r="H93" s="228">
        <v>-0.28999999999999998</v>
      </c>
      <c r="I93" s="229">
        <v>-3.0099999999999998E-2</v>
      </c>
      <c r="J93" s="228">
        <v>9.19</v>
      </c>
      <c r="K93" s="228">
        <v>9.4700000000000006</v>
      </c>
      <c r="L93" s="228">
        <v>-0.28999999999999998</v>
      </c>
      <c r="M93" s="229">
        <v>-3.0099999999999998E-2</v>
      </c>
      <c r="N93" s="228">
        <v>0</v>
      </c>
      <c r="O93" s="228">
        <v>0</v>
      </c>
      <c r="P93" s="228">
        <v>0</v>
      </c>
      <c r="Q93" s="229">
        <v>0</v>
      </c>
      <c r="R93" s="228">
        <v>0</v>
      </c>
      <c r="S93" s="228">
        <v>0</v>
      </c>
      <c r="T93" s="228">
        <v>0</v>
      </c>
      <c r="U93" s="229">
        <v>0</v>
      </c>
      <c r="V93" s="228">
        <v>0</v>
      </c>
      <c r="W93" s="228">
        <v>0</v>
      </c>
      <c r="X93" s="228">
        <v>0</v>
      </c>
      <c r="Y93" s="229">
        <v>0</v>
      </c>
      <c r="Z93" s="228">
        <v>0</v>
      </c>
      <c r="AA93" s="228">
        <v>0</v>
      </c>
      <c r="AB93" s="228">
        <v>0</v>
      </c>
      <c r="AC93" s="229">
        <v>0</v>
      </c>
      <c r="AD93" s="228">
        <v>0</v>
      </c>
      <c r="AE93" s="228">
        <v>0</v>
      </c>
      <c r="AF93" s="228">
        <v>0</v>
      </c>
      <c r="AG93" s="229">
        <v>0</v>
      </c>
      <c r="AH93" s="228">
        <v>0</v>
      </c>
      <c r="AI93" s="228">
        <v>0</v>
      </c>
      <c r="AJ93" s="228">
        <v>0</v>
      </c>
      <c r="AK93" s="229">
        <v>0</v>
      </c>
      <c r="AL93" s="228">
        <v>0</v>
      </c>
      <c r="AM93" s="228">
        <v>0</v>
      </c>
      <c r="AN93" s="228">
        <v>0</v>
      </c>
      <c r="AO93" s="229">
        <v>0</v>
      </c>
      <c r="AP93" s="228">
        <v>0</v>
      </c>
      <c r="AQ93" s="228">
        <v>0</v>
      </c>
      <c r="AR93" s="228">
        <v>0</v>
      </c>
      <c r="AS93" s="228">
        <v>0</v>
      </c>
      <c r="AT93" s="228">
        <v>0</v>
      </c>
      <c r="AU93" s="228">
        <v>0</v>
      </c>
      <c r="AV93" s="229">
        <v>0</v>
      </c>
      <c r="AW93" s="228">
        <v>0</v>
      </c>
      <c r="AX93" s="228">
        <v>0</v>
      </c>
      <c r="AY93" s="228">
        <v>0</v>
      </c>
      <c r="AZ93" s="229">
        <v>0</v>
      </c>
      <c r="BA93" s="228">
        <v>0</v>
      </c>
      <c r="BB93" s="228">
        <v>0</v>
      </c>
      <c r="BC93" s="228">
        <v>0</v>
      </c>
      <c r="BD93" s="229">
        <v>0</v>
      </c>
      <c r="BE93" s="228">
        <v>0</v>
      </c>
      <c r="BF93" s="228">
        <v>0</v>
      </c>
      <c r="BG93" s="228">
        <v>0</v>
      </c>
      <c r="BH93" s="229">
        <v>0</v>
      </c>
      <c r="BI93" s="228">
        <v>0</v>
      </c>
      <c r="BJ93" s="228">
        <v>0</v>
      </c>
      <c r="BK93" s="228">
        <v>0</v>
      </c>
      <c r="BL93" s="229">
        <v>0</v>
      </c>
      <c r="BM93" s="228">
        <v>0</v>
      </c>
      <c r="BN93" s="228">
        <v>0</v>
      </c>
      <c r="BO93" s="228">
        <v>0</v>
      </c>
      <c r="BP93" s="229">
        <v>0</v>
      </c>
      <c r="BQ93" s="228">
        <v>0</v>
      </c>
      <c r="BR93" s="228">
        <v>0</v>
      </c>
      <c r="BS93" s="228">
        <v>0</v>
      </c>
      <c r="BT93" s="229">
        <v>0</v>
      </c>
      <c r="BU93" s="228">
        <v>0</v>
      </c>
      <c r="BV93" s="228">
        <v>0</v>
      </c>
      <c r="BW93" s="228">
        <v>0</v>
      </c>
      <c r="BX93" s="229">
        <v>0</v>
      </c>
      <c r="BY93" s="228">
        <v>0</v>
      </c>
      <c r="BZ93" s="228">
        <v>0</v>
      </c>
      <c r="CA93" s="228">
        <v>0</v>
      </c>
      <c r="CB93" s="229">
        <v>0</v>
      </c>
      <c r="CC93" s="228">
        <v>0</v>
      </c>
      <c r="CD93" s="228">
        <v>0</v>
      </c>
      <c r="CE93" s="228">
        <v>0</v>
      </c>
      <c r="CF93" s="229">
        <v>0</v>
      </c>
      <c r="CG93" s="228">
        <v>0</v>
      </c>
      <c r="CH93" s="228">
        <v>0</v>
      </c>
      <c r="CI93" s="228">
        <v>0</v>
      </c>
      <c r="CJ93" s="229">
        <v>0</v>
      </c>
      <c r="CK93" s="228">
        <v>0</v>
      </c>
      <c r="CL93" s="228">
        <v>0</v>
      </c>
      <c r="CM93" s="228">
        <v>0</v>
      </c>
      <c r="CN93" s="229">
        <v>0</v>
      </c>
      <c r="CO93" s="228">
        <v>0</v>
      </c>
      <c r="CP93" s="228">
        <v>0</v>
      </c>
      <c r="CQ93" s="228">
        <v>0</v>
      </c>
      <c r="CR93" s="229">
        <v>0</v>
      </c>
      <c r="CS93" s="228">
        <v>0</v>
      </c>
      <c r="CT93" s="228">
        <v>0</v>
      </c>
      <c r="CU93" s="228">
        <v>0</v>
      </c>
      <c r="CV93" s="229">
        <v>0</v>
      </c>
      <c r="CW93" s="228">
        <v>0</v>
      </c>
      <c r="CX93" s="228">
        <v>0</v>
      </c>
      <c r="CY93" s="228">
        <v>0</v>
      </c>
      <c r="CZ93" s="229">
        <v>0</v>
      </c>
      <c r="DA93" s="228">
        <v>0</v>
      </c>
      <c r="DB93" s="228">
        <v>0</v>
      </c>
      <c r="DC93" s="228">
        <v>0</v>
      </c>
      <c r="DD93" s="228">
        <v>0</v>
      </c>
      <c r="DE93" s="228">
        <v>0</v>
      </c>
      <c r="DF93" s="228">
        <v>0</v>
      </c>
      <c r="DG93" s="228">
        <v>0</v>
      </c>
      <c r="DH93" s="228">
        <v>0</v>
      </c>
      <c r="DI93" s="228">
        <v>0</v>
      </c>
      <c r="DJ93" s="228">
        <v>0</v>
      </c>
      <c r="DK93" s="228">
        <v>0</v>
      </c>
      <c r="DL93" s="228">
        <v>0</v>
      </c>
      <c r="DM93" s="228">
        <v>0</v>
      </c>
      <c r="DN93" s="228">
        <v>0</v>
      </c>
      <c r="DO93" s="228">
        <v>0</v>
      </c>
      <c r="DP93" s="228">
        <v>0</v>
      </c>
      <c r="DQ93" s="228">
        <v>0</v>
      </c>
      <c r="DR93" s="228">
        <v>0</v>
      </c>
      <c r="DS93" s="228">
        <v>0</v>
      </c>
      <c r="DT93" s="229">
        <v>0</v>
      </c>
      <c r="DU93" s="228">
        <v>0</v>
      </c>
      <c r="DV93" s="228">
        <v>0</v>
      </c>
      <c r="DW93" s="228">
        <v>0</v>
      </c>
      <c r="DX93" s="228">
        <v>0</v>
      </c>
      <c r="DY93" s="228">
        <v>0</v>
      </c>
      <c r="DZ93" s="229">
        <v>0</v>
      </c>
      <c r="EA93" s="229">
        <v>0</v>
      </c>
      <c r="EB93" s="228">
        <v>0</v>
      </c>
      <c r="EC93" s="229">
        <v>0</v>
      </c>
      <c r="ED93" s="229">
        <v>0</v>
      </c>
      <c r="EE93" s="228">
        <v>0</v>
      </c>
      <c r="EF93" s="229">
        <v>0</v>
      </c>
      <c r="EG93" s="228">
        <v>0</v>
      </c>
      <c r="EH93" s="228">
        <v>0</v>
      </c>
      <c r="EI93" s="229">
        <v>0</v>
      </c>
      <c r="EJ93" s="229">
        <v>0</v>
      </c>
      <c r="EK93" s="228">
        <v>0</v>
      </c>
      <c r="EL93" s="228">
        <v>0</v>
      </c>
      <c r="EM93" s="228">
        <v>0</v>
      </c>
      <c r="EN93" s="228">
        <v>0</v>
      </c>
      <c r="EO93" s="228">
        <v>0</v>
      </c>
      <c r="EP93" s="228">
        <v>0</v>
      </c>
      <c r="EQ93" s="228">
        <v>0</v>
      </c>
      <c r="ER93" s="229">
        <v>0</v>
      </c>
      <c r="ES93" s="228">
        <v>0</v>
      </c>
      <c r="ET93" s="228">
        <v>0</v>
      </c>
      <c r="EU93" s="228">
        <v>0</v>
      </c>
      <c r="EV93" s="228">
        <v>0</v>
      </c>
      <c r="EW93" s="228">
        <v>0</v>
      </c>
      <c r="EX93" s="228">
        <v>0</v>
      </c>
      <c r="EY93" s="228">
        <v>0</v>
      </c>
      <c r="EZ93" s="229">
        <v>0</v>
      </c>
      <c r="FA93" s="229">
        <v>0</v>
      </c>
      <c r="FB93" s="227" t="s">
        <v>237</v>
      </c>
      <c r="FC93">
        <f t="shared" si="1"/>
        <v>0</v>
      </c>
    </row>
    <row r="94" spans="1:159" ht="17.25" thickBot="1" x14ac:dyDescent="0.3">
      <c r="A94" s="226">
        <v>46023</v>
      </c>
      <c r="B94" s="227" t="s">
        <v>215</v>
      </c>
      <c r="C94" s="227" t="s">
        <v>238</v>
      </c>
      <c r="D94" s="228">
        <v>150</v>
      </c>
      <c r="E94" s="228">
        <v>26</v>
      </c>
      <c r="F94" s="231">
        <v>5141.5</v>
      </c>
      <c r="G94" s="231">
        <v>5077.5</v>
      </c>
      <c r="H94" s="228">
        <v>64</v>
      </c>
      <c r="I94" s="229">
        <v>1.26E-2</v>
      </c>
      <c r="J94" s="231">
        <v>5110.5</v>
      </c>
      <c r="K94" s="231">
        <v>5059.5</v>
      </c>
      <c r="L94" s="228">
        <v>51</v>
      </c>
      <c r="M94" s="229">
        <v>1.01E-2</v>
      </c>
      <c r="N94" s="231">
        <v>5141.5</v>
      </c>
      <c r="O94" s="231">
        <v>5077.5</v>
      </c>
      <c r="P94" s="228">
        <v>64</v>
      </c>
      <c r="Q94" s="229">
        <v>1.26E-2</v>
      </c>
      <c r="R94" s="231">
        <v>5170.5</v>
      </c>
      <c r="S94" s="231">
        <v>5107</v>
      </c>
      <c r="T94" s="228">
        <v>63.5</v>
      </c>
      <c r="U94" s="229">
        <v>1.24E-2</v>
      </c>
      <c r="V94" s="231">
        <v>5200</v>
      </c>
      <c r="W94" s="231">
        <v>5126</v>
      </c>
      <c r="X94" s="228">
        <v>74</v>
      </c>
      <c r="Y94" s="229">
        <v>1.44E-2</v>
      </c>
      <c r="Z94" s="228">
        <v>31</v>
      </c>
      <c r="AA94" s="228">
        <v>18</v>
      </c>
      <c r="AB94" s="228">
        <v>13</v>
      </c>
      <c r="AC94" s="229">
        <v>6.1000000000000004E-3</v>
      </c>
      <c r="AD94" s="228">
        <v>31</v>
      </c>
      <c r="AE94" s="228">
        <v>18</v>
      </c>
      <c r="AF94" s="228">
        <v>13</v>
      </c>
      <c r="AG94" s="229">
        <v>6.1000000000000004E-3</v>
      </c>
      <c r="AH94" s="228">
        <v>60</v>
      </c>
      <c r="AI94" s="228">
        <v>47.5</v>
      </c>
      <c r="AJ94" s="228">
        <v>12.5</v>
      </c>
      <c r="AK94" s="229">
        <v>1.17E-2</v>
      </c>
      <c r="AL94" s="228">
        <v>89.5</v>
      </c>
      <c r="AM94" s="228">
        <v>66.5</v>
      </c>
      <c r="AN94" s="228">
        <v>23</v>
      </c>
      <c r="AO94" s="229">
        <v>1.7500000000000002E-2</v>
      </c>
      <c r="AP94" s="231">
        <v>5143.37</v>
      </c>
      <c r="AQ94" s="231">
        <v>5173.05</v>
      </c>
      <c r="AR94" s="228">
        <v>0</v>
      </c>
      <c r="AS94" s="228">
        <v>616</v>
      </c>
      <c r="AT94" s="228">
        <v>477</v>
      </c>
      <c r="AU94" s="228">
        <v>139</v>
      </c>
      <c r="AV94" s="229">
        <v>0.29060000000000002</v>
      </c>
      <c r="AW94" s="228">
        <v>576</v>
      </c>
      <c r="AX94" s="228">
        <v>454</v>
      </c>
      <c r="AY94" s="228">
        <v>122</v>
      </c>
      <c r="AZ94" s="229">
        <v>0.2676</v>
      </c>
      <c r="BA94" s="228">
        <v>35</v>
      </c>
      <c r="BB94" s="228">
        <v>21</v>
      </c>
      <c r="BC94" s="228">
        <v>14</v>
      </c>
      <c r="BD94" s="229">
        <v>0.67159999999999997</v>
      </c>
      <c r="BE94" s="228">
        <v>5</v>
      </c>
      <c r="BF94" s="228">
        <v>2</v>
      </c>
      <c r="BG94" s="228">
        <v>3</v>
      </c>
      <c r="BH94" s="229">
        <v>1.5769</v>
      </c>
      <c r="BI94" s="230">
        <v>3491</v>
      </c>
      <c r="BJ94" s="230">
        <v>1951</v>
      </c>
      <c r="BK94" s="230">
        <v>1540</v>
      </c>
      <c r="BL94" s="229">
        <v>0.78910000000000002</v>
      </c>
      <c r="BM94" s="230">
        <v>1698</v>
      </c>
      <c r="BN94" s="230">
        <v>1535</v>
      </c>
      <c r="BO94" s="228">
        <v>163</v>
      </c>
      <c r="BP94" s="229">
        <v>0.10630000000000001</v>
      </c>
      <c r="BQ94" s="230">
        <v>5805</v>
      </c>
      <c r="BR94" s="230">
        <v>3963</v>
      </c>
      <c r="BS94" s="230">
        <v>1842</v>
      </c>
      <c r="BT94" s="229">
        <v>0.4647</v>
      </c>
      <c r="BU94" s="230">
        <v>796221</v>
      </c>
      <c r="BV94" s="230">
        <v>950389</v>
      </c>
      <c r="BW94" s="230">
        <v>-154168</v>
      </c>
      <c r="BX94" s="229">
        <v>-0.16220000000000001</v>
      </c>
      <c r="BY94" s="230">
        <v>4378</v>
      </c>
      <c r="BZ94" s="230">
        <v>4417</v>
      </c>
      <c r="CA94" s="228">
        <v>-39</v>
      </c>
      <c r="CB94" s="229">
        <v>-8.8999999999999999E-3</v>
      </c>
      <c r="CC94" s="230">
        <v>4260</v>
      </c>
      <c r="CD94" s="230">
        <v>4310</v>
      </c>
      <c r="CE94" s="228">
        <v>-50</v>
      </c>
      <c r="CF94" s="229">
        <v>-1.1599999999999999E-2</v>
      </c>
      <c r="CG94" s="228">
        <v>113</v>
      </c>
      <c r="CH94" s="228">
        <v>105</v>
      </c>
      <c r="CI94" s="228">
        <v>8</v>
      </c>
      <c r="CJ94" s="229">
        <v>7.46E-2</v>
      </c>
      <c r="CK94" s="228">
        <v>5</v>
      </c>
      <c r="CL94" s="228">
        <v>2</v>
      </c>
      <c r="CM94" s="228">
        <v>3</v>
      </c>
      <c r="CN94" s="229">
        <v>1.5417000000000001</v>
      </c>
      <c r="CO94" s="230">
        <v>1873</v>
      </c>
      <c r="CP94" s="230">
        <v>1695</v>
      </c>
      <c r="CQ94" s="228">
        <v>179</v>
      </c>
      <c r="CR94" s="229">
        <v>0.10539999999999999</v>
      </c>
      <c r="CS94" s="230">
        <v>1699</v>
      </c>
      <c r="CT94" s="230">
        <v>1650</v>
      </c>
      <c r="CU94" s="228">
        <v>49</v>
      </c>
      <c r="CV94" s="229">
        <v>2.9399999999999999E-2</v>
      </c>
      <c r="CW94" s="230">
        <v>7950</v>
      </c>
      <c r="CX94" s="230">
        <v>7762</v>
      </c>
      <c r="CY94" s="228">
        <v>188</v>
      </c>
      <c r="CZ94" s="229">
        <v>2.4199999999999999E-2</v>
      </c>
      <c r="DA94" s="228">
        <v>24.09</v>
      </c>
      <c r="DB94" s="228">
        <v>24.5</v>
      </c>
      <c r="DC94" s="228">
        <v>-0.41</v>
      </c>
      <c r="DD94" s="228">
        <v>-0.41</v>
      </c>
      <c r="DE94" s="228">
        <v>33.32</v>
      </c>
      <c r="DF94" s="228">
        <v>33.380000000000003</v>
      </c>
      <c r="DG94" s="228">
        <v>-9.23</v>
      </c>
      <c r="DH94" s="228">
        <v>-0.06</v>
      </c>
      <c r="DI94" s="228">
        <v>23.51</v>
      </c>
      <c r="DJ94" s="228">
        <v>23.59</v>
      </c>
      <c r="DK94" s="228">
        <v>-0.08</v>
      </c>
      <c r="DL94" s="228">
        <v>-0.08</v>
      </c>
      <c r="DM94" s="228">
        <v>25.27</v>
      </c>
      <c r="DN94" s="228">
        <v>25.65</v>
      </c>
      <c r="DO94" s="228">
        <v>-0.38</v>
      </c>
      <c r="DP94" s="228">
        <v>-0.38</v>
      </c>
      <c r="DQ94" s="228">
        <v>0.91</v>
      </c>
      <c r="DR94" s="228">
        <v>0.97</v>
      </c>
      <c r="DS94" s="228">
        <v>-0.06</v>
      </c>
      <c r="DT94" s="229">
        <v>-6.1899999999999997E-2</v>
      </c>
      <c r="DU94" s="231">
        <v>5500</v>
      </c>
      <c r="DV94" s="231">
        <v>5000</v>
      </c>
      <c r="DW94" s="228">
        <v>0.49</v>
      </c>
      <c r="DX94" s="228">
        <v>0.79</v>
      </c>
      <c r="DY94" s="228">
        <v>-0.3</v>
      </c>
      <c r="DZ94" s="229">
        <v>-0.37969999999999998</v>
      </c>
      <c r="EA94" s="229">
        <v>2.7E-2</v>
      </c>
      <c r="EB94" s="230">
        <v>208650</v>
      </c>
      <c r="EC94" s="229">
        <v>5.5999999999999999E-3</v>
      </c>
      <c r="ED94" s="229">
        <v>2.7E-2</v>
      </c>
      <c r="EE94" s="228">
        <v>29.68</v>
      </c>
      <c r="EF94" s="229">
        <v>5.7999999999999996E-3</v>
      </c>
      <c r="EG94" s="230">
        <v>244251</v>
      </c>
      <c r="EH94" s="230">
        <v>509456</v>
      </c>
      <c r="EI94" s="229">
        <v>-0.52059999999999995</v>
      </c>
      <c r="EJ94" s="229">
        <v>0.30680000000000002</v>
      </c>
      <c r="EK94" s="231">
        <v>3657.33</v>
      </c>
      <c r="EL94" s="231">
        <v>1650.69</v>
      </c>
      <c r="EM94" s="228">
        <v>616.29999999999995</v>
      </c>
      <c r="EN94" s="228">
        <v>289.63</v>
      </c>
      <c r="EO94" s="231">
        <v>5924.31</v>
      </c>
      <c r="EP94" s="231">
        <v>3975.14</v>
      </c>
      <c r="EQ94" s="231">
        <v>1949.18</v>
      </c>
      <c r="ER94" s="229">
        <v>0.49030000000000001</v>
      </c>
      <c r="ES94" s="231">
        <v>1968.87</v>
      </c>
      <c r="ET94" s="231">
        <v>1616.17</v>
      </c>
      <c r="EU94" s="231">
        <v>4378.47</v>
      </c>
      <c r="EV94" s="231">
        <v>33874835</v>
      </c>
      <c r="EW94" s="231">
        <v>7963.52</v>
      </c>
      <c r="EX94" s="231">
        <v>7712.42</v>
      </c>
      <c r="EY94" s="228">
        <v>251.1</v>
      </c>
      <c r="EZ94" s="229">
        <v>3.2599999999999997E-2</v>
      </c>
      <c r="FA94" s="229">
        <v>0.45639999999999997</v>
      </c>
      <c r="FB94" s="227" t="s">
        <v>556</v>
      </c>
      <c r="FC94">
        <f t="shared" si="1"/>
        <v>118</v>
      </c>
    </row>
    <row r="95" spans="1:159" ht="17.25" thickBot="1" x14ac:dyDescent="0.3">
      <c r="A95" s="226">
        <v>46023</v>
      </c>
      <c r="B95" s="227" t="s">
        <v>172</v>
      </c>
      <c r="C95" s="227" t="s">
        <v>239</v>
      </c>
      <c r="D95" s="228">
        <v>700</v>
      </c>
      <c r="E95" s="228">
        <v>26</v>
      </c>
      <c r="F95" s="228">
        <v>893.65</v>
      </c>
      <c r="G95" s="228">
        <v>867.45</v>
      </c>
      <c r="H95" s="228">
        <v>26.2</v>
      </c>
      <c r="I95" s="229">
        <v>3.0200000000000001E-2</v>
      </c>
      <c r="J95" s="228">
        <v>890.2</v>
      </c>
      <c r="K95" s="228">
        <v>864.2</v>
      </c>
      <c r="L95" s="228">
        <v>26</v>
      </c>
      <c r="M95" s="229">
        <v>3.0099999999999998E-2</v>
      </c>
      <c r="N95" s="228">
        <v>893.65</v>
      </c>
      <c r="O95" s="228">
        <v>867.45</v>
      </c>
      <c r="P95" s="228">
        <v>26.2</v>
      </c>
      <c r="Q95" s="229">
        <v>3.0200000000000001E-2</v>
      </c>
      <c r="R95" s="228">
        <v>898.4</v>
      </c>
      <c r="S95" s="228">
        <v>873.05</v>
      </c>
      <c r="T95" s="228">
        <v>25.35</v>
      </c>
      <c r="U95" s="229">
        <v>2.9000000000000001E-2</v>
      </c>
      <c r="V95" s="228">
        <v>904.6</v>
      </c>
      <c r="W95" s="228">
        <v>877.25</v>
      </c>
      <c r="X95" s="228">
        <v>27.35</v>
      </c>
      <c r="Y95" s="229">
        <v>3.1199999999999999E-2</v>
      </c>
      <c r="Z95" s="228">
        <v>3.45</v>
      </c>
      <c r="AA95" s="228">
        <v>3.25</v>
      </c>
      <c r="AB95" s="228">
        <v>0.2</v>
      </c>
      <c r="AC95" s="229">
        <v>3.8999999999999998E-3</v>
      </c>
      <c r="AD95" s="228">
        <v>3.45</v>
      </c>
      <c r="AE95" s="228">
        <v>3.25</v>
      </c>
      <c r="AF95" s="228">
        <v>0.2</v>
      </c>
      <c r="AG95" s="229">
        <v>3.8999999999999998E-3</v>
      </c>
      <c r="AH95" s="228">
        <v>8.1999999999999993</v>
      </c>
      <c r="AI95" s="228">
        <v>8.85</v>
      </c>
      <c r="AJ95" s="228">
        <v>-0.65</v>
      </c>
      <c r="AK95" s="229">
        <v>9.1999999999999998E-3</v>
      </c>
      <c r="AL95" s="228">
        <v>14.4</v>
      </c>
      <c r="AM95" s="228">
        <v>13.05</v>
      </c>
      <c r="AN95" s="228">
        <v>1.35</v>
      </c>
      <c r="AO95" s="229">
        <v>1.6199999999999999E-2</v>
      </c>
      <c r="AP95" s="228">
        <v>883.99</v>
      </c>
      <c r="AQ95" s="228">
        <v>889.84</v>
      </c>
      <c r="AR95" s="228">
        <v>0</v>
      </c>
      <c r="AS95" s="228">
        <v>653</v>
      </c>
      <c r="AT95" s="228">
        <v>886</v>
      </c>
      <c r="AU95" s="228">
        <v>-232</v>
      </c>
      <c r="AV95" s="229">
        <v>-0.2621</v>
      </c>
      <c r="AW95" s="228">
        <v>637</v>
      </c>
      <c r="AX95" s="228">
        <v>857</v>
      </c>
      <c r="AY95" s="228">
        <v>-219</v>
      </c>
      <c r="AZ95" s="229">
        <v>-0.25580000000000003</v>
      </c>
      <c r="BA95" s="228">
        <v>15</v>
      </c>
      <c r="BB95" s="228">
        <v>28</v>
      </c>
      <c r="BC95" s="228">
        <v>-13</v>
      </c>
      <c r="BD95" s="229">
        <v>-0.47289999999999999</v>
      </c>
      <c r="BE95" s="228">
        <v>1</v>
      </c>
      <c r="BF95" s="228">
        <v>1</v>
      </c>
      <c r="BG95" s="228">
        <v>0</v>
      </c>
      <c r="BH95" s="229">
        <v>0</v>
      </c>
      <c r="BI95" s="230">
        <v>1908</v>
      </c>
      <c r="BJ95" s="230">
        <v>1880</v>
      </c>
      <c r="BK95" s="228">
        <v>27</v>
      </c>
      <c r="BL95" s="229">
        <v>1.4500000000000001E-2</v>
      </c>
      <c r="BM95" s="230">
        <v>1053</v>
      </c>
      <c r="BN95" s="230">
        <v>1179</v>
      </c>
      <c r="BO95" s="228">
        <v>-127</v>
      </c>
      <c r="BP95" s="229">
        <v>-0.1075</v>
      </c>
      <c r="BQ95" s="230">
        <v>3614</v>
      </c>
      <c r="BR95" s="230">
        <v>3946</v>
      </c>
      <c r="BS95" s="228">
        <v>-332</v>
      </c>
      <c r="BT95" s="229">
        <v>-8.4000000000000005E-2</v>
      </c>
      <c r="BU95" s="230">
        <v>4536679</v>
      </c>
      <c r="BV95" s="230">
        <v>3023808</v>
      </c>
      <c r="BW95" s="230">
        <v>1512871</v>
      </c>
      <c r="BX95" s="229">
        <v>0.50029999999999997</v>
      </c>
      <c r="BY95" s="230">
        <v>4026</v>
      </c>
      <c r="BZ95" s="230">
        <v>4003</v>
      </c>
      <c r="CA95" s="228">
        <v>23</v>
      </c>
      <c r="CB95" s="229">
        <v>5.7000000000000002E-3</v>
      </c>
      <c r="CC95" s="230">
        <v>3962</v>
      </c>
      <c r="CD95" s="230">
        <v>3940</v>
      </c>
      <c r="CE95" s="228">
        <v>22</v>
      </c>
      <c r="CF95" s="229">
        <v>5.5999999999999999E-3</v>
      </c>
      <c r="CG95" s="228">
        <v>61</v>
      </c>
      <c r="CH95" s="228">
        <v>61</v>
      </c>
      <c r="CI95" s="228">
        <v>0</v>
      </c>
      <c r="CJ95" s="229">
        <v>3.0999999999999999E-3</v>
      </c>
      <c r="CK95" s="228">
        <v>2</v>
      </c>
      <c r="CL95" s="228">
        <v>1</v>
      </c>
      <c r="CM95" s="228">
        <v>1</v>
      </c>
      <c r="CN95" s="229">
        <v>0.65</v>
      </c>
      <c r="CO95" s="228">
        <v>905</v>
      </c>
      <c r="CP95" s="228">
        <v>838</v>
      </c>
      <c r="CQ95" s="228">
        <v>68</v>
      </c>
      <c r="CR95" s="229">
        <v>8.0699999999999994E-2</v>
      </c>
      <c r="CS95" s="228">
        <v>813</v>
      </c>
      <c r="CT95" s="228">
        <v>584</v>
      </c>
      <c r="CU95" s="228">
        <v>229</v>
      </c>
      <c r="CV95" s="229">
        <v>0.39219999999999999</v>
      </c>
      <c r="CW95" s="230">
        <v>5744</v>
      </c>
      <c r="CX95" s="230">
        <v>5425</v>
      </c>
      <c r="CY95" s="228">
        <v>320</v>
      </c>
      <c r="CZ95" s="229">
        <v>5.8900000000000001E-2</v>
      </c>
      <c r="DA95" s="228">
        <v>27.14</v>
      </c>
      <c r="DB95" s="228">
        <v>27.09</v>
      </c>
      <c r="DC95" s="228">
        <v>0.05</v>
      </c>
      <c r="DD95" s="228">
        <v>0.05</v>
      </c>
      <c r="DE95" s="228">
        <v>43.66</v>
      </c>
      <c r="DF95" s="228">
        <v>43.59</v>
      </c>
      <c r="DG95" s="228">
        <v>-16.52</v>
      </c>
      <c r="DH95" s="228">
        <v>7.0000000000000007E-2</v>
      </c>
      <c r="DI95" s="228">
        <v>27.06</v>
      </c>
      <c r="DJ95" s="228">
        <v>26.79</v>
      </c>
      <c r="DK95" s="228">
        <v>0.27</v>
      </c>
      <c r="DL95" s="228">
        <v>0.27</v>
      </c>
      <c r="DM95" s="228">
        <v>27.28</v>
      </c>
      <c r="DN95" s="228">
        <v>27.57</v>
      </c>
      <c r="DO95" s="228">
        <v>-0.28999999999999998</v>
      </c>
      <c r="DP95" s="228">
        <v>-0.28999999999999998</v>
      </c>
      <c r="DQ95" s="228">
        <v>0.9</v>
      </c>
      <c r="DR95" s="228">
        <v>0.7</v>
      </c>
      <c r="DS95" s="228">
        <v>0.2</v>
      </c>
      <c r="DT95" s="229">
        <v>0.28570000000000001</v>
      </c>
      <c r="DU95" s="228">
        <v>900</v>
      </c>
      <c r="DV95" s="228">
        <v>900</v>
      </c>
      <c r="DW95" s="228">
        <v>0.55000000000000004</v>
      </c>
      <c r="DX95" s="228">
        <v>0.63</v>
      </c>
      <c r="DY95" s="228">
        <v>-0.08</v>
      </c>
      <c r="DZ95" s="229">
        <v>-0.127</v>
      </c>
      <c r="EA95" s="229">
        <v>1.5699999999999999E-2</v>
      </c>
      <c r="EB95" s="230">
        <v>697200</v>
      </c>
      <c r="EC95" s="229">
        <v>5.3E-3</v>
      </c>
      <c r="ED95" s="229">
        <v>1.5699999999999999E-2</v>
      </c>
      <c r="EE95" s="228">
        <v>5.85</v>
      </c>
      <c r="EF95" s="229">
        <v>6.6E-3</v>
      </c>
      <c r="EG95" s="230">
        <v>2104045</v>
      </c>
      <c r="EH95" s="230">
        <v>1368996</v>
      </c>
      <c r="EI95" s="229">
        <v>0.53690000000000004</v>
      </c>
      <c r="EJ95" s="229">
        <v>0.46379999999999999</v>
      </c>
      <c r="EK95" s="231">
        <v>1966.94</v>
      </c>
      <c r="EL95" s="231">
        <v>1018.6</v>
      </c>
      <c r="EM95" s="228">
        <v>646.5</v>
      </c>
      <c r="EN95" s="228">
        <v>321.51</v>
      </c>
      <c r="EO95" s="231">
        <v>3632.04</v>
      </c>
      <c r="EP95" s="231">
        <v>3869.01</v>
      </c>
      <c r="EQ95" s="228">
        <v>-236.97</v>
      </c>
      <c r="ER95" s="229">
        <v>-6.1199999999999997E-2</v>
      </c>
      <c r="ES95" s="228">
        <v>907.2</v>
      </c>
      <c r="ET95" s="228">
        <v>765.95</v>
      </c>
      <c r="EU95" s="231">
        <v>4025.98</v>
      </c>
      <c r="EV95" s="231">
        <v>93808799</v>
      </c>
      <c r="EW95" s="231">
        <v>5699.14</v>
      </c>
      <c r="EX95" s="231">
        <v>5265.54</v>
      </c>
      <c r="EY95" s="228">
        <v>433.6</v>
      </c>
      <c r="EZ95" s="229">
        <v>8.2299999999999998E-2</v>
      </c>
      <c r="FA95" s="229">
        <v>0.68520000000000003</v>
      </c>
      <c r="FB95" s="227" t="s">
        <v>555</v>
      </c>
      <c r="FC95">
        <f t="shared" si="1"/>
        <v>64</v>
      </c>
    </row>
    <row r="96" spans="1:159" ht="17.25" thickBot="1" x14ac:dyDescent="0.3">
      <c r="A96" s="226">
        <v>46023</v>
      </c>
      <c r="B96" s="227" t="s">
        <v>188</v>
      </c>
      <c r="C96" s="227" t="s">
        <v>473</v>
      </c>
      <c r="D96" s="228">
        <v>1700</v>
      </c>
      <c r="E96" s="228">
        <v>26</v>
      </c>
      <c r="F96" s="228">
        <v>438.8</v>
      </c>
      <c r="G96" s="228">
        <v>421.2</v>
      </c>
      <c r="H96" s="228">
        <v>17.600000000000001</v>
      </c>
      <c r="I96" s="229">
        <v>4.1799999999999997E-2</v>
      </c>
      <c r="J96" s="228">
        <v>435.8</v>
      </c>
      <c r="K96" s="228">
        <v>418.75</v>
      </c>
      <c r="L96" s="228">
        <v>17.05</v>
      </c>
      <c r="M96" s="229">
        <v>4.07E-2</v>
      </c>
      <c r="N96" s="228">
        <v>438.8</v>
      </c>
      <c r="O96" s="228">
        <v>421.2</v>
      </c>
      <c r="P96" s="228">
        <v>17.600000000000001</v>
      </c>
      <c r="Q96" s="229">
        <v>4.1799999999999997E-2</v>
      </c>
      <c r="R96" s="228">
        <v>440.95</v>
      </c>
      <c r="S96" s="228">
        <v>424</v>
      </c>
      <c r="T96" s="228">
        <v>16.95</v>
      </c>
      <c r="U96" s="229">
        <v>0.04</v>
      </c>
      <c r="V96" s="228">
        <v>443.8</v>
      </c>
      <c r="W96" s="228">
        <v>428.1</v>
      </c>
      <c r="X96" s="228">
        <v>15.7</v>
      </c>
      <c r="Y96" s="229">
        <v>3.6700000000000003E-2</v>
      </c>
      <c r="Z96" s="228">
        <v>3</v>
      </c>
      <c r="AA96" s="228">
        <v>2.4500000000000002</v>
      </c>
      <c r="AB96" s="228">
        <v>0.55000000000000004</v>
      </c>
      <c r="AC96" s="229">
        <v>6.8999999999999999E-3</v>
      </c>
      <c r="AD96" s="228">
        <v>3</v>
      </c>
      <c r="AE96" s="228">
        <v>2.4500000000000002</v>
      </c>
      <c r="AF96" s="228">
        <v>0.55000000000000004</v>
      </c>
      <c r="AG96" s="229">
        <v>6.8999999999999999E-3</v>
      </c>
      <c r="AH96" s="228">
        <v>5.15</v>
      </c>
      <c r="AI96" s="228">
        <v>5.25</v>
      </c>
      <c r="AJ96" s="228">
        <v>-0.1</v>
      </c>
      <c r="AK96" s="229">
        <v>1.18E-2</v>
      </c>
      <c r="AL96" s="228">
        <v>8</v>
      </c>
      <c r="AM96" s="228">
        <v>9.35</v>
      </c>
      <c r="AN96" s="228">
        <v>-1.35</v>
      </c>
      <c r="AO96" s="229">
        <v>1.84E-2</v>
      </c>
      <c r="AP96" s="228">
        <v>435.95</v>
      </c>
      <c r="AQ96" s="228">
        <v>438.21</v>
      </c>
      <c r="AR96" s="228">
        <v>0</v>
      </c>
      <c r="AS96" s="230">
        <v>1387</v>
      </c>
      <c r="AT96" s="230">
        <v>2448</v>
      </c>
      <c r="AU96" s="230">
        <v>-1061</v>
      </c>
      <c r="AV96" s="229">
        <v>-0.43330000000000002</v>
      </c>
      <c r="AW96" s="230">
        <v>1348</v>
      </c>
      <c r="AX96" s="230">
        <v>2384</v>
      </c>
      <c r="AY96" s="230">
        <v>-1036</v>
      </c>
      <c r="AZ96" s="229">
        <v>-0.43459999999999999</v>
      </c>
      <c r="BA96" s="228">
        <v>33</v>
      </c>
      <c r="BB96" s="228">
        <v>62</v>
      </c>
      <c r="BC96" s="228">
        <v>-28</v>
      </c>
      <c r="BD96" s="229">
        <v>-0.45710000000000001</v>
      </c>
      <c r="BE96" s="228">
        <v>6</v>
      </c>
      <c r="BF96" s="228">
        <v>3</v>
      </c>
      <c r="BG96" s="228">
        <v>3</v>
      </c>
      <c r="BH96" s="229">
        <v>1.1943999999999999</v>
      </c>
      <c r="BI96" s="230">
        <v>4250</v>
      </c>
      <c r="BJ96" s="230">
        <v>6082</v>
      </c>
      <c r="BK96" s="230">
        <v>-1832</v>
      </c>
      <c r="BL96" s="229">
        <v>-0.30120000000000002</v>
      </c>
      <c r="BM96" s="230">
        <v>1804</v>
      </c>
      <c r="BN96" s="230">
        <v>3133</v>
      </c>
      <c r="BO96" s="230">
        <v>-1329</v>
      </c>
      <c r="BP96" s="229">
        <v>-0.42430000000000001</v>
      </c>
      <c r="BQ96" s="230">
        <v>7441</v>
      </c>
      <c r="BR96" s="230">
        <v>11663</v>
      </c>
      <c r="BS96" s="230">
        <v>-4222</v>
      </c>
      <c r="BT96" s="229">
        <v>-0.36199999999999999</v>
      </c>
      <c r="BU96" s="230">
        <v>18788540</v>
      </c>
      <c r="BV96" s="230">
        <v>18285885</v>
      </c>
      <c r="BW96" s="230">
        <v>502655</v>
      </c>
      <c r="BX96" s="229">
        <v>2.75E-2</v>
      </c>
      <c r="BY96" s="230">
        <v>3988</v>
      </c>
      <c r="BZ96" s="230">
        <v>3895</v>
      </c>
      <c r="CA96" s="228">
        <v>93</v>
      </c>
      <c r="CB96" s="229">
        <v>2.3900000000000001E-2</v>
      </c>
      <c r="CC96" s="230">
        <v>3953</v>
      </c>
      <c r="CD96" s="230">
        <v>3866</v>
      </c>
      <c r="CE96" s="228">
        <v>87</v>
      </c>
      <c r="CF96" s="229">
        <v>2.2599999999999999E-2</v>
      </c>
      <c r="CG96" s="228">
        <v>30</v>
      </c>
      <c r="CH96" s="228">
        <v>27</v>
      </c>
      <c r="CI96" s="228">
        <v>3</v>
      </c>
      <c r="CJ96" s="229">
        <v>0.1201</v>
      </c>
      <c r="CK96" s="228">
        <v>5</v>
      </c>
      <c r="CL96" s="228">
        <v>2</v>
      </c>
      <c r="CM96" s="228">
        <v>3</v>
      </c>
      <c r="CN96" s="229">
        <v>1.3846000000000001</v>
      </c>
      <c r="CO96" s="228">
        <v>888</v>
      </c>
      <c r="CP96" s="228">
        <v>962</v>
      </c>
      <c r="CQ96" s="228">
        <v>-73</v>
      </c>
      <c r="CR96" s="229">
        <v>-7.6300000000000007E-2</v>
      </c>
      <c r="CS96" s="228">
        <v>677</v>
      </c>
      <c r="CT96" s="228">
        <v>575</v>
      </c>
      <c r="CU96" s="228">
        <v>102</v>
      </c>
      <c r="CV96" s="229">
        <v>0.17749999999999999</v>
      </c>
      <c r="CW96" s="230">
        <v>5554</v>
      </c>
      <c r="CX96" s="230">
        <v>5432</v>
      </c>
      <c r="CY96" s="228">
        <v>122</v>
      </c>
      <c r="CZ96" s="229">
        <v>2.24E-2</v>
      </c>
      <c r="DA96" s="228">
        <v>26.8</v>
      </c>
      <c r="DB96" s="228">
        <v>29.54</v>
      </c>
      <c r="DC96" s="228">
        <v>-2.74</v>
      </c>
      <c r="DD96" s="228">
        <v>-2.74</v>
      </c>
      <c r="DE96" s="228">
        <v>38.270000000000003</v>
      </c>
      <c r="DF96" s="228">
        <v>37.979999999999997</v>
      </c>
      <c r="DG96" s="228">
        <v>-11.47</v>
      </c>
      <c r="DH96" s="228">
        <v>0.28999999999999998</v>
      </c>
      <c r="DI96" s="228">
        <v>26.5</v>
      </c>
      <c r="DJ96" s="228">
        <v>29.39</v>
      </c>
      <c r="DK96" s="228">
        <v>-2.89</v>
      </c>
      <c r="DL96" s="228">
        <v>-2.89</v>
      </c>
      <c r="DM96" s="228">
        <v>27.5</v>
      </c>
      <c r="DN96" s="228">
        <v>29.83</v>
      </c>
      <c r="DO96" s="228">
        <v>-2.33</v>
      </c>
      <c r="DP96" s="228">
        <v>-2.33</v>
      </c>
      <c r="DQ96" s="228">
        <v>0.76</v>
      </c>
      <c r="DR96" s="228">
        <v>0.6</v>
      </c>
      <c r="DS96" s="228">
        <v>0.16</v>
      </c>
      <c r="DT96" s="229">
        <v>0.26669999999999999</v>
      </c>
      <c r="DU96" s="228">
        <v>430</v>
      </c>
      <c r="DV96" s="228">
        <v>420</v>
      </c>
      <c r="DW96" s="228">
        <v>0.42</v>
      </c>
      <c r="DX96" s="228">
        <v>0.52</v>
      </c>
      <c r="DY96" s="228">
        <v>-0.1</v>
      </c>
      <c r="DZ96" s="229">
        <v>-0.1923</v>
      </c>
      <c r="EA96" s="229">
        <v>8.6999999999999994E-3</v>
      </c>
      <c r="EB96" s="230">
        <v>652800</v>
      </c>
      <c r="EC96" s="229">
        <v>4.8999999999999998E-3</v>
      </c>
      <c r="ED96" s="229">
        <v>8.6999999999999994E-3</v>
      </c>
      <c r="EE96" s="228">
        <v>2.2599999999999998</v>
      </c>
      <c r="EF96" s="229">
        <v>5.1999999999999998E-3</v>
      </c>
      <c r="EG96" s="230">
        <v>8303968</v>
      </c>
      <c r="EH96" s="230">
        <v>6328085</v>
      </c>
      <c r="EI96" s="229">
        <v>0.31219999999999998</v>
      </c>
      <c r="EJ96" s="229">
        <v>0.442</v>
      </c>
      <c r="EK96" s="231">
        <v>4398.7700000000004</v>
      </c>
      <c r="EL96" s="231">
        <v>1752.9</v>
      </c>
      <c r="EM96" s="231">
        <v>1378.44</v>
      </c>
      <c r="EN96" s="228">
        <v>260.91000000000003</v>
      </c>
      <c r="EO96" s="231">
        <v>7530.11</v>
      </c>
      <c r="EP96" s="231">
        <v>11567.61</v>
      </c>
      <c r="EQ96" s="231">
        <v>-4037.5</v>
      </c>
      <c r="ER96" s="229">
        <v>-0.34899999999999998</v>
      </c>
      <c r="ES96" s="228">
        <v>889.72</v>
      </c>
      <c r="ET96" s="228">
        <v>641.44000000000005</v>
      </c>
      <c r="EU96" s="231">
        <v>3988.18</v>
      </c>
      <c r="EV96" s="231">
        <v>193623116</v>
      </c>
      <c r="EW96" s="231">
        <v>5519.34</v>
      </c>
      <c r="EX96" s="231">
        <v>5230.55</v>
      </c>
      <c r="EY96" s="228">
        <v>288.79000000000002</v>
      </c>
      <c r="EZ96" s="229">
        <v>5.5199999999999999E-2</v>
      </c>
      <c r="FA96" s="229">
        <v>0.65369999999999995</v>
      </c>
      <c r="FB96" s="227" t="s">
        <v>555</v>
      </c>
      <c r="FC96">
        <f t="shared" si="1"/>
        <v>35</v>
      </c>
    </row>
    <row r="97" spans="1:159" ht="17.25" thickBot="1" x14ac:dyDescent="0.3">
      <c r="A97" s="226">
        <v>46023</v>
      </c>
      <c r="B97" s="227" t="s">
        <v>221</v>
      </c>
      <c r="C97" s="227" t="s">
        <v>240</v>
      </c>
      <c r="D97" s="228">
        <v>400</v>
      </c>
      <c r="E97" s="228">
        <v>26</v>
      </c>
      <c r="F97" s="231">
        <v>1637.3</v>
      </c>
      <c r="G97" s="231">
        <v>1625.3</v>
      </c>
      <c r="H97" s="228">
        <v>12</v>
      </c>
      <c r="I97" s="229">
        <v>7.4000000000000003E-3</v>
      </c>
      <c r="J97" s="231">
        <v>1629.8</v>
      </c>
      <c r="K97" s="231">
        <v>1615.4</v>
      </c>
      <c r="L97" s="228">
        <v>14.4</v>
      </c>
      <c r="M97" s="229">
        <v>8.8999999999999999E-3</v>
      </c>
      <c r="N97" s="231">
        <v>1637.3</v>
      </c>
      <c r="O97" s="231">
        <v>1625.3</v>
      </c>
      <c r="P97" s="228">
        <v>12</v>
      </c>
      <c r="Q97" s="229">
        <v>7.4000000000000003E-3</v>
      </c>
      <c r="R97" s="231">
        <v>1646.6</v>
      </c>
      <c r="S97" s="231">
        <v>1634.7</v>
      </c>
      <c r="T97" s="228">
        <v>11.9</v>
      </c>
      <c r="U97" s="229">
        <v>7.3000000000000001E-3</v>
      </c>
      <c r="V97" s="231">
        <v>1656.8</v>
      </c>
      <c r="W97" s="231">
        <v>1644.9</v>
      </c>
      <c r="X97" s="228">
        <v>11.9</v>
      </c>
      <c r="Y97" s="229">
        <v>7.1999999999999998E-3</v>
      </c>
      <c r="Z97" s="228">
        <v>7.5</v>
      </c>
      <c r="AA97" s="228">
        <v>9.9</v>
      </c>
      <c r="AB97" s="228">
        <v>-2.4</v>
      </c>
      <c r="AC97" s="229">
        <v>4.5999999999999999E-3</v>
      </c>
      <c r="AD97" s="228">
        <v>7.5</v>
      </c>
      <c r="AE97" s="228">
        <v>9.9</v>
      </c>
      <c r="AF97" s="228">
        <v>-2.4</v>
      </c>
      <c r="AG97" s="229">
        <v>4.5999999999999999E-3</v>
      </c>
      <c r="AH97" s="228">
        <v>16.8</v>
      </c>
      <c r="AI97" s="228">
        <v>19.3</v>
      </c>
      <c r="AJ97" s="228">
        <v>-2.5</v>
      </c>
      <c r="AK97" s="229">
        <v>1.03E-2</v>
      </c>
      <c r="AL97" s="228">
        <v>27</v>
      </c>
      <c r="AM97" s="228">
        <v>29.5</v>
      </c>
      <c r="AN97" s="228">
        <v>-2.5</v>
      </c>
      <c r="AO97" s="229">
        <v>1.66E-2</v>
      </c>
      <c r="AP97" s="231">
        <v>1635.36</v>
      </c>
      <c r="AQ97" s="231">
        <v>1645.33</v>
      </c>
      <c r="AR97" s="228">
        <v>0</v>
      </c>
      <c r="AS97" s="228">
        <v>524</v>
      </c>
      <c r="AT97" s="230">
        <v>1235</v>
      </c>
      <c r="AU97" s="228">
        <v>-711</v>
      </c>
      <c r="AV97" s="229">
        <v>-0.57609999999999995</v>
      </c>
      <c r="AW97" s="228">
        <v>493</v>
      </c>
      <c r="AX97" s="230">
        <v>1208</v>
      </c>
      <c r="AY97" s="228">
        <v>-715</v>
      </c>
      <c r="AZ97" s="229">
        <v>-0.59160000000000001</v>
      </c>
      <c r="BA97" s="228">
        <v>21</v>
      </c>
      <c r="BB97" s="228">
        <v>22</v>
      </c>
      <c r="BC97" s="228">
        <v>-1</v>
      </c>
      <c r="BD97" s="229">
        <v>-6.4100000000000004E-2</v>
      </c>
      <c r="BE97" s="228">
        <v>9</v>
      </c>
      <c r="BF97" s="228">
        <v>5</v>
      </c>
      <c r="BG97" s="228">
        <v>5</v>
      </c>
      <c r="BH97" s="229">
        <v>1</v>
      </c>
      <c r="BI97" s="230">
        <v>2170</v>
      </c>
      <c r="BJ97" s="230">
        <v>2457</v>
      </c>
      <c r="BK97" s="228">
        <v>-287</v>
      </c>
      <c r="BL97" s="229">
        <v>-0.1167</v>
      </c>
      <c r="BM97" s="228">
        <v>946</v>
      </c>
      <c r="BN97" s="230">
        <v>1265</v>
      </c>
      <c r="BO97" s="228">
        <v>-319</v>
      </c>
      <c r="BP97" s="229">
        <v>-0.25230000000000002</v>
      </c>
      <c r="BQ97" s="230">
        <v>3640</v>
      </c>
      <c r="BR97" s="230">
        <v>4957</v>
      </c>
      <c r="BS97" s="230">
        <v>-1317</v>
      </c>
      <c r="BT97" s="229">
        <v>-0.26569999999999999</v>
      </c>
      <c r="BU97" s="230">
        <v>4142913</v>
      </c>
      <c r="BV97" s="230">
        <v>6870210</v>
      </c>
      <c r="BW97" s="230">
        <v>-2727297</v>
      </c>
      <c r="BX97" s="229">
        <v>-0.39700000000000002</v>
      </c>
      <c r="BY97" s="230">
        <v>11570</v>
      </c>
      <c r="BZ97" s="230">
        <v>11565</v>
      </c>
      <c r="CA97" s="228">
        <v>5</v>
      </c>
      <c r="CB97" s="229">
        <v>4.0000000000000002E-4</v>
      </c>
      <c r="CC97" s="230">
        <v>11439</v>
      </c>
      <c r="CD97" s="230">
        <v>11441</v>
      </c>
      <c r="CE97" s="228">
        <v>-2</v>
      </c>
      <c r="CF97" s="229">
        <v>-2.0000000000000001E-4</v>
      </c>
      <c r="CG97" s="228">
        <v>122</v>
      </c>
      <c r="CH97" s="228">
        <v>122</v>
      </c>
      <c r="CI97" s="228">
        <v>0</v>
      </c>
      <c r="CJ97" s="229">
        <v>2.7000000000000001E-3</v>
      </c>
      <c r="CK97" s="228">
        <v>10</v>
      </c>
      <c r="CL97" s="228">
        <v>3</v>
      </c>
      <c r="CM97" s="228">
        <v>7</v>
      </c>
      <c r="CN97" s="229">
        <v>2.2391000000000001</v>
      </c>
      <c r="CO97" s="230">
        <v>1924</v>
      </c>
      <c r="CP97" s="230">
        <v>1740</v>
      </c>
      <c r="CQ97" s="228">
        <v>184</v>
      </c>
      <c r="CR97" s="229">
        <v>0.1057</v>
      </c>
      <c r="CS97" s="230">
        <v>1519</v>
      </c>
      <c r="CT97" s="230">
        <v>1422</v>
      </c>
      <c r="CU97" s="228">
        <v>97</v>
      </c>
      <c r="CV97" s="229">
        <v>6.8199999999999997E-2</v>
      </c>
      <c r="CW97" s="230">
        <v>15013</v>
      </c>
      <c r="CX97" s="230">
        <v>14727</v>
      </c>
      <c r="CY97" s="228">
        <v>286</v>
      </c>
      <c r="CZ97" s="229">
        <v>1.9400000000000001E-2</v>
      </c>
      <c r="DA97" s="228">
        <v>23.42</v>
      </c>
      <c r="DB97" s="228">
        <v>23.52</v>
      </c>
      <c r="DC97" s="228">
        <v>-0.1</v>
      </c>
      <c r="DD97" s="228">
        <v>-0.1</v>
      </c>
      <c r="DE97" s="228">
        <v>28.25</v>
      </c>
      <c r="DF97" s="228">
        <v>28.3</v>
      </c>
      <c r="DG97" s="228">
        <v>-4.83</v>
      </c>
      <c r="DH97" s="228">
        <v>-0.05</v>
      </c>
      <c r="DI97" s="228">
        <v>23.09</v>
      </c>
      <c r="DJ97" s="228">
        <v>23.35</v>
      </c>
      <c r="DK97" s="228">
        <v>-0.26</v>
      </c>
      <c r="DL97" s="228">
        <v>-0.26</v>
      </c>
      <c r="DM97" s="228">
        <v>24.17</v>
      </c>
      <c r="DN97" s="228">
        <v>23.85</v>
      </c>
      <c r="DO97" s="228">
        <v>0.32</v>
      </c>
      <c r="DP97" s="228">
        <v>0.32</v>
      </c>
      <c r="DQ97" s="228">
        <v>0.79</v>
      </c>
      <c r="DR97" s="228">
        <v>0.82</v>
      </c>
      <c r="DS97" s="228">
        <v>-0.03</v>
      </c>
      <c r="DT97" s="229">
        <v>-3.6600000000000001E-2</v>
      </c>
      <c r="DU97" s="231">
        <v>1660</v>
      </c>
      <c r="DV97" s="231">
        <v>1620</v>
      </c>
      <c r="DW97" s="228">
        <v>0.44</v>
      </c>
      <c r="DX97" s="228">
        <v>0.51</v>
      </c>
      <c r="DY97" s="228">
        <v>-7.0000000000000007E-2</v>
      </c>
      <c r="DZ97" s="229">
        <v>-0.13730000000000001</v>
      </c>
      <c r="EA97" s="229">
        <v>1.14E-2</v>
      </c>
      <c r="EB97" s="230">
        <v>762800</v>
      </c>
      <c r="EC97" s="229">
        <v>5.7000000000000002E-3</v>
      </c>
      <c r="ED97" s="229">
        <v>1.14E-2</v>
      </c>
      <c r="EE97" s="228">
        <v>9.9700000000000006</v>
      </c>
      <c r="EF97" s="229">
        <v>6.1000000000000004E-3</v>
      </c>
      <c r="EG97" s="230">
        <v>1469194</v>
      </c>
      <c r="EH97" s="230">
        <v>5036208</v>
      </c>
      <c r="EI97" s="229">
        <v>-0.70830000000000004</v>
      </c>
      <c r="EJ97" s="229">
        <v>0.35460000000000003</v>
      </c>
      <c r="EK97" s="231">
        <v>2266.7199999999998</v>
      </c>
      <c r="EL97" s="228">
        <v>928.47</v>
      </c>
      <c r="EM97" s="228">
        <v>523.17999999999995</v>
      </c>
      <c r="EN97" s="228">
        <v>543.6</v>
      </c>
      <c r="EO97" s="231">
        <v>3718.37</v>
      </c>
      <c r="EP97" s="231">
        <v>5026.07</v>
      </c>
      <c r="EQ97" s="231">
        <v>-1307.69</v>
      </c>
      <c r="ER97" s="229">
        <v>-0.26019999999999999</v>
      </c>
      <c r="ES97" s="231">
        <v>2001.54</v>
      </c>
      <c r="ET97" s="231">
        <v>1452.27</v>
      </c>
      <c r="EU97" s="231">
        <v>11571.28</v>
      </c>
      <c r="EV97" s="231">
        <v>368703409</v>
      </c>
      <c r="EW97" s="231">
        <v>15025.1</v>
      </c>
      <c r="EX97" s="231">
        <v>14647.99</v>
      </c>
      <c r="EY97" s="228">
        <v>377.11</v>
      </c>
      <c r="EZ97" s="229">
        <v>2.5700000000000001E-2</v>
      </c>
      <c r="FA97" s="229">
        <v>0.2487</v>
      </c>
      <c r="FB97" s="227" t="s">
        <v>555</v>
      </c>
      <c r="FC97">
        <f t="shared" si="1"/>
        <v>131</v>
      </c>
    </row>
    <row r="98" spans="1:159" ht="17.25" thickBot="1" x14ac:dyDescent="0.3">
      <c r="A98" s="226">
        <v>46023</v>
      </c>
      <c r="B98" s="227" t="s">
        <v>161</v>
      </c>
      <c r="C98" s="227" t="s">
        <v>669</v>
      </c>
      <c r="D98" s="228">
        <v>3575</v>
      </c>
      <c r="E98" s="228">
        <v>26</v>
      </c>
      <c r="F98" s="228">
        <v>123.68</v>
      </c>
      <c r="G98" s="228">
        <v>124.36</v>
      </c>
      <c r="H98" s="228">
        <v>-0.68</v>
      </c>
      <c r="I98" s="229">
        <v>-5.4999999999999997E-3</v>
      </c>
      <c r="J98" s="228">
        <v>122.85</v>
      </c>
      <c r="K98" s="228">
        <v>123.53</v>
      </c>
      <c r="L98" s="228">
        <v>-0.68</v>
      </c>
      <c r="M98" s="229">
        <v>-5.4999999999999997E-3</v>
      </c>
      <c r="N98" s="228">
        <v>123.68</v>
      </c>
      <c r="O98" s="228">
        <v>124.36</v>
      </c>
      <c r="P98" s="228">
        <v>-0.68</v>
      </c>
      <c r="Q98" s="229">
        <v>-5.4999999999999997E-3</v>
      </c>
      <c r="R98" s="228">
        <v>124.35</v>
      </c>
      <c r="S98" s="228">
        <v>125.23</v>
      </c>
      <c r="T98" s="228">
        <v>-0.88</v>
      </c>
      <c r="U98" s="229">
        <v>-7.0000000000000001E-3</v>
      </c>
      <c r="V98" s="228">
        <v>124.61</v>
      </c>
      <c r="W98" s="228">
        <v>126</v>
      </c>
      <c r="X98" s="228">
        <v>-1.39</v>
      </c>
      <c r="Y98" s="229">
        <v>-1.0999999999999999E-2</v>
      </c>
      <c r="Z98" s="228">
        <v>0.83</v>
      </c>
      <c r="AA98" s="228">
        <v>0.83</v>
      </c>
      <c r="AB98" s="228">
        <v>0</v>
      </c>
      <c r="AC98" s="229">
        <v>6.7999999999999996E-3</v>
      </c>
      <c r="AD98" s="228">
        <v>0.83</v>
      </c>
      <c r="AE98" s="228">
        <v>0.83</v>
      </c>
      <c r="AF98" s="228">
        <v>0</v>
      </c>
      <c r="AG98" s="229">
        <v>6.7999999999999996E-3</v>
      </c>
      <c r="AH98" s="228">
        <v>1.5</v>
      </c>
      <c r="AI98" s="228">
        <v>1.7</v>
      </c>
      <c r="AJ98" s="228">
        <v>-0.2</v>
      </c>
      <c r="AK98" s="229">
        <v>1.2200000000000001E-2</v>
      </c>
      <c r="AL98" s="228">
        <v>1.76</v>
      </c>
      <c r="AM98" s="228">
        <v>2.4700000000000002</v>
      </c>
      <c r="AN98" s="228">
        <v>-0.71</v>
      </c>
      <c r="AO98" s="229">
        <v>1.43E-2</v>
      </c>
      <c r="AP98" s="228">
        <v>123.63</v>
      </c>
      <c r="AQ98" s="228">
        <v>124.39</v>
      </c>
      <c r="AR98" s="228">
        <v>0</v>
      </c>
      <c r="AS98" s="228">
        <v>60</v>
      </c>
      <c r="AT98" s="228">
        <v>209</v>
      </c>
      <c r="AU98" s="228">
        <v>-149</v>
      </c>
      <c r="AV98" s="229">
        <v>-0.71240000000000003</v>
      </c>
      <c r="AW98" s="228">
        <v>56</v>
      </c>
      <c r="AX98" s="228">
        <v>202</v>
      </c>
      <c r="AY98" s="228">
        <v>-146</v>
      </c>
      <c r="AZ98" s="229">
        <v>-0.72419999999999995</v>
      </c>
      <c r="BA98" s="228">
        <v>4</v>
      </c>
      <c r="BB98" s="228">
        <v>7</v>
      </c>
      <c r="BC98" s="228">
        <v>-3</v>
      </c>
      <c r="BD98" s="229">
        <v>-0.41320000000000001</v>
      </c>
      <c r="BE98" s="228">
        <v>0</v>
      </c>
      <c r="BF98" s="228">
        <v>0</v>
      </c>
      <c r="BG98" s="228">
        <v>0</v>
      </c>
      <c r="BH98" s="229">
        <v>-0.1429</v>
      </c>
      <c r="BI98" s="228">
        <v>71</v>
      </c>
      <c r="BJ98" s="228">
        <v>189</v>
      </c>
      <c r="BK98" s="228">
        <v>-119</v>
      </c>
      <c r="BL98" s="229">
        <v>-0.62719999999999998</v>
      </c>
      <c r="BM98" s="228">
        <v>27</v>
      </c>
      <c r="BN98" s="228">
        <v>82</v>
      </c>
      <c r="BO98" s="228">
        <v>-56</v>
      </c>
      <c r="BP98" s="229">
        <v>-0.67649999999999999</v>
      </c>
      <c r="BQ98" s="228">
        <v>157</v>
      </c>
      <c r="BR98" s="228">
        <v>481</v>
      </c>
      <c r="BS98" s="228">
        <v>-324</v>
      </c>
      <c r="BT98" s="229">
        <v>-0.67269999999999996</v>
      </c>
      <c r="BU98" s="230">
        <v>3371886</v>
      </c>
      <c r="BV98" s="230">
        <v>15197402</v>
      </c>
      <c r="BW98" s="230">
        <v>-11825516</v>
      </c>
      <c r="BX98" s="229">
        <v>-0.77810000000000001</v>
      </c>
      <c r="BY98" s="230">
        <v>1125</v>
      </c>
      <c r="BZ98" s="230">
        <v>1122</v>
      </c>
      <c r="CA98" s="228">
        <v>2</v>
      </c>
      <c r="CB98" s="229">
        <v>2.2000000000000001E-3</v>
      </c>
      <c r="CC98" s="230">
        <v>1078</v>
      </c>
      <c r="CD98" s="230">
        <v>1075</v>
      </c>
      <c r="CE98" s="228">
        <v>3</v>
      </c>
      <c r="CF98" s="229">
        <v>2.7000000000000001E-3</v>
      </c>
      <c r="CG98" s="228">
        <v>47</v>
      </c>
      <c r="CH98" s="228">
        <v>47</v>
      </c>
      <c r="CI98" s="228">
        <v>-1</v>
      </c>
      <c r="CJ98" s="229">
        <v>-1.12E-2</v>
      </c>
      <c r="CK98" s="228">
        <v>0</v>
      </c>
      <c r="CL98" s="228">
        <v>0</v>
      </c>
      <c r="CM98" s="228">
        <v>0</v>
      </c>
      <c r="CN98" s="229">
        <v>0.42859999999999998</v>
      </c>
      <c r="CO98" s="228">
        <v>224</v>
      </c>
      <c r="CP98" s="228">
        <v>208</v>
      </c>
      <c r="CQ98" s="228">
        <v>16</v>
      </c>
      <c r="CR98" s="229">
        <v>7.8200000000000006E-2</v>
      </c>
      <c r="CS98" s="228">
        <v>174</v>
      </c>
      <c r="CT98" s="228">
        <v>168</v>
      </c>
      <c r="CU98" s="228">
        <v>6</v>
      </c>
      <c r="CV98" s="229">
        <v>3.4700000000000002E-2</v>
      </c>
      <c r="CW98" s="230">
        <v>1523</v>
      </c>
      <c r="CX98" s="230">
        <v>1498</v>
      </c>
      <c r="CY98" s="228">
        <v>25</v>
      </c>
      <c r="CZ98" s="229">
        <v>1.6400000000000001E-2</v>
      </c>
      <c r="DA98" s="228">
        <v>34.909999999999997</v>
      </c>
      <c r="DB98" s="228">
        <v>33.49</v>
      </c>
      <c r="DC98" s="228">
        <v>1.42</v>
      </c>
      <c r="DD98" s="228">
        <v>1.42</v>
      </c>
      <c r="DE98" s="228">
        <v>52.03</v>
      </c>
      <c r="DF98" s="228">
        <v>52.16</v>
      </c>
      <c r="DG98" s="228">
        <v>-17.12</v>
      </c>
      <c r="DH98" s="228">
        <v>-0.13</v>
      </c>
      <c r="DI98" s="228">
        <v>35.119999999999997</v>
      </c>
      <c r="DJ98" s="228">
        <v>33.53</v>
      </c>
      <c r="DK98" s="228">
        <v>1.59</v>
      </c>
      <c r="DL98" s="228">
        <v>1.59</v>
      </c>
      <c r="DM98" s="228">
        <v>34.35</v>
      </c>
      <c r="DN98" s="228">
        <v>33.4</v>
      </c>
      <c r="DO98" s="228">
        <v>0.95</v>
      </c>
      <c r="DP98" s="228">
        <v>0.95</v>
      </c>
      <c r="DQ98" s="228">
        <v>0.78</v>
      </c>
      <c r="DR98" s="228">
        <v>0.81</v>
      </c>
      <c r="DS98" s="228">
        <v>-0.03</v>
      </c>
      <c r="DT98" s="229">
        <v>-3.6999999999999998E-2</v>
      </c>
      <c r="DU98" s="228">
        <v>125</v>
      </c>
      <c r="DV98" s="228">
        <v>125</v>
      </c>
      <c r="DW98" s="228">
        <v>0.38</v>
      </c>
      <c r="DX98" s="228">
        <v>0.44</v>
      </c>
      <c r="DY98" s="228">
        <v>-0.06</v>
      </c>
      <c r="DZ98" s="229">
        <v>-0.13639999999999999</v>
      </c>
      <c r="EA98" s="229">
        <v>4.19E-2</v>
      </c>
      <c r="EB98" s="230">
        <v>3843125</v>
      </c>
      <c r="EC98" s="229">
        <v>5.4000000000000003E-3</v>
      </c>
      <c r="ED98" s="229">
        <v>4.19E-2</v>
      </c>
      <c r="EE98" s="228">
        <v>0.76</v>
      </c>
      <c r="EF98" s="229">
        <v>6.1000000000000004E-3</v>
      </c>
      <c r="EG98" s="230">
        <v>1569759</v>
      </c>
      <c r="EH98" s="230">
        <v>8486333</v>
      </c>
      <c r="EI98" s="229">
        <v>-0.81499999999999995</v>
      </c>
      <c r="EJ98" s="229">
        <v>0.46550000000000002</v>
      </c>
      <c r="EK98" s="228">
        <v>76.58</v>
      </c>
      <c r="EL98" s="228">
        <v>26.03</v>
      </c>
      <c r="EM98" s="228">
        <v>60.23</v>
      </c>
      <c r="EN98" s="228">
        <v>144.59</v>
      </c>
      <c r="EO98" s="228">
        <v>162.84</v>
      </c>
      <c r="EP98" s="228">
        <v>496.84</v>
      </c>
      <c r="EQ98" s="228">
        <v>-334</v>
      </c>
      <c r="ER98" s="229">
        <v>-0.67230000000000001</v>
      </c>
      <c r="ES98" s="228">
        <v>241.36</v>
      </c>
      <c r="ET98" s="228">
        <v>177.98</v>
      </c>
      <c r="EU98" s="231">
        <v>1125.19</v>
      </c>
      <c r="EV98" s="231">
        <v>144708707</v>
      </c>
      <c r="EW98" s="231">
        <v>1544.53</v>
      </c>
      <c r="EX98" s="231">
        <v>1525.13</v>
      </c>
      <c r="EY98" s="228">
        <v>19.399999999999999</v>
      </c>
      <c r="EZ98" s="229">
        <v>1.2699999999999999E-2</v>
      </c>
      <c r="FA98" s="229">
        <v>0.8508</v>
      </c>
      <c r="FB98" s="227" t="s">
        <v>567</v>
      </c>
      <c r="FC98">
        <f t="shared" si="1"/>
        <v>47</v>
      </c>
    </row>
    <row r="99" spans="1:159" ht="17.25" thickBot="1" x14ac:dyDescent="0.3">
      <c r="A99" s="226">
        <v>46023</v>
      </c>
      <c r="B99" s="227" t="s">
        <v>193</v>
      </c>
      <c r="C99" s="227" t="s">
        <v>241</v>
      </c>
      <c r="D99" s="228">
        <v>4875</v>
      </c>
      <c r="E99" s="228">
        <v>26</v>
      </c>
      <c r="F99" s="228">
        <v>166.99</v>
      </c>
      <c r="G99" s="228">
        <v>167.58</v>
      </c>
      <c r="H99" s="228">
        <v>-0.59</v>
      </c>
      <c r="I99" s="229">
        <v>-3.5000000000000001E-3</v>
      </c>
      <c r="J99" s="228">
        <v>165.88</v>
      </c>
      <c r="K99" s="228">
        <v>166.46</v>
      </c>
      <c r="L99" s="228">
        <v>-0.57999999999999996</v>
      </c>
      <c r="M99" s="229">
        <v>-3.5000000000000001E-3</v>
      </c>
      <c r="N99" s="228">
        <v>166.99</v>
      </c>
      <c r="O99" s="228">
        <v>167.58</v>
      </c>
      <c r="P99" s="228">
        <v>-0.59</v>
      </c>
      <c r="Q99" s="229">
        <v>-3.5000000000000001E-3</v>
      </c>
      <c r="R99" s="228">
        <v>167.96</v>
      </c>
      <c r="S99" s="228">
        <v>168.54</v>
      </c>
      <c r="T99" s="228">
        <v>-0.57999999999999996</v>
      </c>
      <c r="U99" s="229">
        <v>-3.3999999999999998E-3</v>
      </c>
      <c r="V99" s="228">
        <v>168.55</v>
      </c>
      <c r="W99" s="228">
        <v>169.08</v>
      </c>
      <c r="X99" s="228">
        <v>-0.53</v>
      </c>
      <c r="Y99" s="229">
        <v>-3.0999999999999999E-3</v>
      </c>
      <c r="Z99" s="228">
        <v>1.1100000000000001</v>
      </c>
      <c r="AA99" s="228">
        <v>1.1200000000000001</v>
      </c>
      <c r="AB99" s="228">
        <v>-0.01</v>
      </c>
      <c r="AC99" s="229">
        <v>6.7000000000000002E-3</v>
      </c>
      <c r="AD99" s="228">
        <v>1.1100000000000001</v>
      </c>
      <c r="AE99" s="228">
        <v>1.1200000000000001</v>
      </c>
      <c r="AF99" s="228">
        <v>-0.01</v>
      </c>
      <c r="AG99" s="229">
        <v>6.7000000000000002E-3</v>
      </c>
      <c r="AH99" s="228">
        <v>2.08</v>
      </c>
      <c r="AI99" s="228">
        <v>2.08</v>
      </c>
      <c r="AJ99" s="228">
        <v>0</v>
      </c>
      <c r="AK99" s="229">
        <v>1.2500000000000001E-2</v>
      </c>
      <c r="AL99" s="228">
        <v>2.67</v>
      </c>
      <c r="AM99" s="228">
        <v>2.62</v>
      </c>
      <c r="AN99" s="228">
        <v>0.05</v>
      </c>
      <c r="AO99" s="229">
        <v>1.61E-2</v>
      </c>
      <c r="AP99" s="228">
        <v>167.36</v>
      </c>
      <c r="AQ99" s="228">
        <v>168.2</v>
      </c>
      <c r="AR99" s="228">
        <v>0</v>
      </c>
      <c r="AS99" s="228">
        <v>234</v>
      </c>
      <c r="AT99" s="228">
        <v>548</v>
      </c>
      <c r="AU99" s="228">
        <v>-314</v>
      </c>
      <c r="AV99" s="229">
        <v>-0.57320000000000004</v>
      </c>
      <c r="AW99" s="228">
        <v>209</v>
      </c>
      <c r="AX99" s="228">
        <v>501</v>
      </c>
      <c r="AY99" s="228">
        <v>-292</v>
      </c>
      <c r="AZ99" s="229">
        <v>-0.58260000000000001</v>
      </c>
      <c r="BA99" s="228">
        <v>20</v>
      </c>
      <c r="BB99" s="228">
        <v>44</v>
      </c>
      <c r="BC99" s="228">
        <v>-24</v>
      </c>
      <c r="BD99" s="229">
        <v>-0.55169999999999997</v>
      </c>
      <c r="BE99" s="228">
        <v>5</v>
      </c>
      <c r="BF99" s="228">
        <v>3</v>
      </c>
      <c r="BG99" s="228">
        <v>2</v>
      </c>
      <c r="BH99" s="229">
        <v>0.56100000000000005</v>
      </c>
      <c r="BI99" s="228">
        <v>918</v>
      </c>
      <c r="BJ99" s="230">
        <v>1387</v>
      </c>
      <c r="BK99" s="228">
        <v>-469</v>
      </c>
      <c r="BL99" s="229">
        <v>-0.33779999999999999</v>
      </c>
      <c r="BM99" s="228">
        <v>378</v>
      </c>
      <c r="BN99" s="228">
        <v>667</v>
      </c>
      <c r="BO99" s="228">
        <v>-289</v>
      </c>
      <c r="BP99" s="229">
        <v>-0.43380000000000002</v>
      </c>
      <c r="BQ99" s="230">
        <v>1530</v>
      </c>
      <c r="BR99" s="230">
        <v>2602</v>
      </c>
      <c r="BS99" s="230">
        <v>-1072</v>
      </c>
      <c r="BT99" s="229">
        <v>-0.41199999999999998</v>
      </c>
      <c r="BU99" s="230">
        <v>10165664</v>
      </c>
      <c r="BV99" s="230">
        <v>25361471</v>
      </c>
      <c r="BW99" s="230">
        <v>-15195807</v>
      </c>
      <c r="BX99" s="229">
        <v>-0.59919999999999995</v>
      </c>
      <c r="BY99" s="230">
        <v>1767</v>
      </c>
      <c r="BZ99" s="230">
        <v>1717</v>
      </c>
      <c r="CA99" s="228">
        <v>50</v>
      </c>
      <c r="CB99" s="229">
        <v>2.93E-2</v>
      </c>
      <c r="CC99" s="230">
        <v>1713</v>
      </c>
      <c r="CD99" s="230">
        <v>1671</v>
      </c>
      <c r="CE99" s="228">
        <v>42</v>
      </c>
      <c r="CF99" s="229">
        <v>2.5100000000000001E-2</v>
      </c>
      <c r="CG99" s="228">
        <v>49</v>
      </c>
      <c r="CH99" s="228">
        <v>44</v>
      </c>
      <c r="CI99" s="228">
        <v>5</v>
      </c>
      <c r="CJ99" s="229">
        <v>0.1171</v>
      </c>
      <c r="CK99" s="228">
        <v>5</v>
      </c>
      <c r="CL99" s="228">
        <v>2</v>
      </c>
      <c r="CM99" s="228">
        <v>3</v>
      </c>
      <c r="CN99" s="229">
        <v>1.9</v>
      </c>
      <c r="CO99" s="228">
        <v>571</v>
      </c>
      <c r="CP99" s="228">
        <v>491</v>
      </c>
      <c r="CQ99" s="228">
        <v>80</v>
      </c>
      <c r="CR99" s="229">
        <v>0.1636</v>
      </c>
      <c r="CS99" s="228">
        <v>391</v>
      </c>
      <c r="CT99" s="228">
        <v>352</v>
      </c>
      <c r="CU99" s="228">
        <v>39</v>
      </c>
      <c r="CV99" s="229">
        <v>0.10979999999999999</v>
      </c>
      <c r="CW99" s="230">
        <v>2729</v>
      </c>
      <c r="CX99" s="230">
        <v>2560</v>
      </c>
      <c r="CY99" s="228">
        <v>169</v>
      </c>
      <c r="CZ99" s="229">
        <v>6.6100000000000006E-2</v>
      </c>
      <c r="DA99" s="228">
        <v>20.82</v>
      </c>
      <c r="DB99" s="228">
        <v>21.76</v>
      </c>
      <c r="DC99" s="228">
        <v>-0.94</v>
      </c>
      <c r="DD99" s="228">
        <v>-0.94</v>
      </c>
      <c r="DE99" s="228">
        <v>30.68</v>
      </c>
      <c r="DF99" s="228">
        <v>30.75</v>
      </c>
      <c r="DG99" s="228">
        <v>-9.86</v>
      </c>
      <c r="DH99" s="228">
        <v>-7.0000000000000007E-2</v>
      </c>
      <c r="DI99" s="228">
        <v>20.82</v>
      </c>
      <c r="DJ99" s="228">
        <v>21.49</v>
      </c>
      <c r="DK99" s="228">
        <v>-0.67</v>
      </c>
      <c r="DL99" s="228">
        <v>-0.67</v>
      </c>
      <c r="DM99" s="228">
        <v>20.82</v>
      </c>
      <c r="DN99" s="228">
        <v>22.33</v>
      </c>
      <c r="DO99" s="228">
        <v>-1.51</v>
      </c>
      <c r="DP99" s="228">
        <v>-1.51</v>
      </c>
      <c r="DQ99" s="228">
        <v>0.68</v>
      </c>
      <c r="DR99" s="228">
        <v>0.72</v>
      </c>
      <c r="DS99" s="228">
        <v>-0.04</v>
      </c>
      <c r="DT99" s="229">
        <v>-5.5599999999999997E-2</v>
      </c>
      <c r="DU99" s="228">
        <v>170</v>
      </c>
      <c r="DV99" s="228">
        <v>165</v>
      </c>
      <c r="DW99" s="228">
        <v>0.41</v>
      </c>
      <c r="DX99" s="228">
        <v>0.48</v>
      </c>
      <c r="DY99" s="228">
        <v>-7.0000000000000007E-2</v>
      </c>
      <c r="DZ99" s="229">
        <v>-0.14580000000000001</v>
      </c>
      <c r="EA99" s="229">
        <v>3.04E-2</v>
      </c>
      <c r="EB99" s="230">
        <v>2720250</v>
      </c>
      <c r="EC99" s="229">
        <v>5.7999999999999996E-3</v>
      </c>
      <c r="ED99" s="229">
        <v>3.04E-2</v>
      </c>
      <c r="EE99" s="228">
        <v>0.84</v>
      </c>
      <c r="EF99" s="229">
        <v>5.0000000000000001E-3</v>
      </c>
      <c r="EG99" s="230">
        <v>4723448</v>
      </c>
      <c r="EH99" s="230">
        <v>15142880</v>
      </c>
      <c r="EI99" s="229">
        <v>-0.68810000000000004</v>
      </c>
      <c r="EJ99" s="229">
        <v>0.46460000000000001</v>
      </c>
      <c r="EK99" s="228">
        <v>955.94</v>
      </c>
      <c r="EL99" s="228">
        <v>373.8</v>
      </c>
      <c r="EM99" s="228">
        <v>234.71</v>
      </c>
      <c r="EN99" s="228">
        <v>101.05</v>
      </c>
      <c r="EO99" s="231">
        <v>1564.45</v>
      </c>
      <c r="EP99" s="231">
        <v>2631.83</v>
      </c>
      <c r="EQ99" s="231">
        <v>-1067.3800000000001</v>
      </c>
      <c r="ER99" s="229">
        <v>-0.40560000000000002</v>
      </c>
      <c r="ES99" s="228">
        <v>584.16</v>
      </c>
      <c r="ET99" s="228">
        <v>375.6</v>
      </c>
      <c r="EU99" s="231">
        <v>1767.12</v>
      </c>
      <c r="EV99" s="231">
        <v>684903861</v>
      </c>
      <c r="EW99" s="231">
        <v>2726.87</v>
      </c>
      <c r="EX99" s="231">
        <v>2560.86</v>
      </c>
      <c r="EY99" s="228">
        <v>166.01</v>
      </c>
      <c r="EZ99" s="229">
        <v>6.4799999999999996E-2</v>
      </c>
      <c r="FA99" s="229">
        <v>0.23860000000000001</v>
      </c>
      <c r="FB99" s="227" t="s">
        <v>567</v>
      </c>
      <c r="FC99">
        <f t="shared" si="1"/>
        <v>54</v>
      </c>
    </row>
    <row r="100" spans="1:159" ht="17.25" thickBot="1" x14ac:dyDescent="0.3">
      <c r="A100" s="226">
        <v>46023</v>
      </c>
      <c r="B100" s="227" t="s">
        <v>215</v>
      </c>
      <c r="C100" s="227" t="s">
        <v>490</v>
      </c>
      <c r="D100" s="228">
        <v>875</v>
      </c>
      <c r="E100" s="228">
        <v>26</v>
      </c>
      <c r="F100" s="228">
        <v>688.75</v>
      </c>
      <c r="G100" s="228">
        <v>688.45</v>
      </c>
      <c r="H100" s="228">
        <v>0.3</v>
      </c>
      <c r="I100" s="229">
        <v>4.0000000000000002E-4</v>
      </c>
      <c r="J100" s="228">
        <v>685.65</v>
      </c>
      <c r="K100" s="228">
        <v>684.6</v>
      </c>
      <c r="L100" s="228">
        <v>1.05</v>
      </c>
      <c r="M100" s="229">
        <v>1.5E-3</v>
      </c>
      <c r="N100" s="228">
        <v>688.75</v>
      </c>
      <c r="O100" s="228">
        <v>688.45</v>
      </c>
      <c r="P100" s="228">
        <v>0.3</v>
      </c>
      <c r="Q100" s="229">
        <v>4.0000000000000002E-4</v>
      </c>
      <c r="R100" s="228">
        <v>690.65</v>
      </c>
      <c r="S100" s="228">
        <v>690.3</v>
      </c>
      <c r="T100" s="228">
        <v>0.35</v>
      </c>
      <c r="U100" s="229">
        <v>5.0000000000000001E-4</v>
      </c>
      <c r="V100" s="228">
        <v>0</v>
      </c>
      <c r="W100" s="228">
        <v>0</v>
      </c>
      <c r="X100" s="228">
        <v>0</v>
      </c>
      <c r="Y100" s="229">
        <v>0</v>
      </c>
      <c r="Z100" s="228">
        <v>3.1</v>
      </c>
      <c r="AA100" s="228">
        <v>3.85</v>
      </c>
      <c r="AB100" s="228">
        <v>-0.75</v>
      </c>
      <c r="AC100" s="229">
        <v>4.4999999999999997E-3</v>
      </c>
      <c r="AD100" s="228">
        <v>3.1</v>
      </c>
      <c r="AE100" s="228">
        <v>3.85</v>
      </c>
      <c r="AF100" s="228">
        <v>-0.75</v>
      </c>
      <c r="AG100" s="229">
        <v>4.4999999999999997E-3</v>
      </c>
      <c r="AH100" s="228">
        <v>5</v>
      </c>
      <c r="AI100" s="228">
        <v>5.7</v>
      </c>
      <c r="AJ100" s="228">
        <v>-0.7</v>
      </c>
      <c r="AK100" s="229">
        <v>7.3000000000000001E-3</v>
      </c>
      <c r="AL100" s="228">
        <v>0</v>
      </c>
      <c r="AM100" s="228">
        <v>0</v>
      </c>
      <c r="AN100" s="228">
        <v>0</v>
      </c>
      <c r="AO100" s="229">
        <v>0</v>
      </c>
      <c r="AP100" s="228">
        <v>686.11</v>
      </c>
      <c r="AQ100" s="228">
        <v>687.77</v>
      </c>
      <c r="AR100" s="228">
        <v>0</v>
      </c>
      <c r="AS100" s="228">
        <v>104</v>
      </c>
      <c r="AT100" s="228">
        <v>151</v>
      </c>
      <c r="AU100" s="228">
        <v>-47</v>
      </c>
      <c r="AV100" s="229">
        <v>-0.3095</v>
      </c>
      <c r="AW100" s="228">
        <v>92</v>
      </c>
      <c r="AX100" s="228">
        <v>138</v>
      </c>
      <c r="AY100" s="228">
        <v>-46</v>
      </c>
      <c r="AZ100" s="229">
        <v>-0.33250000000000002</v>
      </c>
      <c r="BA100" s="228">
        <v>12</v>
      </c>
      <c r="BB100" s="228">
        <v>13</v>
      </c>
      <c r="BC100" s="228">
        <v>-1</v>
      </c>
      <c r="BD100" s="229">
        <v>-7.5899999999999995E-2</v>
      </c>
      <c r="BE100" s="228">
        <v>0</v>
      </c>
      <c r="BF100" s="228">
        <v>0</v>
      </c>
      <c r="BG100" s="228">
        <v>0</v>
      </c>
      <c r="BH100" s="229">
        <v>0</v>
      </c>
      <c r="BI100" s="228">
        <v>533</v>
      </c>
      <c r="BJ100" s="228">
        <v>879</v>
      </c>
      <c r="BK100" s="228">
        <v>-346</v>
      </c>
      <c r="BL100" s="229">
        <v>-0.39340000000000003</v>
      </c>
      <c r="BM100" s="228">
        <v>149</v>
      </c>
      <c r="BN100" s="228">
        <v>255</v>
      </c>
      <c r="BO100" s="228">
        <v>-105</v>
      </c>
      <c r="BP100" s="229">
        <v>-0.41320000000000001</v>
      </c>
      <c r="BQ100" s="228">
        <v>787</v>
      </c>
      <c r="BR100" s="230">
        <v>1285</v>
      </c>
      <c r="BS100" s="228">
        <v>-498</v>
      </c>
      <c r="BT100" s="229">
        <v>-0.38750000000000001</v>
      </c>
      <c r="BU100" s="230">
        <v>660118</v>
      </c>
      <c r="BV100" s="230">
        <v>1203035</v>
      </c>
      <c r="BW100" s="230">
        <v>-542917</v>
      </c>
      <c r="BX100" s="229">
        <v>-0.45129999999999998</v>
      </c>
      <c r="BY100" s="230">
        <v>1385</v>
      </c>
      <c r="BZ100" s="230">
        <v>1372</v>
      </c>
      <c r="CA100" s="228">
        <v>13</v>
      </c>
      <c r="CB100" s="229">
        <v>9.5999999999999992E-3</v>
      </c>
      <c r="CC100" s="230">
        <v>1271</v>
      </c>
      <c r="CD100" s="230">
        <v>1260</v>
      </c>
      <c r="CE100" s="228">
        <v>11</v>
      </c>
      <c r="CF100" s="229">
        <v>8.6999999999999994E-3</v>
      </c>
      <c r="CG100" s="228">
        <v>115</v>
      </c>
      <c r="CH100" s="228">
        <v>113</v>
      </c>
      <c r="CI100" s="228">
        <v>2</v>
      </c>
      <c r="CJ100" s="229">
        <v>1.9800000000000002E-2</v>
      </c>
      <c r="CK100" s="228">
        <v>0</v>
      </c>
      <c r="CL100" s="228">
        <v>0</v>
      </c>
      <c r="CM100" s="228">
        <v>0</v>
      </c>
      <c r="CN100" s="229">
        <v>0</v>
      </c>
      <c r="CO100" s="230">
        <v>1128</v>
      </c>
      <c r="CP100" s="230">
        <v>1119</v>
      </c>
      <c r="CQ100" s="228">
        <v>9</v>
      </c>
      <c r="CR100" s="229">
        <v>8.0999999999999996E-3</v>
      </c>
      <c r="CS100" s="228">
        <v>556</v>
      </c>
      <c r="CT100" s="228">
        <v>556</v>
      </c>
      <c r="CU100" s="228">
        <v>1</v>
      </c>
      <c r="CV100" s="229">
        <v>1.6999999999999999E-3</v>
      </c>
      <c r="CW100" s="230">
        <v>3070</v>
      </c>
      <c r="CX100" s="230">
        <v>3047</v>
      </c>
      <c r="CY100" s="228">
        <v>23</v>
      </c>
      <c r="CZ100" s="229">
        <v>7.6E-3</v>
      </c>
      <c r="DA100" s="228">
        <v>23.49</v>
      </c>
      <c r="DB100" s="228">
        <v>24.42</v>
      </c>
      <c r="DC100" s="228">
        <v>-0.93</v>
      </c>
      <c r="DD100" s="228">
        <v>-0.93</v>
      </c>
      <c r="DE100" s="228">
        <v>29.1</v>
      </c>
      <c r="DF100" s="228">
        <v>29.17</v>
      </c>
      <c r="DG100" s="228">
        <v>-5.61</v>
      </c>
      <c r="DH100" s="228">
        <v>-7.0000000000000007E-2</v>
      </c>
      <c r="DI100" s="228">
        <v>23.77</v>
      </c>
      <c r="DJ100" s="228">
        <v>24.71</v>
      </c>
      <c r="DK100" s="228">
        <v>-0.94</v>
      </c>
      <c r="DL100" s="228">
        <v>-0.94</v>
      </c>
      <c r="DM100" s="228">
        <v>22.49</v>
      </c>
      <c r="DN100" s="228">
        <v>23.42</v>
      </c>
      <c r="DO100" s="228">
        <v>-0.93</v>
      </c>
      <c r="DP100" s="228">
        <v>-0.93</v>
      </c>
      <c r="DQ100" s="228">
        <v>0.49</v>
      </c>
      <c r="DR100" s="228">
        <v>0.5</v>
      </c>
      <c r="DS100" s="228">
        <v>-0.01</v>
      </c>
      <c r="DT100" s="229">
        <v>-0.02</v>
      </c>
      <c r="DU100" s="228">
        <v>710</v>
      </c>
      <c r="DV100" s="228">
        <v>700</v>
      </c>
      <c r="DW100" s="228">
        <v>0.28000000000000003</v>
      </c>
      <c r="DX100" s="228">
        <v>0.28999999999999998</v>
      </c>
      <c r="DY100" s="228">
        <v>-0.01</v>
      </c>
      <c r="DZ100" s="229">
        <v>-3.4500000000000003E-2</v>
      </c>
      <c r="EA100" s="229">
        <v>8.2900000000000001E-2</v>
      </c>
      <c r="EB100" s="230">
        <v>1635375</v>
      </c>
      <c r="EC100" s="229">
        <v>2.8E-3</v>
      </c>
      <c r="ED100" s="229">
        <v>8.2900000000000001E-2</v>
      </c>
      <c r="EE100" s="228">
        <v>1.66</v>
      </c>
      <c r="EF100" s="229">
        <v>2.3999999999999998E-3</v>
      </c>
      <c r="EG100" s="230">
        <v>223642</v>
      </c>
      <c r="EH100" s="230">
        <v>436571</v>
      </c>
      <c r="EI100" s="229">
        <v>-0.48770000000000002</v>
      </c>
      <c r="EJ100" s="229">
        <v>0.33879999999999999</v>
      </c>
      <c r="EK100" s="228">
        <v>559.51</v>
      </c>
      <c r="EL100" s="228">
        <v>148.1</v>
      </c>
      <c r="EM100" s="228">
        <v>103.95</v>
      </c>
      <c r="EN100" s="228">
        <v>146.78</v>
      </c>
      <c r="EO100" s="228">
        <v>811.56</v>
      </c>
      <c r="EP100" s="231">
        <v>1332.57</v>
      </c>
      <c r="EQ100" s="228">
        <v>-521.01</v>
      </c>
      <c r="ER100" s="229">
        <v>-0.39100000000000001</v>
      </c>
      <c r="ES100" s="231">
        <v>1195.1099999999999</v>
      </c>
      <c r="ET100" s="228">
        <v>552.6</v>
      </c>
      <c r="EU100" s="231">
        <v>1385.76</v>
      </c>
      <c r="EV100" s="231">
        <v>32504261</v>
      </c>
      <c r="EW100" s="231">
        <v>3133.47</v>
      </c>
      <c r="EX100" s="231">
        <v>3107.47</v>
      </c>
      <c r="EY100" s="228">
        <v>26</v>
      </c>
      <c r="EZ100" s="229">
        <v>8.3999999999999995E-3</v>
      </c>
      <c r="FA100" s="229">
        <v>1.3712</v>
      </c>
      <c r="FB100" s="227" t="s">
        <v>555</v>
      </c>
      <c r="FC100">
        <f t="shared" si="1"/>
        <v>114</v>
      </c>
    </row>
    <row r="101" spans="1:159" ht="17.25" thickBot="1" x14ac:dyDescent="0.3">
      <c r="A101" s="226">
        <v>46023</v>
      </c>
      <c r="B101" s="227" t="s">
        <v>175</v>
      </c>
      <c r="C101" s="227" t="s">
        <v>664</v>
      </c>
      <c r="D101" s="228">
        <v>3450</v>
      </c>
      <c r="E101" s="228">
        <v>26</v>
      </c>
      <c r="F101" s="228">
        <v>139.15</v>
      </c>
      <c r="G101" s="228">
        <v>140.62</v>
      </c>
      <c r="H101" s="228">
        <v>-1.47</v>
      </c>
      <c r="I101" s="229">
        <v>-1.0500000000000001E-2</v>
      </c>
      <c r="J101" s="228">
        <v>139.36000000000001</v>
      </c>
      <c r="K101" s="228">
        <v>139.9</v>
      </c>
      <c r="L101" s="228">
        <v>-0.54</v>
      </c>
      <c r="M101" s="229">
        <v>-3.8999999999999998E-3</v>
      </c>
      <c r="N101" s="228">
        <v>139.15</v>
      </c>
      <c r="O101" s="228">
        <v>140.62</v>
      </c>
      <c r="P101" s="228">
        <v>-1.47</v>
      </c>
      <c r="Q101" s="229">
        <v>-1.0500000000000001E-2</v>
      </c>
      <c r="R101" s="228">
        <v>138.88999999999999</v>
      </c>
      <c r="S101" s="228">
        <v>140.38999999999999</v>
      </c>
      <c r="T101" s="228">
        <v>-1.5</v>
      </c>
      <c r="U101" s="229">
        <v>-1.0699999999999999E-2</v>
      </c>
      <c r="V101" s="228">
        <v>139.05000000000001</v>
      </c>
      <c r="W101" s="228">
        <v>140.66999999999999</v>
      </c>
      <c r="X101" s="228">
        <v>-1.62</v>
      </c>
      <c r="Y101" s="229">
        <v>-1.15E-2</v>
      </c>
      <c r="Z101" s="228">
        <v>-0.21</v>
      </c>
      <c r="AA101" s="228">
        <v>0.72</v>
      </c>
      <c r="AB101" s="228">
        <v>-0.93</v>
      </c>
      <c r="AC101" s="229">
        <v>-1.5E-3</v>
      </c>
      <c r="AD101" s="228">
        <v>-0.21</v>
      </c>
      <c r="AE101" s="228">
        <v>0.72</v>
      </c>
      <c r="AF101" s="228">
        <v>-0.93</v>
      </c>
      <c r="AG101" s="229">
        <v>-1.5E-3</v>
      </c>
      <c r="AH101" s="228">
        <v>-0.47</v>
      </c>
      <c r="AI101" s="228">
        <v>0.49</v>
      </c>
      <c r="AJ101" s="228">
        <v>-0.96</v>
      </c>
      <c r="AK101" s="229">
        <v>-3.3999999999999998E-3</v>
      </c>
      <c r="AL101" s="228">
        <v>-0.31</v>
      </c>
      <c r="AM101" s="228">
        <v>0.77</v>
      </c>
      <c r="AN101" s="228">
        <v>-1.08</v>
      </c>
      <c r="AO101" s="229">
        <v>-2.2000000000000001E-3</v>
      </c>
      <c r="AP101" s="228">
        <v>139.9</v>
      </c>
      <c r="AQ101" s="228">
        <v>139.66999999999999</v>
      </c>
      <c r="AR101" s="228">
        <v>0</v>
      </c>
      <c r="AS101" s="228">
        <v>165</v>
      </c>
      <c r="AT101" s="228">
        <v>140</v>
      </c>
      <c r="AU101" s="228">
        <v>24</v>
      </c>
      <c r="AV101" s="229">
        <v>0.17469999999999999</v>
      </c>
      <c r="AW101" s="228">
        <v>148</v>
      </c>
      <c r="AX101" s="228">
        <v>128</v>
      </c>
      <c r="AY101" s="228">
        <v>20</v>
      </c>
      <c r="AZ101" s="229">
        <v>0.15820000000000001</v>
      </c>
      <c r="BA101" s="228">
        <v>15</v>
      </c>
      <c r="BB101" s="228">
        <v>11</v>
      </c>
      <c r="BC101" s="228">
        <v>4</v>
      </c>
      <c r="BD101" s="229">
        <v>0.39639999999999997</v>
      </c>
      <c r="BE101" s="228">
        <v>2</v>
      </c>
      <c r="BF101" s="228">
        <v>2</v>
      </c>
      <c r="BG101" s="228">
        <v>0</v>
      </c>
      <c r="BH101" s="229">
        <v>2.86E-2</v>
      </c>
      <c r="BI101" s="228">
        <v>287</v>
      </c>
      <c r="BJ101" s="228">
        <v>334</v>
      </c>
      <c r="BK101" s="228">
        <v>-47</v>
      </c>
      <c r="BL101" s="229">
        <v>-0.14019999999999999</v>
      </c>
      <c r="BM101" s="228">
        <v>61</v>
      </c>
      <c r="BN101" s="228">
        <v>99</v>
      </c>
      <c r="BO101" s="228">
        <v>-38</v>
      </c>
      <c r="BP101" s="229">
        <v>-0.38479999999999998</v>
      </c>
      <c r="BQ101" s="228">
        <v>513</v>
      </c>
      <c r="BR101" s="228">
        <v>573</v>
      </c>
      <c r="BS101" s="228">
        <v>-60</v>
      </c>
      <c r="BT101" s="229">
        <v>-0.10539999999999999</v>
      </c>
      <c r="BU101" s="230">
        <v>8976200</v>
      </c>
      <c r="BV101" s="230">
        <v>8211185</v>
      </c>
      <c r="BW101" s="230">
        <v>765015</v>
      </c>
      <c r="BX101" s="229">
        <v>9.3200000000000005E-2</v>
      </c>
      <c r="BY101" s="228">
        <v>699</v>
      </c>
      <c r="BZ101" s="228">
        <v>668</v>
      </c>
      <c r="CA101" s="228">
        <v>31</v>
      </c>
      <c r="CB101" s="229">
        <v>4.6100000000000002E-2</v>
      </c>
      <c r="CC101" s="228">
        <v>634</v>
      </c>
      <c r="CD101" s="228">
        <v>608</v>
      </c>
      <c r="CE101" s="228">
        <v>26</v>
      </c>
      <c r="CF101" s="229">
        <v>4.2000000000000003E-2</v>
      </c>
      <c r="CG101" s="228">
        <v>62</v>
      </c>
      <c r="CH101" s="228">
        <v>59</v>
      </c>
      <c r="CI101" s="228">
        <v>4</v>
      </c>
      <c r="CJ101" s="229">
        <v>6.5600000000000006E-2</v>
      </c>
      <c r="CK101" s="228">
        <v>3</v>
      </c>
      <c r="CL101" s="228">
        <v>1</v>
      </c>
      <c r="CM101" s="228">
        <v>1</v>
      </c>
      <c r="CN101" s="229">
        <v>0.9677</v>
      </c>
      <c r="CO101" s="228">
        <v>351</v>
      </c>
      <c r="CP101" s="228">
        <v>318</v>
      </c>
      <c r="CQ101" s="228">
        <v>33</v>
      </c>
      <c r="CR101" s="229">
        <v>0.10290000000000001</v>
      </c>
      <c r="CS101" s="228">
        <v>210</v>
      </c>
      <c r="CT101" s="228">
        <v>203</v>
      </c>
      <c r="CU101" s="228">
        <v>7</v>
      </c>
      <c r="CV101" s="229">
        <v>3.3599999999999998E-2</v>
      </c>
      <c r="CW101" s="230">
        <v>1259</v>
      </c>
      <c r="CX101" s="230">
        <v>1189</v>
      </c>
      <c r="CY101" s="228">
        <v>70</v>
      </c>
      <c r="CZ101" s="229">
        <v>5.9200000000000003E-2</v>
      </c>
      <c r="DA101" s="228">
        <v>35.619999999999997</v>
      </c>
      <c r="DB101" s="228">
        <v>36.29</v>
      </c>
      <c r="DC101" s="228">
        <v>-0.67</v>
      </c>
      <c r="DD101" s="228">
        <v>-0.67</v>
      </c>
      <c r="DE101" s="228">
        <v>47.98</v>
      </c>
      <c r="DF101" s="228">
        <v>48.08</v>
      </c>
      <c r="DG101" s="228">
        <v>-12.36</v>
      </c>
      <c r="DH101" s="228">
        <v>-0.1</v>
      </c>
      <c r="DI101" s="228">
        <v>35.76</v>
      </c>
      <c r="DJ101" s="228">
        <v>35.93</v>
      </c>
      <c r="DK101" s="228">
        <v>-0.17</v>
      </c>
      <c r="DL101" s="228">
        <v>-0.17</v>
      </c>
      <c r="DM101" s="228">
        <v>34.93</v>
      </c>
      <c r="DN101" s="228">
        <v>37.479999999999997</v>
      </c>
      <c r="DO101" s="228">
        <v>-2.5499999999999998</v>
      </c>
      <c r="DP101" s="228">
        <v>-2.5499999999999998</v>
      </c>
      <c r="DQ101" s="228">
        <v>0.6</v>
      </c>
      <c r="DR101" s="228">
        <v>0.64</v>
      </c>
      <c r="DS101" s="228">
        <v>-0.04</v>
      </c>
      <c r="DT101" s="229">
        <v>-6.25E-2</v>
      </c>
      <c r="DU101" s="228">
        <v>150</v>
      </c>
      <c r="DV101" s="228">
        <v>140</v>
      </c>
      <c r="DW101" s="228">
        <v>0.21</v>
      </c>
      <c r="DX101" s="228">
        <v>0.3</v>
      </c>
      <c r="DY101" s="228">
        <v>-0.09</v>
      </c>
      <c r="DZ101" s="229">
        <v>-0.3</v>
      </c>
      <c r="EA101" s="229">
        <v>9.3399999999999997E-2</v>
      </c>
      <c r="EB101" s="230">
        <v>4312500</v>
      </c>
      <c r="EC101" s="229">
        <v>-1.9E-3</v>
      </c>
      <c r="ED101" s="229">
        <v>9.3399999999999997E-2</v>
      </c>
      <c r="EE101" s="228">
        <v>-0.23</v>
      </c>
      <c r="EF101" s="229">
        <v>-1.6000000000000001E-3</v>
      </c>
      <c r="EG101" s="230">
        <v>2738012</v>
      </c>
      <c r="EH101" s="230">
        <v>2356013</v>
      </c>
      <c r="EI101" s="229">
        <v>0.16209999999999999</v>
      </c>
      <c r="EJ101" s="229">
        <v>0.30499999999999999</v>
      </c>
      <c r="EK101" s="228">
        <v>310.77</v>
      </c>
      <c r="EL101" s="228">
        <v>61.05</v>
      </c>
      <c r="EM101" s="228">
        <v>165.47</v>
      </c>
      <c r="EN101" s="228">
        <v>99.6</v>
      </c>
      <c r="EO101" s="228">
        <v>537.29</v>
      </c>
      <c r="EP101" s="228">
        <v>597.76</v>
      </c>
      <c r="EQ101" s="228">
        <v>-60.47</v>
      </c>
      <c r="ER101" s="229">
        <v>-0.1012</v>
      </c>
      <c r="ES101" s="228">
        <v>370.31</v>
      </c>
      <c r="ET101" s="228">
        <v>208.62</v>
      </c>
      <c r="EU101" s="228">
        <v>698.76</v>
      </c>
      <c r="EV101" s="231">
        <v>119011160</v>
      </c>
      <c r="EW101" s="231">
        <v>1277.69</v>
      </c>
      <c r="EX101" s="231">
        <v>1213.99</v>
      </c>
      <c r="EY101" s="228">
        <v>63.7</v>
      </c>
      <c r="EZ101" s="229">
        <v>5.2499999999999998E-2</v>
      </c>
      <c r="FA101" s="229">
        <v>0.76029999999999998</v>
      </c>
      <c r="FB101" s="227" t="s">
        <v>567</v>
      </c>
      <c r="FC101">
        <f t="shared" si="1"/>
        <v>65</v>
      </c>
    </row>
    <row r="102" spans="1:159" ht="17.25" thickBot="1" x14ac:dyDescent="0.3">
      <c r="A102" s="226">
        <v>46023</v>
      </c>
      <c r="B102" s="227" t="s">
        <v>215</v>
      </c>
      <c r="C102" s="227" t="s">
        <v>592</v>
      </c>
      <c r="D102" s="228">
        <v>4250</v>
      </c>
      <c r="E102" s="228">
        <v>26</v>
      </c>
      <c r="F102" s="228">
        <v>126.52</v>
      </c>
      <c r="G102" s="228">
        <v>124.85</v>
      </c>
      <c r="H102" s="228">
        <v>1.67</v>
      </c>
      <c r="I102" s="229">
        <v>1.34E-2</v>
      </c>
      <c r="J102" s="228">
        <v>125.79</v>
      </c>
      <c r="K102" s="228">
        <v>124.62</v>
      </c>
      <c r="L102" s="228">
        <v>1.17</v>
      </c>
      <c r="M102" s="229">
        <v>9.4000000000000004E-3</v>
      </c>
      <c r="N102" s="228">
        <v>126.52</v>
      </c>
      <c r="O102" s="228">
        <v>124.85</v>
      </c>
      <c r="P102" s="228">
        <v>1.67</v>
      </c>
      <c r="Q102" s="229">
        <v>1.34E-2</v>
      </c>
      <c r="R102" s="228">
        <v>127.14</v>
      </c>
      <c r="S102" s="228">
        <v>125.4</v>
      </c>
      <c r="T102" s="228">
        <v>1.74</v>
      </c>
      <c r="U102" s="229">
        <v>1.3899999999999999E-2</v>
      </c>
      <c r="V102" s="228">
        <v>127.72</v>
      </c>
      <c r="W102" s="228">
        <v>125.9</v>
      </c>
      <c r="X102" s="228">
        <v>1.82</v>
      </c>
      <c r="Y102" s="229">
        <v>1.4500000000000001E-2</v>
      </c>
      <c r="Z102" s="228">
        <v>0.73</v>
      </c>
      <c r="AA102" s="228">
        <v>0.23</v>
      </c>
      <c r="AB102" s="228">
        <v>0.5</v>
      </c>
      <c r="AC102" s="229">
        <v>5.7999999999999996E-3</v>
      </c>
      <c r="AD102" s="228">
        <v>0.73</v>
      </c>
      <c r="AE102" s="228">
        <v>0.23</v>
      </c>
      <c r="AF102" s="228">
        <v>0.5</v>
      </c>
      <c r="AG102" s="229">
        <v>5.7999999999999996E-3</v>
      </c>
      <c r="AH102" s="228">
        <v>1.35</v>
      </c>
      <c r="AI102" s="228">
        <v>0.78</v>
      </c>
      <c r="AJ102" s="228">
        <v>0.56999999999999995</v>
      </c>
      <c r="AK102" s="229">
        <v>1.0699999999999999E-2</v>
      </c>
      <c r="AL102" s="228">
        <v>1.93</v>
      </c>
      <c r="AM102" s="228">
        <v>1.28</v>
      </c>
      <c r="AN102" s="228">
        <v>0.65</v>
      </c>
      <c r="AO102" s="229">
        <v>1.5299999999999999E-2</v>
      </c>
      <c r="AP102" s="228">
        <v>125.74</v>
      </c>
      <c r="AQ102" s="228">
        <v>126.12</v>
      </c>
      <c r="AR102" s="228">
        <v>0</v>
      </c>
      <c r="AS102" s="228">
        <v>152</v>
      </c>
      <c r="AT102" s="228">
        <v>246</v>
      </c>
      <c r="AU102" s="228">
        <v>-94</v>
      </c>
      <c r="AV102" s="229">
        <v>-0.3831</v>
      </c>
      <c r="AW102" s="228">
        <v>141</v>
      </c>
      <c r="AX102" s="228">
        <v>226</v>
      </c>
      <c r="AY102" s="228">
        <v>-85</v>
      </c>
      <c r="AZ102" s="229">
        <v>-0.37719999999999998</v>
      </c>
      <c r="BA102" s="228">
        <v>10</v>
      </c>
      <c r="BB102" s="228">
        <v>18</v>
      </c>
      <c r="BC102" s="228">
        <v>-8</v>
      </c>
      <c r="BD102" s="229">
        <v>-0.42299999999999999</v>
      </c>
      <c r="BE102" s="228">
        <v>1</v>
      </c>
      <c r="BF102" s="228">
        <v>2</v>
      </c>
      <c r="BG102" s="228">
        <v>-1</v>
      </c>
      <c r="BH102" s="229">
        <v>-0.70269999999999999</v>
      </c>
      <c r="BI102" s="228">
        <v>532</v>
      </c>
      <c r="BJ102" s="228">
        <v>894</v>
      </c>
      <c r="BK102" s="228">
        <v>-363</v>
      </c>
      <c r="BL102" s="229">
        <v>-0.40570000000000001</v>
      </c>
      <c r="BM102" s="228">
        <v>147</v>
      </c>
      <c r="BN102" s="228">
        <v>264</v>
      </c>
      <c r="BO102" s="228">
        <v>-116</v>
      </c>
      <c r="BP102" s="229">
        <v>-0.44069999999999998</v>
      </c>
      <c r="BQ102" s="228">
        <v>831</v>
      </c>
      <c r="BR102" s="230">
        <v>1404</v>
      </c>
      <c r="BS102" s="228">
        <v>-573</v>
      </c>
      <c r="BT102" s="229">
        <v>-0.4083</v>
      </c>
      <c r="BU102" s="230">
        <v>17099554</v>
      </c>
      <c r="BV102" s="230">
        <v>29130617</v>
      </c>
      <c r="BW102" s="230">
        <v>-12031063</v>
      </c>
      <c r="BX102" s="229">
        <v>-0.41299999999999998</v>
      </c>
      <c r="BY102" s="228">
        <v>778</v>
      </c>
      <c r="BZ102" s="228">
        <v>770</v>
      </c>
      <c r="CA102" s="228">
        <v>8</v>
      </c>
      <c r="CB102" s="229">
        <v>1.0500000000000001E-2</v>
      </c>
      <c r="CC102" s="228">
        <v>720</v>
      </c>
      <c r="CD102" s="228">
        <v>713</v>
      </c>
      <c r="CE102" s="228">
        <v>7</v>
      </c>
      <c r="CF102" s="229">
        <v>9.1999999999999998E-3</v>
      </c>
      <c r="CG102" s="228">
        <v>56</v>
      </c>
      <c r="CH102" s="228">
        <v>55</v>
      </c>
      <c r="CI102" s="228">
        <v>1</v>
      </c>
      <c r="CJ102" s="229">
        <v>2.0500000000000001E-2</v>
      </c>
      <c r="CK102" s="228">
        <v>2</v>
      </c>
      <c r="CL102" s="228">
        <v>2</v>
      </c>
      <c r="CM102" s="228">
        <v>0</v>
      </c>
      <c r="CN102" s="229">
        <v>0.2258</v>
      </c>
      <c r="CO102" s="228">
        <v>929</v>
      </c>
      <c r="CP102" s="228">
        <v>935</v>
      </c>
      <c r="CQ102" s="228">
        <v>-6</v>
      </c>
      <c r="CR102" s="229">
        <v>-6.4000000000000003E-3</v>
      </c>
      <c r="CS102" s="228">
        <v>389</v>
      </c>
      <c r="CT102" s="228">
        <v>384</v>
      </c>
      <c r="CU102" s="228">
        <v>5</v>
      </c>
      <c r="CV102" s="229">
        <v>1.2999999999999999E-2</v>
      </c>
      <c r="CW102" s="230">
        <v>2096</v>
      </c>
      <c r="CX102" s="230">
        <v>2089</v>
      </c>
      <c r="CY102" s="228">
        <v>7</v>
      </c>
      <c r="CZ102" s="229">
        <v>3.3999999999999998E-3</v>
      </c>
      <c r="DA102" s="228">
        <v>39.42</v>
      </c>
      <c r="DB102" s="228">
        <v>40.54</v>
      </c>
      <c r="DC102" s="228">
        <v>-1.1200000000000001</v>
      </c>
      <c r="DD102" s="228">
        <v>-1.1200000000000001</v>
      </c>
      <c r="DE102" s="228">
        <v>45.87</v>
      </c>
      <c r="DF102" s="228">
        <v>45.95</v>
      </c>
      <c r="DG102" s="228">
        <v>-6.45</v>
      </c>
      <c r="DH102" s="228">
        <v>-0.08</v>
      </c>
      <c r="DI102" s="228">
        <v>39.69</v>
      </c>
      <c r="DJ102" s="228">
        <v>41.01</v>
      </c>
      <c r="DK102" s="228">
        <v>-1.32</v>
      </c>
      <c r="DL102" s="228">
        <v>-1.32</v>
      </c>
      <c r="DM102" s="228">
        <v>38.46</v>
      </c>
      <c r="DN102" s="228">
        <v>38.950000000000003</v>
      </c>
      <c r="DO102" s="228">
        <v>-0.49</v>
      </c>
      <c r="DP102" s="228">
        <v>-0.49</v>
      </c>
      <c r="DQ102" s="228">
        <v>0.42</v>
      </c>
      <c r="DR102" s="228">
        <v>0.41</v>
      </c>
      <c r="DS102" s="228">
        <v>0.01</v>
      </c>
      <c r="DT102" s="229">
        <v>2.4400000000000002E-2</v>
      </c>
      <c r="DU102" s="228">
        <v>140</v>
      </c>
      <c r="DV102" s="228">
        <v>125</v>
      </c>
      <c r="DW102" s="228">
        <v>0.28000000000000003</v>
      </c>
      <c r="DX102" s="228">
        <v>0.28999999999999998</v>
      </c>
      <c r="DY102" s="228">
        <v>-0.01</v>
      </c>
      <c r="DZ102" s="229">
        <v>-3.4500000000000003E-2</v>
      </c>
      <c r="EA102" s="229">
        <v>7.4999999999999997E-2</v>
      </c>
      <c r="EB102" s="230">
        <v>4492250</v>
      </c>
      <c r="EC102" s="229">
        <v>4.8999999999999998E-3</v>
      </c>
      <c r="ED102" s="229">
        <v>7.4999999999999997E-2</v>
      </c>
      <c r="EE102" s="228">
        <v>0.38</v>
      </c>
      <c r="EF102" s="229">
        <v>3.0000000000000001E-3</v>
      </c>
      <c r="EG102" s="230">
        <v>4330071</v>
      </c>
      <c r="EH102" s="230">
        <v>7957141</v>
      </c>
      <c r="EI102" s="229">
        <v>-0.45579999999999998</v>
      </c>
      <c r="EJ102" s="229">
        <v>0.25319999999999998</v>
      </c>
      <c r="EK102" s="228">
        <v>573.79999999999995</v>
      </c>
      <c r="EL102" s="228">
        <v>141.58000000000001</v>
      </c>
      <c r="EM102" s="228">
        <v>150.79</v>
      </c>
      <c r="EN102" s="228">
        <v>156.61000000000001</v>
      </c>
      <c r="EO102" s="228">
        <v>866.17</v>
      </c>
      <c r="EP102" s="231">
        <v>1467.98</v>
      </c>
      <c r="EQ102" s="228">
        <v>-601.80999999999995</v>
      </c>
      <c r="ER102" s="229">
        <v>-0.41</v>
      </c>
      <c r="ES102" s="228">
        <v>995.88</v>
      </c>
      <c r="ET102" s="228">
        <v>372.97</v>
      </c>
      <c r="EU102" s="228">
        <v>778.58</v>
      </c>
      <c r="EV102" s="231">
        <v>200960551</v>
      </c>
      <c r="EW102" s="231">
        <v>2147.4299999999998</v>
      </c>
      <c r="EX102" s="231">
        <v>2130.14</v>
      </c>
      <c r="EY102" s="228">
        <v>17.29</v>
      </c>
      <c r="EZ102" s="229">
        <v>8.0999999999999996E-3</v>
      </c>
      <c r="FA102" s="229">
        <v>0.82440000000000002</v>
      </c>
      <c r="FB102" s="227" t="s">
        <v>555</v>
      </c>
      <c r="FC102">
        <f t="shared" si="1"/>
        <v>58</v>
      </c>
    </row>
    <row r="103" spans="1:159" ht="17.25" thickBot="1" x14ac:dyDescent="0.3">
      <c r="A103" s="226">
        <v>46023</v>
      </c>
      <c r="B103" s="227" t="s">
        <v>168</v>
      </c>
      <c r="C103" s="227" t="s">
        <v>242</v>
      </c>
      <c r="D103" s="228">
        <v>1600</v>
      </c>
      <c r="E103" s="228">
        <v>26</v>
      </c>
      <c r="F103" s="228">
        <v>366.1</v>
      </c>
      <c r="G103" s="228">
        <v>405.4</v>
      </c>
      <c r="H103" s="228">
        <v>-39.299999999999997</v>
      </c>
      <c r="I103" s="229">
        <v>-9.69E-2</v>
      </c>
      <c r="J103" s="228">
        <v>363.85</v>
      </c>
      <c r="K103" s="228">
        <v>403</v>
      </c>
      <c r="L103" s="228">
        <v>-39.15</v>
      </c>
      <c r="M103" s="229">
        <v>-9.7100000000000006E-2</v>
      </c>
      <c r="N103" s="228">
        <v>366.1</v>
      </c>
      <c r="O103" s="228">
        <v>405.4</v>
      </c>
      <c r="P103" s="228">
        <v>-39.299999999999997</v>
      </c>
      <c r="Q103" s="229">
        <v>-9.69E-2</v>
      </c>
      <c r="R103" s="228">
        <v>364.7</v>
      </c>
      <c r="S103" s="228">
        <v>402.7</v>
      </c>
      <c r="T103" s="228">
        <v>-38</v>
      </c>
      <c r="U103" s="229">
        <v>-9.4399999999999998E-2</v>
      </c>
      <c r="V103" s="228">
        <v>367</v>
      </c>
      <c r="W103" s="228">
        <v>405.25</v>
      </c>
      <c r="X103" s="228">
        <v>-38.25</v>
      </c>
      <c r="Y103" s="229">
        <v>-9.4399999999999998E-2</v>
      </c>
      <c r="Z103" s="228">
        <v>2.25</v>
      </c>
      <c r="AA103" s="228">
        <v>2.4</v>
      </c>
      <c r="AB103" s="228">
        <v>-0.15</v>
      </c>
      <c r="AC103" s="229">
        <v>6.1999999999999998E-3</v>
      </c>
      <c r="AD103" s="228">
        <v>2.25</v>
      </c>
      <c r="AE103" s="228">
        <v>2.4</v>
      </c>
      <c r="AF103" s="228">
        <v>-0.15</v>
      </c>
      <c r="AG103" s="229">
        <v>6.1999999999999998E-3</v>
      </c>
      <c r="AH103" s="228">
        <v>0.85</v>
      </c>
      <c r="AI103" s="228">
        <v>-0.3</v>
      </c>
      <c r="AJ103" s="228">
        <v>1.1499999999999999</v>
      </c>
      <c r="AK103" s="229">
        <v>2.3E-3</v>
      </c>
      <c r="AL103" s="228">
        <v>3.15</v>
      </c>
      <c r="AM103" s="228">
        <v>2.25</v>
      </c>
      <c r="AN103" s="228">
        <v>0.9</v>
      </c>
      <c r="AO103" s="229">
        <v>8.6999999999999994E-3</v>
      </c>
      <c r="AP103" s="228">
        <v>374.94</v>
      </c>
      <c r="AQ103" s="228">
        <v>373.24</v>
      </c>
      <c r="AR103" s="228">
        <v>0</v>
      </c>
      <c r="AS103" s="230">
        <v>7336</v>
      </c>
      <c r="AT103" s="228">
        <v>347</v>
      </c>
      <c r="AU103" s="230">
        <v>6989</v>
      </c>
      <c r="AV103" s="229">
        <v>20.1418</v>
      </c>
      <c r="AW103" s="230">
        <v>6427</v>
      </c>
      <c r="AX103" s="228">
        <v>305</v>
      </c>
      <c r="AY103" s="230">
        <v>6122</v>
      </c>
      <c r="AZ103" s="229">
        <v>20.076499999999999</v>
      </c>
      <c r="BA103" s="228">
        <v>787</v>
      </c>
      <c r="BB103" s="228">
        <v>40</v>
      </c>
      <c r="BC103" s="228">
        <v>746</v>
      </c>
      <c r="BD103" s="229">
        <v>18.494900000000001</v>
      </c>
      <c r="BE103" s="228">
        <v>122</v>
      </c>
      <c r="BF103" s="228">
        <v>2</v>
      </c>
      <c r="BG103" s="228">
        <v>121</v>
      </c>
      <c r="BH103" s="229">
        <v>71</v>
      </c>
      <c r="BI103" s="230">
        <v>29194</v>
      </c>
      <c r="BJ103" s="230">
        <v>1651</v>
      </c>
      <c r="BK103" s="230">
        <v>27543</v>
      </c>
      <c r="BL103" s="229">
        <v>16.684799999999999</v>
      </c>
      <c r="BM103" s="230">
        <v>25559</v>
      </c>
      <c r="BN103" s="228">
        <v>666</v>
      </c>
      <c r="BO103" s="230">
        <v>24893</v>
      </c>
      <c r="BP103" s="229">
        <v>37.389299999999999</v>
      </c>
      <c r="BQ103" s="230">
        <v>62089</v>
      </c>
      <c r="BR103" s="230">
        <v>2664</v>
      </c>
      <c r="BS103" s="230">
        <v>59425</v>
      </c>
      <c r="BT103" s="229">
        <v>22.310400000000001</v>
      </c>
      <c r="BU103" s="230">
        <v>294510859</v>
      </c>
      <c r="BV103" s="230">
        <v>10310691</v>
      </c>
      <c r="BW103" s="230">
        <v>284200168</v>
      </c>
      <c r="BX103" s="229">
        <v>27.563600000000001</v>
      </c>
      <c r="BY103" s="230">
        <v>7948</v>
      </c>
      <c r="BZ103" s="230">
        <v>6408</v>
      </c>
      <c r="CA103" s="230">
        <v>1540</v>
      </c>
      <c r="CB103" s="229">
        <v>0.24030000000000001</v>
      </c>
      <c r="CC103" s="230">
        <v>7249</v>
      </c>
      <c r="CD103" s="230">
        <v>6190</v>
      </c>
      <c r="CE103" s="230">
        <v>1060</v>
      </c>
      <c r="CF103" s="229">
        <v>0.17119999999999999</v>
      </c>
      <c r="CG103" s="228">
        <v>614</v>
      </c>
      <c r="CH103" s="228">
        <v>217</v>
      </c>
      <c r="CI103" s="228">
        <v>397</v>
      </c>
      <c r="CJ103" s="229">
        <v>1.8273999999999999</v>
      </c>
      <c r="CK103" s="228">
        <v>85</v>
      </c>
      <c r="CL103" s="228">
        <v>1</v>
      </c>
      <c r="CM103" s="228">
        <v>83</v>
      </c>
      <c r="CN103" s="229">
        <v>61.912999999999997</v>
      </c>
      <c r="CO103" s="230">
        <v>6708</v>
      </c>
      <c r="CP103" s="230">
        <v>1500</v>
      </c>
      <c r="CQ103" s="230">
        <v>5207</v>
      </c>
      <c r="CR103" s="229">
        <v>3.4704000000000002</v>
      </c>
      <c r="CS103" s="230">
        <v>3427</v>
      </c>
      <c r="CT103" s="228">
        <v>899</v>
      </c>
      <c r="CU103" s="230">
        <v>2528</v>
      </c>
      <c r="CV103" s="229">
        <v>2.8123</v>
      </c>
      <c r="CW103" s="230">
        <v>18083</v>
      </c>
      <c r="CX103" s="230">
        <v>8808</v>
      </c>
      <c r="CY103" s="230">
        <v>9275</v>
      </c>
      <c r="CZ103" s="229">
        <v>1.0530999999999999</v>
      </c>
      <c r="DA103" s="228">
        <v>26.3</v>
      </c>
      <c r="DB103" s="228">
        <v>12.82</v>
      </c>
      <c r="DC103" s="228">
        <v>13.48</v>
      </c>
      <c r="DD103" s="228">
        <v>13.48</v>
      </c>
      <c r="DE103" s="228">
        <v>22.81</v>
      </c>
      <c r="DF103" s="228">
        <v>18.2</v>
      </c>
      <c r="DG103" s="228">
        <v>3.49</v>
      </c>
      <c r="DH103" s="228">
        <v>4.6100000000000003</v>
      </c>
      <c r="DI103" s="228">
        <v>26.43</v>
      </c>
      <c r="DJ103" s="228">
        <v>12.65</v>
      </c>
      <c r="DK103" s="228">
        <v>13.78</v>
      </c>
      <c r="DL103" s="228">
        <v>13.78</v>
      </c>
      <c r="DM103" s="228">
        <v>26.15</v>
      </c>
      <c r="DN103" s="228">
        <v>13.26</v>
      </c>
      <c r="DO103" s="228">
        <v>12.89</v>
      </c>
      <c r="DP103" s="228">
        <v>12.89</v>
      </c>
      <c r="DQ103" s="228">
        <v>0.51</v>
      </c>
      <c r="DR103" s="228">
        <v>0.6</v>
      </c>
      <c r="DS103" s="228">
        <v>-0.09</v>
      </c>
      <c r="DT103" s="229">
        <v>-0.15</v>
      </c>
      <c r="DU103" s="228">
        <v>400</v>
      </c>
      <c r="DV103" s="228">
        <v>350</v>
      </c>
      <c r="DW103" s="228">
        <v>0.88</v>
      </c>
      <c r="DX103" s="228">
        <v>0.4</v>
      </c>
      <c r="DY103" s="228">
        <v>0.48</v>
      </c>
      <c r="DZ103" s="229">
        <v>1.2</v>
      </c>
      <c r="EA103" s="229">
        <v>8.7900000000000006E-2</v>
      </c>
      <c r="EB103" s="230">
        <v>5969600</v>
      </c>
      <c r="EC103" s="229">
        <v>-3.8E-3</v>
      </c>
      <c r="ED103" s="229">
        <v>8.7900000000000006E-2</v>
      </c>
      <c r="EE103" s="228">
        <v>-1.7</v>
      </c>
      <c r="EF103" s="229">
        <v>-4.4999999999999997E-3</v>
      </c>
      <c r="EG103" s="230">
        <v>161811722</v>
      </c>
      <c r="EH103" s="230">
        <v>7747879</v>
      </c>
      <c r="EI103" s="229">
        <v>19.884599999999999</v>
      </c>
      <c r="EJ103" s="229">
        <v>0.5494</v>
      </c>
      <c r="EK103" s="231">
        <v>31514.01</v>
      </c>
      <c r="EL103" s="231">
        <v>26008.75</v>
      </c>
      <c r="EM103" s="231">
        <v>7509.41</v>
      </c>
      <c r="EN103" s="228">
        <v>317.58</v>
      </c>
      <c r="EO103" s="231">
        <v>65032.160000000003</v>
      </c>
      <c r="EP103" s="231">
        <v>2989.26</v>
      </c>
      <c r="EQ103" s="231">
        <v>62042.9</v>
      </c>
      <c r="ER103" s="229">
        <v>20.755299999999998</v>
      </c>
      <c r="ES103" s="231">
        <v>7196.93</v>
      </c>
      <c r="ET103" s="231">
        <v>3439.61</v>
      </c>
      <c r="EU103" s="231">
        <v>7946.15</v>
      </c>
      <c r="EV103" s="231">
        <v>1252401670</v>
      </c>
      <c r="EW103" s="231">
        <v>18582.689999999999</v>
      </c>
      <c r="EX103" s="231">
        <v>9781.89</v>
      </c>
      <c r="EY103" s="231">
        <v>8800.7999999999993</v>
      </c>
      <c r="EZ103" s="229">
        <v>0.89970000000000006</v>
      </c>
      <c r="FA103" s="229">
        <v>0.39439999999999997</v>
      </c>
      <c r="FB103" s="227" t="s">
        <v>567</v>
      </c>
      <c r="FC103">
        <f t="shared" si="1"/>
        <v>699</v>
      </c>
    </row>
    <row r="104" spans="1:159" ht="17.25" thickBot="1" x14ac:dyDescent="0.3">
      <c r="A104" s="226">
        <v>46023</v>
      </c>
      <c r="B104" s="227" t="s">
        <v>227</v>
      </c>
      <c r="C104" s="227" t="s">
        <v>243</v>
      </c>
      <c r="D104" s="228">
        <v>625</v>
      </c>
      <c r="E104" s="228">
        <v>26</v>
      </c>
      <c r="F104" s="231">
        <v>1072.4000000000001</v>
      </c>
      <c r="G104" s="231">
        <v>1057.4000000000001</v>
      </c>
      <c r="H104" s="228">
        <v>15</v>
      </c>
      <c r="I104" s="229">
        <v>1.4200000000000001E-2</v>
      </c>
      <c r="J104" s="231">
        <v>1068.4000000000001</v>
      </c>
      <c r="K104" s="231">
        <v>1053.8</v>
      </c>
      <c r="L104" s="228">
        <v>14.6</v>
      </c>
      <c r="M104" s="229">
        <v>1.3899999999999999E-2</v>
      </c>
      <c r="N104" s="231">
        <v>1072.4000000000001</v>
      </c>
      <c r="O104" s="231">
        <v>1057.4000000000001</v>
      </c>
      <c r="P104" s="228">
        <v>15</v>
      </c>
      <c r="Q104" s="229">
        <v>1.4200000000000001E-2</v>
      </c>
      <c r="R104" s="231">
        <v>1078.5999999999999</v>
      </c>
      <c r="S104" s="231">
        <v>1063.5</v>
      </c>
      <c r="T104" s="228">
        <v>15.1</v>
      </c>
      <c r="U104" s="229">
        <v>1.4200000000000001E-2</v>
      </c>
      <c r="V104" s="231">
        <v>1085.7</v>
      </c>
      <c r="W104" s="231">
        <v>1069.5</v>
      </c>
      <c r="X104" s="228">
        <v>16.2</v>
      </c>
      <c r="Y104" s="229">
        <v>1.5100000000000001E-2</v>
      </c>
      <c r="Z104" s="228">
        <v>4</v>
      </c>
      <c r="AA104" s="228">
        <v>3.6</v>
      </c>
      <c r="AB104" s="228">
        <v>0.4</v>
      </c>
      <c r="AC104" s="229">
        <v>3.7000000000000002E-3</v>
      </c>
      <c r="AD104" s="228">
        <v>4</v>
      </c>
      <c r="AE104" s="228">
        <v>3.6</v>
      </c>
      <c r="AF104" s="228">
        <v>0.4</v>
      </c>
      <c r="AG104" s="229">
        <v>3.7000000000000002E-3</v>
      </c>
      <c r="AH104" s="228">
        <v>10.199999999999999</v>
      </c>
      <c r="AI104" s="228">
        <v>9.6999999999999993</v>
      </c>
      <c r="AJ104" s="228">
        <v>0.5</v>
      </c>
      <c r="AK104" s="229">
        <v>9.4999999999999998E-3</v>
      </c>
      <c r="AL104" s="228">
        <v>17.3</v>
      </c>
      <c r="AM104" s="228">
        <v>15.7</v>
      </c>
      <c r="AN104" s="228">
        <v>1.6</v>
      </c>
      <c r="AO104" s="229">
        <v>1.6199999999999999E-2</v>
      </c>
      <c r="AP104" s="231">
        <v>1065.04</v>
      </c>
      <c r="AQ104" s="231">
        <v>1069.74</v>
      </c>
      <c r="AR104" s="228">
        <v>0</v>
      </c>
      <c r="AS104" s="228">
        <v>290</v>
      </c>
      <c r="AT104" s="228">
        <v>750</v>
      </c>
      <c r="AU104" s="228">
        <v>-460</v>
      </c>
      <c r="AV104" s="229">
        <v>-0.61370000000000002</v>
      </c>
      <c r="AW104" s="228">
        <v>281</v>
      </c>
      <c r="AX104" s="228">
        <v>731</v>
      </c>
      <c r="AY104" s="228">
        <v>-450</v>
      </c>
      <c r="AZ104" s="229">
        <v>-0.61599999999999999</v>
      </c>
      <c r="BA104" s="228">
        <v>9</v>
      </c>
      <c r="BB104" s="228">
        <v>19</v>
      </c>
      <c r="BC104" s="228">
        <v>-10</v>
      </c>
      <c r="BD104" s="229">
        <v>-0.51770000000000005</v>
      </c>
      <c r="BE104" s="228">
        <v>0</v>
      </c>
      <c r="BF104" s="228">
        <v>1</v>
      </c>
      <c r="BG104" s="228">
        <v>-1</v>
      </c>
      <c r="BH104" s="229">
        <v>-0.75</v>
      </c>
      <c r="BI104" s="228">
        <v>839</v>
      </c>
      <c r="BJ104" s="230">
        <v>2476</v>
      </c>
      <c r="BK104" s="230">
        <v>-1637</v>
      </c>
      <c r="BL104" s="229">
        <v>-0.66110000000000002</v>
      </c>
      <c r="BM104" s="228">
        <v>434</v>
      </c>
      <c r="BN104" s="228">
        <v>927</v>
      </c>
      <c r="BO104" s="228">
        <v>-493</v>
      </c>
      <c r="BP104" s="229">
        <v>-0.53149999999999997</v>
      </c>
      <c r="BQ104" s="230">
        <v>1563</v>
      </c>
      <c r="BR104" s="230">
        <v>4154</v>
      </c>
      <c r="BS104" s="230">
        <v>-2590</v>
      </c>
      <c r="BT104" s="229">
        <v>-0.62360000000000004</v>
      </c>
      <c r="BU104" s="230">
        <v>1405315</v>
      </c>
      <c r="BV104" s="230">
        <v>4809066</v>
      </c>
      <c r="BW104" s="230">
        <v>-3403751</v>
      </c>
      <c r="BX104" s="229">
        <v>-0.70779999999999998</v>
      </c>
      <c r="BY104" s="230">
        <v>1384</v>
      </c>
      <c r="BZ104" s="230">
        <v>1364</v>
      </c>
      <c r="CA104" s="228">
        <v>21</v>
      </c>
      <c r="CB104" s="229">
        <v>1.52E-2</v>
      </c>
      <c r="CC104" s="230">
        <v>1369</v>
      </c>
      <c r="CD104" s="230">
        <v>1350</v>
      </c>
      <c r="CE104" s="228">
        <v>20</v>
      </c>
      <c r="CF104" s="229">
        <v>1.46E-2</v>
      </c>
      <c r="CG104" s="228">
        <v>14</v>
      </c>
      <c r="CH104" s="228">
        <v>13</v>
      </c>
      <c r="CI104" s="228">
        <v>1</v>
      </c>
      <c r="CJ104" s="229">
        <v>6.5699999999999995E-2</v>
      </c>
      <c r="CK104" s="228">
        <v>1</v>
      </c>
      <c r="CL104" s="228">
        <v>1</v>
      </c>
      <c r="CM104" s="228">
        <v>0</v>
      </c>
      <c r="CN104" s="229">
        <v>0.3</v>
      </c>
      <c r="CO104" s="228">
        <v>423</v>
      </c>
      <c r="CP104" s="228">
        <v>461</v>
      </c>
      <c r="CQ104" s="228">
        <v>-39</v>
      </c>
      <c r="CR104" s="229">
        <v>-8.4099999999999994E-2</v>
      </c>
      <c r="CS104" s="228">
        <v>373</v>
      </c>
      <c r="CT104" s="228">
        <v>343</v>
      </c>
      <c r="CU104" s="228">
        <v>30</v>
      </c>
      <c r="CV104" s="229">
        <v>8.7999999999999995E-2</v>
      </c>
      <c r="CW104" s="230">
        <v>2180</v>
      </c>
      <c r="CX104" s="230">
        <v>2168</v>
      </c>
      <c r="CY104" s="228">
        <v>12</v>
      </c>
      <c r="CZ104" s="229">
        <v>5.5999999999999999E-3</v>
      </c>
      <c r="DA104" s="228">
        <v>24.98</v>
      </c>
      <c r="DB104" s="228">
        <v>26.48</v>
      </c>
      <c r="DC104" s="228">
        <v>-1.5</v>
      </c>
      <c r="DD104" s="228">
        <v>-1.5</v>
      </c>
      <c r="DE104" s="228">
        <v>34.340000000000003</v>
      </c>
      <c r="DF104" s="228">
        <v>34.369999999999997</v>
      </c>
      <c r="DG104" s="228">
        <v>-9.36</v>
      </c>
      <c r="DH104" s="228">
        <v>-0.03</v>
      </c>
      <c r="DI104" s="228">
        <v>24.76</v>
      </c>
      <c r="DJ104" s="228">
        <v>26.38</v>
      </c>
      <c r="DK104" s="228">
        <v>-1.62</v>
      </c>
      <c r="DL104" s="228">
        <v>-1.62</v>
      </c>
      <c r="DM104" s="228">
        <v>25.42</v>
      </c>
      <c r="DN104" s="228">
        <v>26.72</v>
      </c>
      <c r="DO104" s="228">
        <v>-1.3</v>
      </c>
      <c r="DP104" s="228">
        <v>-1.3</v>
      </c>
      <c r="DQ104" s="228">
        <v>0.88</v>
      </c>
      <c r="DR104" s="228">
        <v>0.74</v>
      </c>
      <c r="DS104" s="228">
        <v>0.14000000000000001</v>
      </c>
      <c r="DT104" s="229">
        <v>0.18920000000000001</v>
      </c>
      <c r="DU104" s="231">
        <v>1060</v>
      </c>
      <c r="DV104" s="231">
        <v>1000</v>
      </c>
      <c r="DW104" s="228">
        <v>0.52</v>
      </c>
      <c r="DX104" s="228">
        <v>0.37</v>
      </c>
      <c r="DY104" s="228">
        <v>0.15</v>
      </c>
      <c r="DZ104" s="229">
        <v>0.40539999999999998</v>
      </c>
      <c r="EA104" s="229">
        <v>1.0800000000000001E-2</v>
      </c>
      <c r="EB104" s="230">
        <v>130000</v>
      </c>
      <c r="EC104" s="229">
        <v>5.7999999999999996E-3</v>
      </c>
      <c r="ED104" s="229">
        <v>1.0800000000000001E-2</v>
      </c>
      <c r="EE104" s="228">
        <v>4.7</v>
      </c>
      <c r="EF104" s="229">
        <v>4.4000000000000003E-3</v>
      </c>
      <c r="EG104" s="230">
        <v>489434</v>
      </c>
      <c r="EH104" s="230">
        <v>2067757</v>
      </c>
      <c r="EI104" s="229">
        <v>-0.76329999999999998</v>
      </c>
      <c r="EJ104" s="229">
        <v>0.3483</v>
      </c>
      <c r="EK104" s="228">
        <v>867.01</v>
      </c>
      <c r="EL104" s="228">
        <v>425</v>
      </c>
      <c r="EM104" s="228">
        <v>287.94</v>
      </c>
      <c r="EN104" s="228">
        <v>139.38</v>
      </c>
      <c r="EO104" s="231">
        <v>1579.95</v>
      </c>
      <c r="EP104" s="231">
        <v>4201.9799999999996</v>
      </c>
      <c r="EQ104" s="231">
        <v>-2622.04</v>
      </c>
      <c r="ER104" s="229">
        <v>-0.624</v>
      </c>
      <c r="ES104" s="228">
        <v>429.99</v>
      </c>
      <c r="ET104" s="228">
        <v>350.09</v>
      </c>
      <c r="EU104" s="231">
        <v>1384.56</v>
      </c>
      <c r="EV104" s="231">
        <v>48257090</v>
      </c>
      <c r="EW104" s="231">
        <v>2164.64</v>
      </c>
      <c r="EX104" s="231">
        <v>2132.27</v>
      </c>
      <c r="EY104" s="228">
        <v>32.369999999999997</v>
      </c>
      <c r="EZ104" s="229">
        <v>1.52E-2</v>
      </c>
      <c r="FA104" s="229">
        <v>0.42130000000000001</v>
      </c>
      <c r="FB104" s="227" t="s">
        <v>555</v>
      </c>
      <c r="FC104">
        <f t="shared" si="1"/>
        <v>15</v>
      </c>
    </row>
    <row r="105" spans="1:159" ht="17.25" thickBot="1" x14ac:dyDescent="0.3">
      <c r="A105" s="226">
        <v>46023</v>
      </c>
      <c r="B105" s="227" t="s">
        <v>175</v>
      </c>
      <c r="C105" s="227" t="s">
        <v>570</v>
      </c>
      <c r="D105" s="228">
        <v>2350</v>
      </c>
      <c r="E105" s="228">
        <v>26</v>
      </c>
      <c r="F105" s="228">
        <v>297.7</v>
      </c>
      <c r="G105" s="228">
        <v>296.89999999999998</v>
      </c>
      <c r="H105" s="228">
        <v>0.8</v>
      </c>
      <c r="I105" s="229">
        <v>2.7000000000000001E-3</v>
      </c>
      <c r="J105" s="228">
        <v>295.7</v>
      </c>
      <c r="K105" s="228">
        <v>294.95</v>
      </c>
      <c r="L105" s="228">
        <v>0.75</v>
      </c>
      <c r="M105" s="229">
        <v>2.5000000000000001E-3</v>
      </c>
      <c r="N105" s="228">
        <v>297.7</v>
      </c>
      <c r="O105" s="228">
        <v>296.89999999999998</v>
      </c>
      <c r="P105" s="228">
        <v>0.8</v>
      </c>
      <c r="Q105" s="229">
        <v>2.7000000000000001E-3</v>
      </c>
      <c r="R105" s="228">
        <v>299.45</v>
      </c>
      <c r="S105" s="228">
        <v>298.75</v>
      </c>
      <c r="T105" s="228">
        <v>0.7</v>
      </c>
      <c r="U105" s="229">
        <v>2.3E-3</v>
      </c>
      <c r="V105" s="228">
        <v>301.39999999999998</v>
      </c>
      <c r="W105" s="228">
        <v>300.95</v>
      </c>
      <c r="X105" s="228">
        <v>0.45</v>
      </c>
      <c r="Y105" s="229">
        <v>1.5E-3</v>
      </c>
      <c r="Z105" s="228">
        <v>2</v>
      </c>
      <c r="AA105" s="228">
        <v>1.95</v>
      </c>
      <c r="AB105" s="228">
        <v>0.05</v>
      </c>
      <c r="AC105" s="229">
        <v>6.7999999999999996E-3</v>
      </c>
      <c r="AD105" s="228">
        <v>2</v>
      </c>
      <c r="AE105" s="228">
        <v>1.95</v>
      </c>
      <c r="AF105" s="228">
        <v>0.05</v>
      </c>
      <c r="AG105" s="229">
        <v>6.7999999999999996E-3</v>
      </c>
      <c r="AH105" s="228">
        <v>3.75</v>
      </c>
      <c r="AI105" s="228">
        <v>3.8</v>
      </c>
      <c r="AJ105" s="228">
        <v>-0.05</v>
      </c>
      <c r="AK105" s="229">
        <v>1.2699999999999999E-2</v>
      </c>
      <c r="AL105" s="228">
        <v>5.7</v>
      </c>
      <c r="AM105" s="228">
        <v>6</v>
      </c>
      <c r="AN105" s="228">
        <v>-0.3</v>
      </c>
      <c r="AO105" s="229">
        <v>1.9300000000000001E-2</v>
      </c>
      <c r="AP105" s="228">
        <v>297.12</v>
      </c>
      <c r="AQ105" s="228">
        <v>298.81</v>
      </c>
      <c r="AR105" s="228">
        <v>0</v>
      </c>
      <c r="AS105" s="228">
        <v>179</v>
      </c>
      <c r="AT105" s="228">
        <v>385</v>
      </c>
      <c r="AU105" s="228">
        <v>-206</v>
      </c>
      <c r="AV105" s="229">
        <v>-0.53490000000000004</v>
      </c>
      <c r="AW105" s="228">
        <v>164</v>
      </c>
      <c r="AX105" s="228">
        <v>353</v>
      </c>
      <c r="AY105" s="228">
        <v>-189</v>
      </c>
      <c r="AZ105" s="229">
        <v>-0.53620000000000001</v>
      </c>
      <c r="BA105" s="228">
        <v>12</v>
      </c>
      <c r="BB105" s="228">
        <v>28</v>
      </c>
      <c r="BC105" s="228">
        <v>-16</v>
      </c>
      <c r="BD105" s="229">
        <v>-0.5796</v>
      </c>
      <c r="BE105" s="228">
        <v>4</v>
      </c>
      <c r="BF105" s="228">
        <v>4</v>
      </c>
      <c r="BG105" s="228">
        <v>0</v>
      </c>
      <c r="BH105" s="229">
        <v>-8.9300000000000004E-2</v>
      </c>
      <c r="BI105" s="228">
        <v>501</v>
      </c>
      <c r="BJ105" s="228">
        <v>836</v>
      </c>
      <c r="BK105" s="228">
        <v>-335</v>
      </c>
      <c r="BL105" s="229">
        <v>-0.40110000000000001</v>
      </c>
      <c r="BM105" s="228">
        <v>185</v>
      </c>
      <c r="BN105" s="228">
        <v>383</v>
      </c>
      <c r="BO105" s="228">
        <v>-198</v>
      </c>
      <c r="BP105" s="229">
        <v>-0.51659999999999995</v>
      </c>
      <c r="BQ105" s="228">
        <v>865</v>
      </c>
      <c r="BR105" s="230">
        <v>1604</v>
      </c>
      <c r="BS105" s="228">
        <v>-739</v>
      </c>
      <c r="BT105" s="229">
        <v>-0.46079999999999999</v>
      </c>
      <c r="BU105" s="230">
        <v>4107906</v>
      </c>
      <c r="BV105" s="230">
        <v>7283510</v>
      </c>
      <c r="BW105" s="230">
        <v>-3175604</v>
      </c>
      <c r="BX105" s="229">
        <v>-0.436</v>
      </c>
      <c r="BY105" s="230">
        <v>4720</v>
      </c>
      <c r="BZ105" s="230">
        <v>4704</v>
      </c>
      <c r="CA105" s="228">
        <v>16</v>
      </c>
      <c r="CB105" s="229">
        <v>3.5000000000000001E-3</v>
      </c>
      <c r="CC105" s="230">
        <v>4522</v>
      </c>
      <c r="CD105" s="230">
        <v>4508</v>
      </c>
      <c r="CE105" s="228">
        <v>14</v>
      </c>
      <c r="CF105" s="229">
        <v>3.0999999999999999E-3</v>
      </c>
      <c r="CG105" s="228">
        <v>194</v>
      </c>
      <c r="CH105" s="228">
        <v>192</v>
      </c>
      <c r="CI105" s="228">
        <v>1</v>
      </c>
      <c r="CJ105" s="229">
        <v>5.7999999999999996E-3</v>
      </c>
      <c r="CK105" s="228">
        <v>5</v>
      </c>
      <c r="CL105" s="228">
        <v>3</v>
      </c>
      <c r="CM105" s="228">
        <v>1</v>
      </c>
      <c r="CN105" s="229">
        <v>0.43480000000000002</v>
      </c>
      <c r="CO105" s="230">
        <v>1130</v>
      </c>
      <c r="CP105" s="230">
        <v>1071</v>
      </c>
      <c r="CQ105" s="228">
        <v>59</v>
      </c>
      <c r="CR105" s="229">
        <v>5.5300000000000002E-2</v>
      </c>
      <c r="CS105" s="230">
        <v>1012</v>
      </c>
      <c r="CT105" s="228">
        <v>997</v>
      </c>
      <c r="CU105" s="228">
        <v>15</v>
      </c>
      <c r="CV105" s="229">
        <v>1.49E-2</v>
      </c>
      <c r="CW105" s="230">
        <v>6862</v>
      </c>
      <c r="CX105" s="230">
        <v>6772</v>
      </c>
      <c r="CY105" s="228">
        <v>90</v>
      </c>
      <c r="CZ105" s="229">
        <v>1.3299999999999999E-2</v>
      </c>
      <c r="DA105" s="228">
        <v>23.22</v>
      </c>
      <c r="DB105" s="228">
        <v>23.35</v>
      </c>
      <c r="DC105" s="228">
        <v>-0.13</v>
      </c>
      <c r="DD105" s="228">
        <v>-0.13</v>
      </c>
      <c r="DE105" s="228">
        <v>33.36</v>
      </c>
      <c r="DF105" s="228">
        <v>33.44</v>
      </c>
      <c r="DG105" s="228">
        <v>-10.14</v>
      </c>
      <c r="DH105" s="228">
        <v>-0.08</v>
      </c>
      <c r="DI105" s="228">
        <v>23.03</v>
      </c>
      <c r="DJ105" s="228">
        <v>23.32</v>
      </c>
      <c r="DK105" s="228">
        <v>-0.28999999999999998</v>
      </c>
      <c r="DL105" s="228">
        <v>-0.28999999999999998</v>
      </c>
      <c r="DM105" s="228">
        <v>23.73</v>
      </c>
      <c r="DN105" s="228">
        <v>23.41</v>
      </c>
      <c r="DO105" s="228">
        <v>0.32</v>
      </c>
      <c r="DP105" s="228">
        <v>0.32</v>
      </c>
      <c r="DQ105" s="228">
        <v>0.9</v>
      </c>
      <c r="DR105" s="228">
        <v>0.93</v>
      </c>
      <c r="DS105" s="228">
        <v>-0.03</v>
      </c>
      <c r="DT105" s="229">
        <v>-3.2300000000000002E-2</v>
      </c>
      <c r="DU105" s="228">
        <v>300</v>
      </c>
      <c r="DV105" s="228">
        <v>290</v>
      </c>
      <c r="DW105" s="228">
        <v>0.37</v>
      </c>
      <c r="DX105" s="228">
        <v>0.46</v>
      </c>
      <c r="DY105" s="228">
        <v>-0.09</v>
      </c>
      <c r="DZ105" s="229">
        <v>-0.19570000000000001</v>
      </c>
      <c r="EA105" s="229">
        <v>4.2000000000000003E-2</v>
      </c>
      <c r="EB105" s="230">
        <v>6572950</v>
      </c>
      <c r="EC105" s="229">
        <v>5.8999999999999999E-3</v>
      </c>
      <c r="ED105" s="229">
        <v>4.2000000000000003E-2</v>
      </c>
      <c r="EE105" s="228">
        <v>1.69</v>
      </c>
      <c r="EF105" s="229">
        <v>5.7000000000000002E-3</v>
      </c>
      <c r="EG105" s="230">
        <v>1947897</v>
      </c>
      <c r="EH105" s="230">
        <v>4303745</v>
      </c>
      <c r="EI105" s="229">
        <v>-0.5474</v>
      </c>
      <c r="EJ105" s="229">
        <v>0.47420000000000001</v>
      </c>
      <c r="EK105" s="228">
        <v>529.83000000000004</v>
      </c>
      <c r="EL105" s="228">
        <v>178.9</v>
      </c>
      <c r="EM105" s="228">
        <v>179</v>
      </c>
      <c r="EN105" s="228">
        <v>239.42</v>
      </c>
      <c r="EO105" s="228">
        <v>887.73</v>
      </c>
      <c r="EP105" s="231">
        <v>1640.82</v>
      </c>
      <c r="EQ105" s="228">
        <v>-753.09</v>
      </c>
      <c r="ER105" s="229">
        <v>-0.45900000000000002</v>
      </c>
      <c r="ES105" s="231">
        <v>1186.68</v>
      </c>
      <c r="ET105" s="231">
        <v>1024.8800000000001</v>
      </c>
      <c r="EU105" s="231">
        <v>4721.08</v>
      </c>
      <c r="EV105" s="231">
        <v>355358091</v>
      </c>
      <c r="EW105" s="231">
        <v>6932.64</v>
      </c>
      <c r="EX105" s="231">
        <v>6826</v>
      </c>
      <c r="EY105" s="228">
        <v>106.64</v>
      </c>
      <c r="EZ105" s="229">
        <v>1.5599999999999999E-2</v>
      </c>
      <c r="FA105" s="229">
        <v>0.64859999999999995</v>
      </c>
      <c r="FB105" s="227" t="s">
        <v>555</v>
      </c>
      <c r="FC105">
        <f t="shared" si="1"/>
        <v>198</v>
      </c>
    </row>
    <row r="106" spans="1:159" ht="17.25" thickBot="1" x14ac:dyDescent="0.3">
      <c r="A106" s="226">
        <v>46023</v>
      </c>
      <c r="B106" s="227" t="s">
        <v>161</v>
      </c>
      <c r="C106" s="227" t="s">
        <v>580</v>
      </c>
      <c r="D106" s="228">
        <v>1000</v>
      </c>
      <c r="E106" s="228">
        <v>26</v>
      </c>
      <c r="F106" s="228">
        <v>505.05</v>
      </c>
      <c r="G106" s="228">
        <v>484.3</v>
      </c>
      <c r="H106" s="228">
        <v>20.75</v>
      </c>
      <c r="I106" s="229">
        <v>4.2799999999999998E-2</v>
      </c>
      <c r="J106" s="228">
        <v>502</v>
      </c>
      <c r="K106" s="228">
        <v>482.45</v>
      </c>
      <c r="L106" s="228">
        <v>19.55</v>
      </c>
      <c r="M106" s="229">
        <v>4.0500000000000001E-2</v>
      </c>
      <c r="N106" s="228">
        <v>505.05</v>
      </c>
      <c r="O106" s="228">
        <v>484.3</v>
      </c>
      <c r="P106" s="228">
        <v>20.75</v>
      </c>
      <c r="Q106" s="229">
        <v>4.2799999999999998E-2</v>
      </c>
      <c r="R106" s="228">
        <v>507.7</v>
      </c>
      <c r="S106" s="228">
        <v>487</v>
      </c>
      <c r="T106" s="228">
        <v>20.7</v>
      </c>
      <c r="U106" s="229">
        <v>4.2500000000000003E-2</v>
      </c>
      <c r="V106" s="228">
        <v>510.9</v>
      </c>
      <c r="W106" s="228">
        <v>490.05</v>
      </c>
      <c r="X106" s="228">
        <v>20.85</v>
      </c>
      <c r="Y106" s="229">
        <v>4.2500000000000003E-2</v>
      </c>
      <c r="Z106" s="228">
        <v>3.05</v>
      </c>
      <c r="AA106" s="228">
        <v>1.85</v>
      </c>
      <c r="AB106" s="228">
        <v>1.2</v>
      </c>
      <c r="AC106" s="229">
        <v>6.1000000000000004E-3</v>
      </c>
      <c r="AD106" s="228">
        <v>3.05</v>
      </c>
      <c r="AE106" s="228">
        <v>1.85</v>
      </c>
      <c r="AF106" s="228">
        <v>1.2</v>
      </c>
      <c r="AG106" s="229">
        <v>6.1000000000000004E-3</v>
      </c>
      <c r="AH106" s="228">
        <v>5.7</v>
      </c>
      <c r="AI106" s="228">
        <v>4.55</v>
      </c>
      <c r="AJ106" s="228">
        <v>1.1499999999999999</v>
      </c>
      <c r="AK106" s="229">
        <v>1.14E-2</v>
      </c>
      <c r="AL106" s="228">
        <v>8.9</v>
      </c>
      <c r="AM106" s="228">
        <v>7.6</v>
      </c>
      <c r="AN106" s="228">
        <v>1.3</v>
      </c>
      <c r="AO106" s="229">
        <v>1.77E-2</v>
      </c>
      <c r="AP106" s="228">
        <v>499.09</v>
      </c>
      <c r="AQ106" s="228">
        <v>501.03</v>
      </c>
      <c r="AR106" s="228">
        <v>0</v>
      </c>
      <c r="AS106" s="228">
        <v>316</v>
      </c>
      <c r="AT106" s="228">
        <v>192</v>
      </c>
      <c r="AU106" s="228">
        <v>124</v>
      </c>
      <c r="AV106" s="229">
        <v>0.64810000000000001</v>
      </c>
      <c r="AW106" s="228">
        <v>302</v>
      </c>
      <c r="AX106" s="228">
        <v>189</v>
      </c>
      <c r="AY106" s="228">
        <v>113</v>
      </c>
      <c r="AZ106" s="229">
        <v>0.59919999999999995</v>
      </c>
      <c r="BA106" s="228">
        <v>13</v>
      </c>
      <c r="BB106" s="228">
        <v>3</v>
      </c>
      <c r="BC106" s="228">
        <v>10</v>
      </c>
      <c r="BD106" s="229">
        <v>3.5</v>
      </c>
      <c r="BE106" s="228">
        <v>2</v>
      </c>
      <c r="BF106" s="228">
        <v>0</v>
      </c>
      <c r="BG106" s="228">
        <v>1</v>
      </c>
      <c r="BH106" s="229">
        <v>5.2</v>
      </c>
      <c r="BI106" s="230">
        <v>1299</v>
      </c>
      <c r="BJ106" s="228">
        <v>301</v>
      </c>
      <c r="BK106" s="228">
        <v>998</v>
      </c>
      <c r="BL106" s="229">
        <v>3.3140999999999998</v>
      </c>
      <c r="BM106" s="228">
        <v>427</v>
      </c>
      <c r="BN106" s="228">
        <v>128</v>
      </c>
      <c r="BO106" s="228">
        <v>299</v>
      </c>
      <c r="BP106" s="229">
        <v>2.3435000000000001</v>
      </c>
      <c r="BQ106" s="230">
        <v>2042</v>
      </c>
      <c r="BR106" s="228">
        <v>621</v>
      </c>
      <c r="BS106" s="230">
        <v>1422</v>
      </c>
      <c r="BT106" s="229">
        <v>2.2907000000000002</v>
      </c>
      <c r="BU106" s="230">
        <v>6368983</v>
      </c>
      <c r="BV106" s="230">
        <v>2390297</v>
      </c>
      <c r="BW106" s="230">
        <v>3978686</v>
      </c>
      <c r="BX106" s="229">
        <v>1.6645000000000001</v>
      </c>
      <c r="BY106" s="230">
        <v>2132</v>
      </c>
      <c r="BZ106" s="230">
        <v>2127</v>
      </c>
      <c r="CA106" s="228">
        <v>5</v>
      </c>
      <c r="CB106" s="229">
        <v>2.0999999999999999E-3</v>
      </c>
      <c r="CC106" s="230">
        <v>2113</v>
      </c>
      <c r="CD106" s="230">
        <v>2111</v>
      </c>
      <c r="CE106" s="228">
        <v>2</v>
      </c>
      <c r="CF106" s="229">
        <v>6.9999999999999999E-4</v>
      </c>
      <c r="CG106" s="228">
        <v>18</v>
      </c>
      <c r="CH106" s="228">
        <v>16</v>
      </c>
      <c r="CI106" s="228">
        <v>2</v>
      </c>
      <c r="CJ106" s="229">
        <v>0.13519999999999999</v>
      </c>
      <c r="CK106" s="228">
        <v>1</v>
      </c>
      <c r="CL106" s="228">
        <v>0</v>
      </c>
      <c r="CM106" s="228">
        <v>1</v>
      </c>
      <c r="CN106" s="229">
        <v>4</v>
      </c>
      <c r="CO106" s="228">
        <v>312</v>
      </c>
      <c r="CP106" s="228">
        <v>263</v>
      </c>
      <c r="CQ106" s="228">
        <v>49</v>
      </c>
      <c r="CR106" s="229">
        <v>0.18590000000000001</v>
      </c>
      <c r="CS106" s="228">
        <v>346</v>
      </c>
      <c r="CT106" s="228">
        <v>281</v>
      </c>
      <c r="CU106" s="228">
        <v>64</v>
      </c>
      <c r="CV106" s="229">
        <v>0.22889999999999999</v>
      </c>
      <c r="CW106" s="230">
        <v>2789</v>
      </c>
      <c r="CX106" s="230">
        <v>2672</v>
      </c>
      <c r="CY106" s="228">
        <v>118</v>
      </c>
      <c r="CZ106" s="229">
        <v>4.41E-2</v>
      </c>
      <c r="DA106" s="228">
        <v>27.3</v>
      </c>
      <c r="DB106" s="228">
        <v>26.67</v>
      </c>
      <c r="DC106" s="228">
        <v>0.63</v>
      </c>
      <c r="DD106" s="228">
        <v>0.63</v>
      </c>
      <c r="DE106" s="228">
        <v>42.73</v>
      </c>
      <c r="DF106" s="228">
        <v>42.46</v>
      </c>
      <c r="DG106" s="228">
        <v>-15.43</v>
      </c>
      <c r="DH106" s="228">
        <v>0.27</v>
      </c>
      <c r="DI106" s="228">
        <v>27.12</v>
      </c>
      <c r="DJ106" s="228">
        <v>26.51</v>
      </c>
      <c r="DK106" s="228">
        <v>0.61</v>
      </c>
      <c r="DL106" s="228">
        <v>0.61</v>
      </c>
      <c r="DM106" s="228">
        <v>27.83</v>
      </c>
      <c r="DN106" s="228">
        <v>27.03</v>
      </c>
      <c r="DO106" s="228">
        <v>0.8</v>
      </c>
      <c r="DP106" s="228">
        <v>0.8</v>
      </c>
      <c r="DQ106" s="228">
        <v>1.1100000000000001</v>
      </c>
      <c r="DR106" s="228">
        <v>1.07</v>
      </c>
      <c r="DS106" s="228">
        <v>0.04</v>
      </c>
      <c r="DT106" s="229">
        <v>3.7400000000000003E-2</v>
      </c>
      <c r="DU106" s="228">
        <v>500</v>
      </c>
      <c r="DV106" s="228">
        <v>530</v>
      </c>
      <c r="DW106" s="228">
        <v>0.33</v>
      </c>
      <c r="DX106" s="228">
        <v>0.42</v>
      </c>
      <c r="DY106" s="228">
        <v>-0.09</v>
      </c>
      <c r="DZ106" s="229">
        <v>-0.21429999999999999</v>
      </c>
      <c r="EA106" s="229">
        <v>8.9999999999999993E-3</v>
      </c>
      <c r="EB106" s="230">
        <v>322000</v>
      </c>
      <c r="EC106" s="229">
        <v>5.1999999999999998E-3</v>
      </c>
      <c r="ED106" s="229">
        <v>8.9999999999999993E-3</v>
      </c>
      <c r="EE106" s="228">
        <v>1.94</v>
      </c>
      <c r="EF106" s="229">
        <v>3.8999999999999998E-3</v>
      </c>
      <c r="EG106" s="230">
        <v>1575376</v>
      </c>
      <c r="EH106" s="230">
        <v>1235802</v>
      </c>
      <c r="EI106" s="229">
        <v>0.27479999999999999</v>
      </c>
      <c r="EJ106" s="229">
        <v>0.24740000000000001</v>
      </c>
      <c r="EK106" s="231">
        <v>1335.52</v>
      </c>
      <c r="EL106" s="228">
        <v>417.01</v>
      </c>
      <c r="EM106" s="228">
        <v>312.3</v>
      </c>
      <c r="EN106" s="228">
        <v>188.52</v>
      </c>
      <c r="EO106" s="231">
        <v>2064.83</v>
      </c>
      <c r="EP106" s="228">
        <v>605.53</v>
      </c>
      <c r="EQ106" s="231">
        <v>1459.3</v>
      </c>
      <c r="ER106" s="229">
        <v>2.41</v>
      </c>
      <c r="ES106" s="228">
        <v>313.62</v>
      </c>
      <c r="ET106" s="228">
        <v>333.83</v>
      </c>
      <c r="EU106" s="231">
        <v>2131.9699999999998</v>
      </c>
      <c r="EV106" s="231">
        <v>80385888</v>
      </c>
      <c r="EW106" s="231">
        <v>2779.42</v>
      </c>
      <c r="EX106" s="231">
        <v>2571.66</v>
      </c>
      <c r="EY106" s="228">
        <v>207.76</v>
      </c>
      <c r="EZ106" s="229">
        <v>8.0799999999999997E-2</v>
      </c>
      <c r="FA106" s="229">
        <v>0.68710000000000004</v>
      </c>
      <c r="FB106" s="227" t="s">
        <v>555</v>
      </c>
      <c r="FC106">
        <f t="shared" si="1"/>
        <v>19</v>
      </c>
    </row>
    <row r="107" spans="1:159" ht="17.25" thickBot="1" x14ac:dyDescent="0.3">
      <c r="A107" s="226">
        <v>46023</v>
      </c>
      <c r="B107" s="227" t="s">
        <v>227</v>
      </c>
      <c r="C107" s="227" t="s">
        <v>244</v>
      </c>
      <c r="D107" s="228">
        <v>675</v>
      </c>
      <c r="E107" s="228">
        <v>26</v>
      </c>
      <c r="F107" s="231">
        <v>1178</v>
      </c>
      <c r="G107" s="231">
        <v>1172.3</v>
      </c>
      <c r="H107" s="228">
        <v>5.7</v>
      </c>
      <c r="I107" s="229">
        <v>4.8999999999999998E-3</v>
      </c>
      <c r="J107" s="231">
        <v>1171.5</v>
      </c>
      <c r="K107" s="231">
        <v>1164.8</v>
      </c>
      <c r="L107" s="228">
        <v>6.7</v>
      </c>
      <c r="M107" s="229">
        <v>5.7999999999999996E-3</v>
      </c>
      <c r="N107" s="231">
        <v>1178</v>
      </c>
      <c r="O107" s="231">
        <v>1172.3</v>
      </c>
      <c r="P107" s="228">
        <v>5.7</v>
      </c>
      <c r="Q107" s="229">
        <v>4.8999999999999998E-3</v>
      </c>
      <c r="R107" s="231">
        <v>1183.8</v>
      </c>
      <c r="S107" s="231">
        <v>1178.7</v>
      </c>
      <c r="T107" s="228">
        <v>5.0999999999999996</v>
      </c>
      <c r="U107" s="229">
        <v>4.3E-3</v>
      </c>
      <c r="V107" s="231">
        <v>1190.4000000000001</v>
      </c>
      <c r="W107" s="231">
        <v>1186.2</v>
      </c>
      <c r="X107" s="228">
        <v>4.2</v>
      </c>
      <c r="Y107" s="229">
        <v>3.5000000000000001E-3</v>
      </c>
      <c r="Z107" s="228">
        <v>6.5</v>
      </c>
      <c r="AA107" s="228">
        <v>7.5</v>
      </c>
      <c r="AB107" s="228">
        <v>-1</v>
      </c>
      <c r="AC107" s="229">
        <v>5.4999999999999997E-3</v>
      </c>
      <c r="AD107" s="228">
        <v>6.5</v>
      </c>
      <c r="AE107" s="228">
        <v>7.5</v>
      </c>
      <c r="AF107" s="228">
        <v>-1</v>
      </c>
      <c r="AG107" s="229">
        <v>5.4999999999999997E-3</v>
      </c>
      <c r="AH107" s="228">
        <v>12.3</v>
      </c>
      <c r="AI107" s="228">
        <v>13.9</v>
      </c>
      <c r="AJ107" s="228">
        <v>-1.6</v>
      </c>
      <c r="AK107" s="229">
        <v>1.0500000000000001E-2</v>
      </c>
      <c r="AL107" s="228">
        <v>18.899999999999999</v>
      </c>
      <c r="AM107" s="228">
        <v>21.4</v>
      </c>
      <c r="AN107" s="228">
        <v>-2.5</v>
      </c>
      <c r="AO107" s="229">
        <v>1.61E-2</v>
      </c>
      <c r="AP107" s="231">
        <v>1175.73</v>
      </c>
      <c r="AQ107" s="231">
        <v>1182.02</v>
      </c>
      <c r="AR107" s="228">
        <v>0</v>
      </c>
      <c r="AS107" s="228">
        <v>362</v>
      </c>
      <c r="AT107" s="230">
        <v>1691</v>
      </c>
      <c r="AU107" s="230">
        <v>-1328</v>
      </c>
      <c r="AV107" s="229">
        <v>-0.78569999999999995</v>
      </c>
      <c r="AW107" s="228">
        <v>346</v>
      </c>
      <c r="AX107" s="230">
        <v>1651</v>
      </c>
      <c r="AY107" s="230">
        <v>-1305</v>
      </c>
      <c r="AZ107" s="229">
        <v>-0.79049999999999998</v>
      </c>
      <c r="BA107" s="228">
        <v>14</v>
      </c>
      <c r="BB107" s="228">
        <v>36</v>
      </c>
      <c r="BC107" s="228">
        <v>-21</v>
      </c>
      <c r="BD107" s="229">
        <v>-0.59960000000000002</v>
      </c>
      <c r="BE107" s="228">
        <v>2</v>
      </c>
      <c r="BF107" s="228">
        <v>4</v>
      </c>
      <c r="BG107" s="228">
        <v>-2</v>
      </c>
      <c r="BH107" s="229">
        <v>-0.41299999999999998</v>
      </c>
      <c r="BI107" s="230">
        <v>1257</v>
      </c>
      <c r="BJ107" s="230">
        <v>5728</v>
      </c>
      <c r="BK107" s="230">
        <v>-4470</v>
      </c>
      <c r="BL107" s="229">
        <v>-0.78049999999999997</v>
      </c>
      <c r="BM107" s="230">
        <v>1317</v>
      </c>
      <c r="BN107" s="230">
        <v>2732</v>
      </c>
      <c r="BO107" s="230">
        <v>-1415</v>
      </c>
      <c r="BP107" s="229">
        <v>-0.51800000000000002</v>
      </c>
      <c r="BQ107" s="230">
        <v>2937</v>
      </c>
      <c r="BR107" s="230">
        <v>10151</v>
      </c>
      <c r="BS107" s="230">
        <v>-7214</v>
      </c>
      <c r="BT107" s="229">
        <v>-0.7107</v>
      </c>
      <c r="BU107" s="230">
        <v>1242858</v>
      </c>
      <c r="BV107" s="230">
        <v>6332688</v>
      </c>
      <c r="BW107" s="230">
        <v>-5089830</v>
      </c>
      <c r="BX107" s="229">
        <v>-0.80369999999999997</v>
      </c>
      <c r="BY107" s="230">
        <v>5838</v>
      </c>
      <c r="BZ107" s="230">
        <v>5843</v>
      </c>
      <c r="CA107" s="228">
        <v>-5</v>
      </c>
      <c r="CB107" s="229">
        <v>-8.0000000000000004E-4</v>
      </c>
      <c r="CC107" s="230">
        <v>5797</v>
      </c>
      <c r="CD107" s="230">
        <v>5802</v>
      </c>
      <c r="CE107" s="228">
        <v>-5</v>
      </c>
      <c r="CF107" s="229">
        <v>-8.9999999999999998E-4</v>
      </c>
      <c r="CG107" s="228">
        <v>38</v>
      </c>
      <c r="CH107" s="228">
        <v>39</v>
      </c>
      <c r="CI107" s="228">
        <v>-1</v>
      </c>
      <c r="CJ107" s="229">
        <v>-3.6600000000000001E-2</v>
      </c>
      <c r="CK107" s="228">
        <v>3</v>
      </c>
      <c r="CL107" s="228">
        <v>2</v>
      </c>
      <c r="CM107" s="228">
        <v>2</v>
      </c>
      <c r="CN107" s="229">
        <v>0.79169999999999996</v>
      </c>
      <c r="CO107" s="230">
        <v>1005</v>
      </c>
      <c r="CP107" s="230">
        <v>1025</v>
      </c>
      <c r="CQ107" s="228">
        <v>-19</v>
      </c>
      <c r="CR107" s="229">
        <v>-1.8800000000000001E-2</v>
      </c>
      <c r="CS107" s="228">
        <v>965</v>
      </c>
      <c r="CT107" s="228">
        <v>914</v>
      </c>
      <c r="CU107" s="228">
        <v>51</v>
      </c>
      <c r="CV107" s="229">
        <v>5.5899999999999998E-2</v>
      </c>
      <c r="CW107" s="230">
        <v>7808</v>
      </c>
      <c r="CX107" s="230">
        <v>7781</v>
      </c>
      <c r="CY107" s="228">
        <v>27</v>
      </c>
      <c r="CZ107" s="229">
        <v>3.5000000000000001E-3</v>
      </c>
      <c r="DA107" s="228">
        <v>22.76</v>
      </c>
      <c r="DB107" s="228">
        <v>23.07</v>
      </c>
      <c r="DC107" s="228">
        <v>-0.31</v>
      </c>
      <c r="DD107" s="228">
        <v>-0.31</v>
      </c>
      <c r="DE107" s="228">
        <v>29.48</v>
      </c>
      <c r="DF107" s="228">
        <v>29.55</v>
      </c>
      <c r="DG107" s="228">
        <v>-6.72</v>
      </c>
      <c r="DH107" s="228">
        <v>-7.0000000000000007E-2</v>
      </c>
      <c r="DI107" s="228">
        <v>22.15</v>
      </c>
      <c r="DJ107" s="228">
        <v>22.95</v>
      </c>
      <c r="DK107" s="228">
        <v>-0.8</v>
      </c>
      <c r="DL107" s="228">
        <v>-0.8</v>
      </c>
      <c r="DM107" s="228">
        <v>23.34</v>
      </c>
      <c r="DN107" s="228">
        <v>23.34</v>
      </c>
      <c r="DO107" s="228">
        <v>0</v>
      </c>
      <c r="DP107" s="228">
        <v>0</v>
      </c>
      <c r="DQ107" s="228">
        <v>0.96</v>
      </c>
      <c r="DR107" s="228">
        <v>0.89</v>
      </c>
      <c r="DS107" s="228">
        <v>7.0000000000000007E-2</v>
      </c>
      <c r="DT107" s="229">
        <v>7.8700000000000006E-2</v>
      </c>
      <c r="DU107" s="231">
        <v>1160</v>
      </c>
      <c r="DV107" s="231">
        <v>1100</v>
      </c>
      <c r="DW107" s="228">
        <v>1.05</v>
      </c>
      <c r="DX107" s="228">
        <v>0.48</v>
      </c>
      <c r="DY107" s="228">
        <v>0.56999999999999995</v>
      </c>
      <c r="DZ107" s="229">
        <v>1.1875</v>
      </c>
      <c r="EA107" s="229">
        <v>7.0000000000000001E-3</v>
      </c>
      <c r="EB107" s="230">
        <v>348300</v>
      </c>
      <c r="EC107" s="229">
        <v>4.8999999999999998E-3</v>
      </c>
      <c r="ED107" s="229">
        <v>7.0000000000000001E-3</v>
      </c>
      <c r="EE107" s="228">
        <v>6.29</v>
      </c>
      <c r="EF107" s="229">
        <v>5.3E-3</v>
      </c>
      <c r="EG107" s="230">
        <v>344616</v>
      </c>
      <c r="EH107" s="230">
        <v>2149056</v>
      </c>
      <c r="EI107" s="229">
        <v>-0.83960000000000001</v>
      </c>
      <c r="EJ107" s="229">
        <v>0.27729999999999999</v>
      </c>
      <c r="EK107" s="231">
        <v>1307.92</v>
      </c>
      <c r="EL107" s="231">
        <v>1251.9000000000001</v>
      </c>
      <c r="EM107" s="228">
        <v>361.67</v>
      </c>
      <c r="EN107" s="228">
        <v>313.01</v>
      </c>
      <c r="EO107" s="231">
        <v>2921.49</v>
      </c>
      <c r="EP107" s="231">
        <v>10212.06</v>
      </c>
      <c r="EQ107" s="231">
        <v>-7290.57</v>
      </c>
      <c r="ER107" s="229">
        <v>-0.71389999999999998</v>
      </c>
      <c r="ES107" s="231">
        <v>1001.25</v>
      </c>
      <c r="ET107" s="228">
        <v>908.35</v>
      </c>
      <c r="EU107" s="231">
        <v>5838.21</v>
      </c>
      <c r="EV107" s="231">
        <v>133434355</v>
      </c>
      <c r="EW107" s="231">
        <v>7747.81</v>
      </c>
      <c r="EX107" s="231">
        <v>7684.54</v>
      </c>
      <c r="EY107" s="228">
        <v>63.27</v>
      </c>
      <c r="EZ107" s="229">
        <v>8.2000000000000007E-3</v>
      </c>
      <c r="FA107" s="229">
        <v>0.49680000000000002</v>
      </c>
      <c r="FB107" s="227" t="s">
        <v>556</v>
      </c>
      <c r="FC107">
        <f t="shared" si="1"/>
        <v>41</v>
      </c>
    </row>
    <row r="108" spans="1:159" ht="17.25" thickBot="1" x14ac:dyDescent="0.3">
      <c r="A108" s="226">
        <v>46023</v>
      </c>
      <c r="B108" s="227" t="s">
        <v>168</v>
      </c>
      <c r="C108" s="227" t="s">
        <v>245</v>
      </c>
      <c r="D108" s="228">
        <v>1250</v>
      </c>
      <c r="E108" s="228">
        <v>26</v>
      </c>
      <c r="F108" s="228">
        <v>551.70000000000005</v>
      </c>
      <c r="G108" s="228">
        <v>557.25</v>
      </c>
      <c r="H108" s="228">
        <v>-5.55</v>
      </c>
      <c r="I108" s="229">
        <v>-0.01</v>
      </c>
      <c r="J108" s="228">
        <v>553.15</v>
      </c>
      <c r="K108" s="228">
        <v>558.6</v>
      </c>
      <c r="L108" s="228">
        <v>-5.45</v>
      </c>
      <c r="M108" s="229">
        <v>-9.7999999999999997E-3</v>
      </c>
      <c r="N108" s="228">
        <v>551.70000000000005</v>
      </c>
      <c r="O108" s="228">
        <v>557.25</v>
      </c>
      <c r="P108" s="228">
        <v>-5.55</v>
      </c>
      <c r="Q108" s="229">
        <v>-0.01</v>
      </c>
      <c r="R108" s="228">
        <v>549.79999999999995</v>
      </c>
      <c r="S108" s="228">
        <v>555.70000000000005</v>
      </c>
      <c r="T108" s="228">
        <v>-5.9</v>
      </c>
      <c r="U108" s="229">
        <v>-1.06E-2</v>
      </c>
      <c r="V108" s="228">
        <v>549.29999999999995</v>
      </c>
      <c r="W108" s="228">
        <v>554.25</v>
      </c>
      <c r="X108" s="228">
        <v>-4.95</v>
      </c>
      <c r="Y108" s="229">
        <v>-8.8999999999999999E-3</v>
      </c>
      <c r="Z108" s="228">
        <v>-1.45</v>
      </c>
      <c r="AA108" s="228">
        <v>-1.35</v>
      </c>
      <c r="AB108" s="228">
        <v>-0.1</v>
      </c>
      <c r="AC108" s="229">
        <v>-2.5999999999999999E-3</v>
      </c>
      <c r="AD108" s="228">
        <v>-1.45</v>
      </c>
      <c r="AE108" s="228">
        <v>-1.35</v>
      </c>
      <c r="AF108" s="228">
        <v>-0.1</v>
      </c>
      <c r="AG108" s="229">
        <v>-2.5999999999999999E-3</v>
      </c>
      <c r="AH108" s="228">
        <v>-3.35</v>
      </c>
      <c r="AI108" s="228">
        <v>-2.9</v>
      </c>
      <c r="AJ108" s="228">
        <v>-0.45</v>
      </c>
      <c r="AK108" s="229">
        <v>-6.1000000000000004E-3</v>
      </c>
      <c r="AL108" s="228">
        <v>-3.85</v>
      </c>
      <c r="AM108" s="228">
        <v>-4.3499999999999996</v>
      </c>
      <c r="AN108" s="228">
        <v>0.5</v>
      </c>
      <c r="AO108" s="229">
        <v>-7.0000000000000001E-3</v>
      </c>
      <c r="AP108" s="228">
        <v>553.73</v>
      </c>
      <c r="AQ108" s="228">
        <v>551.76</v>
      </c>
      <c r="AR108" s="228">
        <v>0</v>
      </c>
      <c r="AS108" s="228">
        <v>139</v>
      </c>
      <c r="AT108" s="228">
        <v>246</v>
      </c>
      <c r="AU108" s="228">
        <v>-107</v>
      </c>
      <c r="AV108" s="229">
        <v>-0.43569999999999998</v>
      </c>
      <c r="AW108" s="228">
        <v>130</v>
      </c>
      <c r="AX108" s="228">
        <v>227</v>
      </c>
      <c r="AY108" s="228">
        <v>-98</v>
      </c>
      <c r="AZ108" s="229">
        <v>-0.42870000000000003</v>
      </c>
      <c r="BA108" s="228">
        <v>8</v>
      </c>
      <c r="BB108" s="228">
        <v>18</v>
      </c>
      <c r="BC108" s="228">
        <v>-10</v>
      </c>
      <c r="BD108" s="229">
        <v>-0.54900000000000004</v>
      </c>
      <c r="BE108" s="228">
        <v>1</v>
      </c>
      <c r="BF108" s="228">
        <v>1</v>
      </c>
      <c r="BG108" s="228">
        <v>0</v>
      </c>
      <c r="BH108" s="229">
        <v>0</v>
      </c>
      <c r="BI108" s="228">
        <v>187</v>
      </c>
      <c r="BJ108" s="228">
        <v>388</v>
      </c>
      <c r="BK108" s="228">
        <v>-202</v>
      </c>
      <c r="BL108" s="229">
        <v>-0.51929999999999998</v>
      </c>
      <c r="BM108" s="228">
        <v>149</v>
      </c>
      <c r="BN108" s="228">
        <v>206</v>
      </c>
      <c r="BO108" s="228">
        <v>-57</v>
      </c>
      <c r="BP108" s="229">
        <v>-0.27800000000000002</v>
      </c>
      <c r="BQ108" s="228">
        <v>474</v>
      </c>
      <c r="BR108" s="228">
        <v>841</v>
      </c>
      <c r="BS108" s="228">
        <v>-366</v>
      </c>
      <c r="BT108" s="229">
        <v>-0.43559999999999999</v>
      </c>
      <c r="BU108" s="230">
        <v>931547</v>
      </c>
      <c r="BV108" s="230">
        <v>1229836</v>
      </c>
      <c r="BW108" s="230">
        <v>-298289</v>
      </c>
      <c r="BX108" s="229">
        <v>-0.24249999999999999</v>
      </c>
      <c r="BY108" s="230">
        <v>1365</v>
      </c>
      <c r="BZ108" s="230">
        <v>1341</v>
      </c>
      <c r="CA108" s="228">
        <v>24</v>
      </c>
      <c r="CB108" s="229">
        <v>1.7600000000000001E-2</v>
      </c>
      <c r="CC108" s="230">
        <v>1306</v>
      </c>
      <c r="CD108" s="230">
        <v>1285</v>
      </c>
      <c r="CE108" s="228">
        <v>22</v>
      </c>
      <c r="CF108" s="229">
        <v>1.67E-2</v>
      </c>
      <c r="CG108" s="228">
        <v>57</v>
      </c>
      <c r="CH108" s="228">
        <v>55</v>
      </c>
      <c r="CI108" s="228">
        <v>2</v>
      </c>
      <c r="CJ108" s="229">
        <v>2.75E-2</v>
      </c>
      <c r="CK108" s="228">
        <v>2</v>
      </c>
      <c r="CL108" s="228">
        <v>1</v>
      </c>
      <c r="CM108" s="228">
        <v>1</v>
      </c>
      <c r="CN108" s="229">
        <v>0.64290000000000003</v>
      </c>
      <c r="CO108" s="228">
        <v>439</v>
      </c>
      <c r="CP108" s="228">
        <v>402</v>
      </c>
      <c r="CQ108" s="228">
        <v>37</v>
      </c>
      <c r="CR108" s="229">
        <v>9.3200000000000005E-2</v>
      </c>
      <c r="CS108" s="228">
        <v>316</v>
      </c>
      <c r="CT108" s="228">
        <v>284</v>
      </c>
      <c r="CU108" s="228">
        <v>32</v>
      </c>
      <c r="CV108" s="229">
        <v>0.1111</v>
      </c>
      <c r="CW108" s="230">
        <v>2120</v>
      </c>
      <c r="CX108" s="230">
        <v>2027</v>
      </c>
      <c r="CY108" s="228">
        <v>93</v>
      </c>
      <c r="CZ108" s="229">
        <v>4.5699999999999998E-2</v>
      </c>
      <c r="DA108" s="228">
        <v>26.12</v>
      </c>
      <c r="DB108" s="228">
        <v>25.92</v>
      </c>
      <c r="DC108" s="228">
        <v>0.2</v>
      </c>
      <c r="DD108" s="228">
        <v>0.2</v>
      </c>
      <c r="DE108" s="228">
        <v>33.130000000000003</v>
      </c>
      <c r="DF108" s="228">
        <v>33.19</v>
      </c>
      <c r="DG108" s="228">
        <v>-7.01</v>
      </c>
      <c r="DH108" s="228">
        <v>-0.06</v>
      </c>
      <c r="DI108" s="228">
        <v>26.22</v>
      </c>
      <c r="DJ108" s="228">
        <v>25.81</v>
      </c>
      <c r="DK108" s="228">
        <v>0.41</v>
      </c>
      <c r="DL108" s="228">
        <v>0.41</v>
      </c>
      <c r="DM108" s="228">
        <v>26.01</v>
      </c>
      <c r="DN108" s="228">
        <v>26.12</v>
      </c>
      <c r="DO108" s="228">
        <v>-0.11</v>
      </c>
      <c r="DP108" s="228">
        <v>-0.11</v>
      </c>
      <c r="DQ108" s="228">
        <v>0.72</v>
      </c>
      <c r="DR108" s="228">
        <v>0.71</v>
      </c>
      <c r="DS108" s="228">
        <v>0.01</v>
      </c>
      <c r="DT108" s="229">
        <v>1.41E-2</v>
      </c>
      <c r="DU108" s="228">
        <v>600</v>
      </c>
      <c r="DV108" s="228">
        <v>560</v>
      </c>
      <c r="DW108" s="228">
        <v>0.8</v>
      </c>
      <c r="DX108" s="228">
        <v>0.53</v>
      </c>
      <c r="DY108" s="228">
        <v>0.27</v>
      </c>
      <c r="DZ108" s="229">
        <v>0.50939999999999996</v>
      </c>
      <c r="EA108" s="229">
        <v>4.2700000000000002E-2</v>
      </c>
      <c r="EB108" s="230">
        <v>1018750</v>
      </c>
      <c r="EC108" s="229">
        <v>-3.3999999999999998E-3</v>
      </c>
      <c r="ED108" s="229">
        <v>4.2700000000000002E-2</v>
      </c>
      <c r="EE108" s="228">
        <v>-1.97</v>
      </c>
      <c r="EF108" s="229">
        <v>-3.5999999999999999E-3</v>
      </c>
      <c r="EG108" s="230">
        <v>519993</v>
      </c>
      <c r="EH108" s="230">
        <v>560782</v>
      </c>
      <c r="EI108" s="229">
        <v>-7.2700000000000001E-2</v>
      </c>
      <c r="EJ108" s="229">
        <v>0.55820000000000003</v>
      </c>
      <c r="EK108" s="228">
        <v>198.82</v>
      </c>
      <c r="EL108" s="228">
        <v>147.18</v>
      </c>
      <c r="EM108" s="228">
        <v>139.30000000000001</v>
      </c>
      <c r="EN108" s="228">
        <v>121.84</v>
      </c>
      <c r="EO108" s="228">
        <v>485.3</v>
      </c>
      <c r="EP108" s="228">
        <v>869.67</v>
      </c>
      <c r="EQ108" s="228">
        <v>-384.37</v>
      </c>
      <c r="ER108" s="229">
        <v>-0.442</v>
      </c>
      <c r="ES108" s="228">
        <v>469.27</v>
      </c>
      <c r="ET108" s="228">
        <v>316.99</v>
      </c>
      <c r="EU108" s="231">
        <v>1364.57</v>
      </c>
      <c r="EV108" s="231">
        <v>58761693</v>
      </c>
      <c r="EW108" s="231">
        <v>2150.8200000000002</v>
      </c>
      <c r="EX108" s="231">
        <v>2071.6</v>
      </c>
      <c r="EY108" s="228">
        <v>79.22</v>
      </c>
      <c r="EZ108" s="229">
        <v>3.8199999999999998E-2</v>
      </c>
      <c r="FA108" s="229">
        <v>0.65390000000000004</v>
      </c>
      <c r="FB108" s="227" t="s">
        <v>567</v>
      </c>
      <c r="FC108">
        <f t="shared" si="1"/>
        <v>59</v>
      </c>
    </row>
    <row r="109" spans="1:159" ht="17.25" thickBot="1" x14ac:dyDescent="0.3">
      <c r="A109" s="226">
        <v>46023</v>
      </c>
      <c r="B109" s="227" t="s">
        <v>168</v>
      </c>
      <c r="C109" s="227" t="s">
        <v>582</v>
      </c>
      <c r="D109" s="228">
        <v>1175</v>
      </c>
      <c r="E109" s="228">
        <v>26</v>
      </c>
      <c r="F109" s="228">
        <v>487.55</v>
      </c>
      <c r="G109" s="228">
        <v>488.4</v>
      </c>
      <c r="H109" s="228">
        <v>-0.85</v>
      </c>
      <c r="I109" s="229">
        <v>-1.6999999999999999E-3</v>
      </c>
      <c r="J109" s="228">
        <v>484.2</v>
      </c>
      <c r="K109" s="228">
        <v>485.35</v>
      </c>
      <c r="L109" s="228">
        <v>-1.1499999999999999</v>
      </c>
      <c r="M109" s="229">
        <v>-2.3999999999999998E-3</v>
      </c>
      <c r="N109" s="228">
        <v>487.55</v>
      </c>
      <c r="O109" s="228">
        <v>488.4</v>
      </c>
      <c r="P109" s="228">
        <v>-0.85</v>
      </c>
      <c r="Q109" s="229">
        <v>-1.6999999999999999E-3</v>
      </c>
      <c r="R109" s="228">
        <v>490.45</v>
      </c>
      <c r="S109" s="228">
        <v>491.2</v>
      </c>
      <c r="T109" s="228">
        <v>-0.75</v>
      </c>
      <c r="U109" s="229">
        <v>-1.5E-3</v>
      </c>
      <c r="V109" s="228">
        <v>493.25</v>
      </c>
      <c r="W109" s="228">
        <v>0</v>
      </c>
      <c r="X109" s="228">
        <v>493.25</v>
      </c>
      <c r="Y109" s="229">
        <v>0</v>
      </c>
      <c r="Z109" s="228">
        <v>3.35</v>
      </c>
      <c r="AA109" s="228">
        <v>3.05</v>
      </c>
      <c r="AB109" s="228">
        <v>0.3</v>
      </c>
      <c r="AC109" s="229">
        <v>6.8999999999999999E-3</v>
      </c>
      <c r="AD109" s="228">
        <v>3.35</v>
      </c>
      <c r="AE109" s="228">
        <v>3.05</v>
      </c>
      <c r="AF109" s="228">
        <v>0.3</v>
      </c>
      <c r="AG109" s="229">
        <v>6.8999999999999999E-3</v>
      </c>
      <c r="AH109" s="228">
        <v>6.25</v>
      </c>
      <c r="AI109" s="228">
        <v>5.85</v>
      </c>
      <c r="AJ109" s="228">
        <v>0.4</v>
      </c>
      <c r="AK109" s="229">
        <v>1.29E-2</v>
      </c>
      <c r="AL109" s="228">
        <v>9.0500000000000007</v>
      </c>
      <c r="AM109" s="228">
        <v>0</v>
      </c>
      <c r="AN109" s="228">
        <v>9.0500000000000007</v>
      </c>
      <c r="AO109" s="229">
        <v>1.8700000000000001E-2</v>
      </c>
      <c r="AP109" s="228">
        <v>486.12</v>
      </c>
      <c r="AQ109" s="228">
        <v>489.29</v>
      </c>
      <c r="AR109" s="228">
        <v>0</v>
      </c>
      <c r="AS109" s="228">
        <v>42</v>
      </c>
      <c r="AT109" s="228">
        <v>95</v>
      </c>
      <c r="AU109" s="228">
        <v>-53</v>
      </c>
      <c r="AV109" s="229">
        <v>-0.55669999999999997</v>
      </c>
      <c r="AW109" s="228">
        <v>39</v>
      </c>
      <c r="AX109" s="228">
        <v>92</v>
      </c>
      <c r="AY109" s="228">
        <v>-53</v>
      </c>
      <c r="AZ109" s="229">
        <v>-0.57969999999999999</v>
      </c>
      <c r="BA109" s="228">
        <v>3</v>
      </c>
      <c r="BB109" s="228">
        <v>3</v>
      </c>
      <c r="BC109" s="228">
        <v>0</v>
      </c>
      <c r="BD109" s="229">
        <v>-4.9200000000000001E-2</v>
      </c>
      <c r="BE109" s="228">
        <v>0</v>
      </c>
      <c r="BF109" s="228">
        <v>0</v>
      </c>
      <c r="BG109" s="228">
        <v>0</v>
      </c>
      <c r="BH109" s="229">
        <v>0</v>
      </c>
      <c r="BI109" s="228">
        <v>86</v>
      </c>
      <c r="BJ109" s="228">
        <v>166</v>
      </c>
      <c r="BK109" s="228">
        <v>-79</v>
      </c>
      <c r="BL109" s="229">
        <v>-0.47960000000000003</v>
      </c>
      <c r="BM109" s="228">
        <v>29</v>
      </c>
      <c r="BN109" s="228">
        <v>80</v>
      </c>
      <c r="BO109" s="228">
        <v>-51</v>
      </c>
      <c r="BP109" s="229">
        <v>-0.63600000000000001</v>
      </c>
      <c r="BQ109" s="228">
        <v>158</v>
      </c>
      <c r="BR109" s="228">
        <v>341</v>
      </c>
      <c r="BS109" s="228">
        <v>-184</v>
      </c>
      <c r="BT109" s="229">
        <v>-0.53790000000000004</v>
      </c>
      <c r="BU109" s="230">
        <v>791536</v>
      </c>
      <c r="BV109" s="230">
        <v>1195430</v>
      </c>
      <c r="BW109" s="230">
        <v>-403894</v>
      </c>
      <c r="BX109" s="229">
        <v>-0.33789999999999998</v>
      </c>
      <c r="BY109" s="230">
        <v>1723</v>
      </c>
      <c r="BZ109" s="230">
        <v>1722</v>
      </c>
      <c r="CA109" s="228">
        <v>1</v>
      </c>
      <c r="CB109" s="229">
        <v>8.9999999999999998E-4</v>
      </c>
      <c r="CC109" s="230">
        <v>1706</v>
      </c>
      <c r="CD109" s="230">
        <v>1705</v>
      </c>
      <c r="CE109" s="228">
        <v>1</v>
      </c>
      <c r="CF109" s="229">
        <v>5.0000000000000001E-4</v>
      </c>
      <c r="CG109" s="228">
        <v>17</v>
      </c>
      <c r="CH109" s="228">
        <v>17</v>
      </c>
      <c r="CI109" s="228">
        <v>1</v>
      </c>
      <c r="CJ109" s="229">
        <v>3.4200000000000001E-2</v>
      </c>
      <c r="CK109" s="228">
        <v>0</v>
      </c>
      <c r="CL109" s="228">
        <v>0</v>
      </c>
      <c r="CM109" s="228">
        <v>0</v>
      </c>
      <c r="CN109" s="229">
        <v>0</v>
      </c>
      <c r="CO109" s="228">
        <v>179</v>
      </c>
      <c r="CP109" s="228">
        <v>163</v>
      </c>
      <c r="CQ109" s="228">
        <v>16</v>
      </c>
      <c r="CR109" s="229">
        <v>9.6799999999999997E-2</v>
      </c>
      <c r="CS109" s="228">
        <v>120</v>
      </c>
      <c r="CT109" s="228">
        <v>115</v>
      </c>
      <c r="CU109" s="228">
        <v>5</v>
      </c>
      <c r="CV109" s="229">
        <v>4.3900000000000002E-2</v>
      </c>
      <c r="CW109" s="230">
        <v>2022</v>
      </c>
      <c r="CX109" s="230">
        <v>1999</v>
      </c>
      <c r="CY109" s="228">
        <v>22</v>
      </c>
      <c r="CZ109" s="229">
        <v>1.11E-2</v>
      </c>
      <c r="DA109" s="228">
        <v>29.52</v>
      </c>
      <c r="DB109" s="228">
        <v>30.69</v>
      </c>
      <c r="DC109" s="228">
        <v>-1.17</v>
      </c>
      <c r="DD109" s="228">
        <v>-1.17</v>
      </c>
      <c r="DE109" s="228">
        <v>47.18</v>
      </c>
      <c r="DF109" s="228">
        <v>47.3</v>
      </c>
      <c r="DG109" s="228">
        <v>-17.66</v>
      </c>
      <c r="DH109" s="228">
        <v>-0.12</v>
      </c>
      <c r="DI109" s="228">
        <v>29.45</v>
      </c>
      <c r="DJ109" s="228">
        <v>30.49</v>
      </c>
      <c r="DK109" s="228">
        <v>-1.04</v>
      </c>
      <c r="DL109" s="228">
        <v>-1.04</v>
      </c>
      <c r="DM109" s="228">
        <v>29.71</v>
      </c>
      <c r="DN109" s="228">
        <v>31.08</v>
      </c>
      <c r="DO109" s="228">
        <v>-1.37</v>
      </c>
      <c r="DP109" s="228">
        <v>-1.37</v>
      </c>
      <c r="DQ109" s="228">
        <v>0.67</v>
      </c>
      <c r="DR109" s="228">
        <v>0.71</v>
      </c>
      <c r="DS109" s="228">
        <v>-0.04</v>
      </c>
      <c r="DT109" s="229">
        <v>-5.6300000000000003E-2</v>
      </c>
      <c r="DU109" s="228">
        <v>500</v>
      </c>
      <c r="DV109" s="228">
        <v>500</v>
      </c>
      <c r="DW109" s="228">
        <v>0.34</v>
      </c>
      <c r="DX109" s="228">
        <v>0.48</v>
      </c>
      <c r="DY109" s="228">
        <v>-0.14000000000000001</v>
      </c>
      <c r="DZ109" s="229">
        <v>-0.29170000000000001</v>
      </c>
      <c r="EA109" s="229">
        <v>1.01E-2</v>
      </c>
      <c r="EB109" s="230">
        <v>343100</v>
      </c>
      <c r="EC109" s="229">
        <v>5.8999999999999999E-3</v>
      </c>
      <c r="ED109" s="229">
        <v>1.01E-2</v>
      </c>
      <c r="EE109" s="228">
        <v>3.17</v>
      </c>
      <c r="EF109" s="229">
        <v>6.4999999999999997E-3</v>
      </c>
      <c r="EG109" s="230">
        <v>311455</v>
      </c>
      <c r="EH109" s="230">
        <v>494441</v>
      </c>
      <c r="EI109" s="229">
        <v>-0.37009999999999998</v>
      </c>
      <c r="EJ109" s="229">
        <v>0.39350000000000002</v>
      </c>
      <c r="EK109" s="228">
        <v>91.06</v>
      </c>
      <c r="EL109" s="228">
        <v>28.78</v>
      </c>
      <c r="EM109" s="228">
        <v>42.24</v>
      </c>
      <c r="EN109" s="228">
        <v>110.02</v>
      </c>
      <c r="EO109" s="228">
        <v>162.07</v>
      </c>
      <c r="EP109" s="228">
        <v>350.51</v>
      </c>
      <c r="EQ109" s="228">
        <v>-188.44</v>
      </c>
      <c r="ER109" s="229">
        <v>-0.53759999999999997</v>
      </c>
      <c r="ES109" s="228">
        <v>188.71</v>
      </c>
      <c r="ET109" s="228">
        <v>116.84</v>
      </c>
      <c r="EU109" s="231">
        <v>1723.36</v>
      </c>
      <c r="EV109" s="231">
        <v>57654984</v>
      </c>
      <c r="EW109" s="231">
        <v>2028.91</v>
      </c>
      <c r="EX109" s="231">
        <v>2009.35</v>
      </c>
      <c r="EY109" s="228">
        <v>19.559999999999999</v>
      </c>
      <c r="EZ109" s="229">
        <v>9.7000000000000003E-3</v>
      </c>
      <c r="FA109" s="229">
        <v>0.71919999999999995</v>
      </c>
      <c r="FB109" s="227" t="s">
        <v>567</v>
      </c>
      <c r="FC109">
        <f t="shared" si="1"/>
        <v>17</v>
      </c>
    </row>
    <row r="110" spans="1:159" ht="17.25" thickBot="1" x14ac:dyDescent="0.3">
      <c r="A110" s="226">
        <v>46023</v>
      </c>
      <c r="B110" s="227" t="s">
        <v>184</v>
      </c>
      <c r="C110" s="227" t="s">
        <v>676</v>
      </c>
      <c r="D110" s="228">
        <v>100</v>
      </c>
      <c r="E110" s="228">
        <v>26</v>
      </c>
      <c r="F110" s="231">
        <v>3958.4</v>
      </c>
      <c r="G110" s="231">
        <v>4036.5</v>
      </c>
      <c r="H110" s="228">
        <v>-78.099999999999994</v>
      </c>
      <c r="I110" s="229">
        <v>-1.9300000000000001E-2</v>
      </c>
      <c r="J110" s="231">
        <v>3943.5</v>
      </c>
      <c r="K110" s="231">
        <v>4013</v>
      </c>
      <c r="L110" s="228">
        <v>-69.5</v>
      </c>
      <c r="M110" s="229">
        <v>-1.7299999999999999E-2</v>
      </c>
      <c r="N110" s="231">
        <v>3958.4</v>
      </c>
      <c r="O110" s="231">
        <v>4036.5</v>
      </c>
      <c r="P110" s="228">
        <v>-78.099999999999994</v>
      </c>
      <c r="Q110" s="229">
        <v>-1.9300000000000001E-2</v>
      </c>
      <c r="R110" s="231">
        <v>3980.9</v>
      </c>
      <c r="S110" s="231">
        <v>4056.5</v>
      </c>
      <c r="T110" s="228">
        <v>-75.599999999999994</v>
      </c>
      <c r="U110" s="229">
        <v>-1.8599999999999998E-2</v>
      </c>
      <c r="V110" s="231">
        <v>4000.2</v>
      </c>
      <c r="W110" s="231">
        <v>4080</v>
      </c>
      <c r="X110" s="228">
        <v>-79.8</v>
      </c>
      <c r="Y110" s="229">
        <v>-1.9599999999999999E-2</v>
      </c>
      <c r="Z110" s="228">
        <v>14.9</v>
      </c>
      <c r="AA110" s="228">
        <v>23.5</v>
      </c>
      <c r="AB110" s="228">
        <v>-8.6</v>
      </c>
      <c r="AC110" s="229">
        <v>3.8E-3</v>
      </c>
      <c r="AD110" s="228">
        <v>14.9</v>
      </c>
      <c r="AE110" s="228">
        <v>23.5</v>
      </c>
      <c r="AF110" s="228">
        <v>-8.6</v>
      </c>
      <c r="AG110" s="229">
        <v>3.8E-3</v>
      </c>
      <c r="AH110" s="228">
        <v>37.4</v>
      </c>
      <c r="AI110" s="228">
        <v>43.5</v>
      </c>
      <c r="AJ110" s="228">
        <v>-6.1</v>
      </c>
      <c r="AK110" s="229">
        <v>9.4999999999999998E-3</v>
      </c>
      <c r="AL110" s="228">
        <v>56.7</v>
      </c>
      <c r="AM110" s="228">
        <v>67</v>
      </c>
      <c r="AN110" s="228">
        <v>-10.3</v>
      </c>
      <c r="AO110" s="229">
        <v>1.44E-2</v>
      </c>
      <c r="AP110" s="231">
        <v>3974.24</v>
      </c>
      <c r="AQ110" s="231">
        <v>3991.7</v>
      </c>
      <c r="AR110" s="228">
        <v>0</v>
      </c>
      <c r="AS110" s="228">
        <v>202</v>
      </c>
      <c r="AT110" s="228">
        <v>230</v>
      </c>
      <c r="AU110" s="228">
        <v>-28</v>
      </c>
      <c r="AV110" s="229">
        <v>-0.12039999999999999</v>
      </c>
      <c r="AW110" s="228">
        <v>188</v>
      </c>
      <c r="AX110" s="228">
        <v>216</v>
      </c>
      <c r="AY110" s="228">
        <v>-28</v>
      </c>
      <c r="AZ110" s="229">
        <v>-0.12939999999999999</v>
      </c>
      <c r="BA110" s="228">
        <v>11</v>
      </c>
      <c r="BB110" s="228">
        <v>12</v>
      </c>
      <c r="BC110" s="228">
        <v>-2</v>
      </c>
      <c r="BD110" s="229">
        <v>-0.12379999999999999</v>
      </c>
      <c r="BE110" s="228">
        <v>3</v>
      </c>
      <c r="BF110" s="228">
        <v>2</v>
      </c>
      <c r="BG110" s="228">
        <v>2</v>
      </c>
      <c r="BH110" s="229">
        <v>1.2104999999999999</v>
      </c>
      <c r="BI110" s="228">
        <v>669</v>
      </c>
      <c r="BJ110" s="228">
        <v>961</v>
      </c>
      <c r="BK110" s="228">
        <v>-291</v>
      </c>
      <c r="BL110" s="229">
        <v>-0.3034</v>
      </c>
      <c r="BM110" s="228">
        <v>385</v>
      </c>
      <c r="BN110" s="228">
        <v>478</v>
      </c>
      <c r="BO110" s="228">
        <v>-94</v>
      </c>
      <c r="BP110" s="229">
        <v>-0.19550000000000001</v>
      </c>
      <c r="BQ110" s="230">
        <v>1257</v>
      </c>
      <c r="BR110" s="230">
        <v>1669</v>
      </c>
      <c r="BS110" s="228">
        <v>-413</v>
      </c>
      <c r="BT110" s="229">
        <v>-0.24729999999999999</v>
      </c>
      <c r="BU110" s="230">
        <v>949497</v>
      </c>
      <c r="BV110" s="230">
        <v>1137899</v>
      </c>
      <c r="BW110" s="230">
        <v>-188402</v>
      </c>
      <c r="BX110" s="229">
        <v>-0.1656</v>
      </c>
      <c r="BY110" s="230">
        <v>1158</v>
      </c>
      <c r="BZ110" s="230">
        <v>1114</v>
      </c>
      <c r="CA110" s="228">
        <v>44</v>
      </c>
      <c r="CB110" s="229">
        <v>3.9300000000000002E-2</v>
      </c>
      <c r="CC110" s="230">
        <v>1070</v>
      </c>
      <c r="CD110" s="230">
        <v>1033</v>
      </c>
      <c r="CE110" s="228">
        <v>38</v>
      </c>
      <c r="CF110" s="229">
        <v>3.6499999999999998E-2</v>
      </c>
      <c r="CG110" s="228">
        <v>85</v>
      </c>
      <c r="CH110" s="228">
        <v>81</v>
      </c>
      <c r="CI110" s="228">
        <v>4</v>
      </c>
      <c r="CJ110" s="229">
        <v>5.21E-2</v>
      </c>
      <c r="CK110" s="228">
        <v>3</v>
      </c>
      <c r="CL110" s="228">
        <v>1</v>
      </c>
      <c r="CM110" s="228">
        <v>2</v>
      </c>
      <c r="CN110" s="229">
        <v>2.1818</v>
      </c>
      <c r="CO110" s="228">
        <v>811</v>
      </c>
      <c r="CP110" s="228">
        <v>698</v>
      </c>
      <c r="CQ110" s="228">
        <v>113</v>
      </c>
      <c r="CR110" s="229">
        <v>0.16159999999999999</v>
      </c>
      <c r="CS110" s="228">
        <v>420</v>
      </c>
      <c r="CT110" s="228">
        <v>383</v>
      </c>
      <c r="CU110" s="228">
        <v>37</v>
      </c>
      <c r="CV110" s="229">
        <v>9.7199999999999995E-2</v>
      </c>
      <c r="CW110" s="230">
        <v>2389</v>
      </c>
      <c r="CX110" s="230">
        <v>2195</v>
      </c>
      <c r="CY110" s="228">
        <v>194</v>
      </c>
      <c r="CZ110" s="229">
        <v>8.8300000000000003E-2</v>
      </c>
      <c r="DA110" s="228">
        <v>41.03</v>
      </c>
      <c r="DB110" s="228">
        <v>40.97</v>
      </c>
      <c r="DC110" s="228">
        <v>0.06</v>
      </c>
      <c r="DD110" s="228">
        <v>0.06</v>
      </c>
      <c r="DE110" s="228">
        <v>62.03</v>
      </c>
      <c r="DF110" s="228">
        <v>62.14</v>
      </c>
      <c r="DG110" s="228">
        <v>-21</v>
      </c>
      <c r="DH110" s="228">
        <v>-0.11</v>
      </c>
      <c r="DI110" s="228">
        <v>41.31</v>
      </c>
      <c r="DJ110" s="228">
        <v>40.85</v>
      </c>
      <c r="DK110" s="228">
        <v>0.46</v>
      </c>
      <c r="DL110" s="228">
        <v>0.46</v>
      </c>
      <c r="DM110" s="228">
        <v>40.54</v>
      </c>
      <c r="DN110" s="228">
        <v>41.21</v>
      </c>
      <c r="DO110" s="228">
        <v>-0.67</v>
      </c>
      <c r="DP110" s="228">
        <v>-0.67</v>
      </c>
      <c r="DQ110" s="228">
        <v>0.52</v>
      </c>
      <c r="DR110" s="228">
        <v>0.55000000000000004</v>
      </c>
      <c r="DS110" s="228">
        <v>-0.03</v>
      </c>
      <c r="DT110" s="229">
        <v>-5.45E-2</v>
      </c>
      <c r="DU110" s="231">
        <v>4200</v>
      </c>
      <c r="DV110" s="231">
        <v>4000</v>
      </c>
      <c r="DW110" s="228">
        <v>0.57999999999999996</v>
      </c>
      <c r="DX110" s="228">
        <v>0.5</v>
      </c>
      <c r="DY110" s="228">
        <v>0.08</v>
      </c>
      <c r="DZ110" s="229">
        <v>0.16</v>
      </c>
      <c r="EA110" s="229">
        <v>7.5600000000000001E-2</v>
      </c>
      <c r="EB110" s="230">
        <v>205700</v>
      </c>
      <c r="EC110" s="229">
        <v>5.7000000000000002E-3</v>
      </c>
      <c r="ED110" s="229">
        <v>7.5600000000000001E-2</v>
      </c>
      <c r="EE110" s="228">
        <v>17.46</v>
      </c>
      <c r="EF110" s="229">
        <v>4.4000000000000003E-3</v>
      </c>
      <c r="EG110" s="230">
        <v>257007</v>
      </c>
      <c r="EH110" s="230">
        <v>196366</v>
      </c>
      <c r="EI110" s="229">
        <v>0.30880000000000002</v>
      </c>
      <c r="EJ110" s="229">
        <v>0.2707</v>
      </c>
      <c r="EK110" s="228">
        <v>740.46</v>
      </c>
      <c r="EL110" s="228">
        <v>381.51</v>
      </c>
      <c r="EM110" s="228">
        <v>203.36</v>
      </c>
      <c r="EN110" s="228">
        <v>190.64</v>
      </c>
      <c r="EO110" s="231">
        <v>1325.33</v>
      </c>
      <c r="EP110" s="231">
        <v>1783.56</v>
      </c>
      <c r="EQ110" s="228">
        <v>-458.23</v>
      </c>
      <c r="ER110" s="229">
        <v>-0.25690000000000002</v>
      </c>
      <c r="ES110" s="228">
        <v>917.02</v>
      </c>
      <c r="ET110" s="228">
        <v>419.96</v>
      </c>
      <c r="EU110" s="231">
        <v>1158.26</v>
      </c>
      <c r="EV110" s="231">
        <v>4679418</v>
      </c>
      <c r="EW110" s="231">
        <v>2495.25</v>
      </c>
      <c r="EX110" s="231">
        <v>2318.75</v>
      </c>
      <c r="EY110" s="228">
        <v>176.5</v>
      </c>
      <c r="EZ110" s="229">
        <v>7.6100000000000001E-2</v>
      </c>
      <c r="FA110" s="229">
        <v>1.2899</v>
      </c>
      <c r="FB110" s="227" t="s">
        <v>567</v>
      </c>
      <c r="FC110">
        <f t="shared" si="1"/>
        <v>88</v>
      </c>
    </row>
    <row r="111" spans="1:159" ht="17.25" thickBot="1" x14ac:dyDescent="0.3">
      <c r="A111" s="226">
        <v>46023</v>
      </c>
      <c r="B111" s="227" t="s">
        <v>161</v>
      </c>
      <c r="C111" s="227" t="s">
        <v>610</v>
      </c>
      <c r="D111" s="228">
        <v>175</v>
      </c>
      <c r="E111" s="228">
        <v>26</v>
      </c>
      <c r="F111" s="231">
        <v>4536.3</v>
      </c>
      <c r="G111" s="231">
        <v>4485.8999999999996</v>
      </c>
      <c r="H111" s="228">
        <v>50.4</v>
      </c>
      <c r="I111" s="229">
        <v>1.12E-2</v>
      </c>
      <c r="J111" s="231">
        <v>4514.5</v>
      </c>
      <c r="K111" s="231">
        <v>4460.2</v>
      </c>
      <c r="L111" s="228">
        <v>54.3</v>
      </c>
      <c r="M111" s="229">
        <v>1.2200000000000001E-2</v>
      </c>
      <c r="N111" s="231">
        <v>4536.3</v>
      </c>
      <c r="O111" s="231">
        <v>4485.8999999999996</v>
      </c>
      <c r="P111" s="228">
        <v>50.4</v>
      </c>
      <c r="Q111" s="229">
        <v>1.12E-2</v>
      </c>
      <c r="R111" s="231">
        <v>4534.3999999999996</v>
      </c>
      <c r="S111" s="231">
        <v>4493.2</v>
      </c>
      <c r="T111" s="228">
        <v>41.2</v>
      </c>
      <c r="U111" s="229">
        <v>9.1999999999999998E-3</v>
      </c>
      <c r="V111" s="228">
        <v>0</v>
      </c>
      <c r="W111" s="228">
        <v>0</v>
      </c>
      <c r="X111" s="228">
        <v>0</v>
      </c>
      <c r="Y111" s="229">
        <v>0</v>
      </c>
      <c r="Z111" s="228">
        <v>21.8</v>
      </c>
      <c r="AA111" s="228">
        <v>25.7</v>
      </c>
      <c r="AB111" s="228">
        <v>-3.9</v>
      </c>
      <c r="AC111" s="229">
        <v>4.7999999999999996E-3</v>
      </c>
      <c r="AD111" s="228">
        <v>21.8</v>
      </c>
      <c r="AE111" s="228">
        <v>25.7</v>
      </c>
      <c r="AF111" s="228">
        <v>-3.9</v>
      </c>
      <c r="AG111" s="229">
        <v>4.7999999999999996E-3</v>
      </c>
      <c r="AH111" s="228">
        <v>19.899999999999999</v>
      </c>
      <c r="AI111" s="228">
        <v>33</v>
      </c>
      <c r="AJ111" s="228">
        <v>-13.1</v>
      </c>
      <c r="AK111" s="229">
        <v>4.4000000000000003E-3</v>
      </c>
      <c r="AL111" s="228">
        <v>0</v>
      </c>
      <c r="AM111" s="228">
        <v>0</v>
      </c>
      <c r="AN111" s="228">
        <v>0</v>
      </c>
      <c r="AO111" s="229">
        <v>0</v>
      </c>
      <c r="AP111" s="231">
        <v>4507.32</v>
      </c>
      <c r="AQ111" s="231">
        <v>4513.47</v>
      </c>
      <c r="AR111" s="228">
        <v>0</v>
      </c>
      <c r="AS111" s="228">
        <v>94</v>
      </c>
      <c r="AT111" s="228">
        <v>146</v>
      </c>
      <c r="AU111" s="228">
        <v>-53</v>
      </c>
      <c r="AV111" s="229">
        <v>-0.36080000000000001</v>
      </c>
      <c r="AW111" s="228">
        <v>90</v>
      </c>
      <c r="AX111" s="228">
        <v>144</v>
      </c>
      <c r="AY111" s="228">
        <v>-54</v>
      </c>
      <c r="AZ111" s="229">
        <v>-0.37730000000000002</v>
      </c>
      <c r="BA111" s="228">
        <v>4</v>
      </c>
      <c r="BB111" s="228">
        <v>2</v>
      </c>
      <c r="BC111" s="228">
        <v>2</v>
      </c>
      <c r="BD111" s="229">
        <v>0.63329999999999997</v>
      </c>
      <c r="BE111" s="228">
        <v>0</v>
      </c>
      <c r="BF111" s="228">
        <v>0</v>
      </c>
      <c r="BG111" s="228">
        <v>0</v>
      </c>
      <c r="BH111" s="229">
        <v>0</v>
      </c>
      <c r="BI111" s="228">
        <v>292</v>
      </c>
      <c r="BJ111" s="228">
        <v>393</v>
      </c>
      <c r="BK111" s="228">
        <v>-101</v>
      </c>
      <c r="BL111" s="229">
        <v>-0.25779999999999997</v>
      </c>
      <c r="BM111" s="228">
        <v>100</v>
      </c>
      <c r="BN111" s="228">
        <v>119</v>
      </c>
      <c r="BO111" s="228">
        <v>-19</v>
      </c>
      <c r="BP111" s="229">
        <v>-0.1588</v>
      </c>
      <c r="BQ111" s="228">
        <v>485</v>
      </c>
      <c r="BR111" s="228">
        <v>658</v>
      </c>
      <c r="BS111" s="228">
        <v>-173</v>
      </c>
      <c r="BT111" s="229">
        <v>-0.26279999999999998</v>
      </c>
      <c r="BU111" s="230">
        <v>168088</v>
      </c>
      <c r="BV111" s="230">
        <v>284268</v>
      </c>
      <c r="BW111" s="230">
        <v>-116180</v>
      </c>
      <c r="BX111" s="229">
        <v>-0.40870000000000001</v>
      </c>
      <c r="BY111" s="228">
        <v>420</v>
      </c>
      <c r="BZ111" s="228">
        <v>423</v>
      </c>
      <c r="CA111" s="228">
        <v>-3</v>
      </c>
      <c r="CB111" s="229">
        <v>-8.0999999999999996E-3</v>
      </c>
      <c r="CC111" s="228">
        <v>417</v>
      </c>
      <c r="CD111" s="228">
        <v>421</v>
      </c>
      <c r="CE111" s="228">
        <v>-4</v>
      </c>
      <c r="CF111" s="229">
        <v>-9.4000000000000004E-3</v>
      </c>
      <c r="CG111" s="228">
        <v>3</v>
      </c>
      <c r="CH111" s="228">
        <v>3</v>
      </c>
      <c r="CI111" s="228">
        <v>1</v>
      </c>
      <c r="CJ111" s="229">
        <v>0.21210000000000001</v>
      </c>
      <c r="CK111" s="228">
        <v>0</v>
      </c>
      <c r="CL111" s="228">
        <v>0</v>
      </c>
      <c r="CM111" s="228">
        <v>0</v>
      </c>
      <c r="CN111" s="229">
        <v>0</v>
      </c>
      <c r="CO111" s="228">
        <v>138</v>
      </c>
      <c r="CP111" s="228">
        <v>121</v>
      </c>
      <c r="CQ111" s="228">
        <v>17</v>
      </c>
      <c r="CR111" s="229">
        <v>0.14119999999999999</v>
      </c>
      <c r="CS111" s="228">
        <v>95</v>
      </c>
      <c r="CT111" s="228">
        <v>62</v>
      </c>
      <c r="CU111" s="228">
        <v>33</v>
      </c>
      <c r="CV111" s="229">
        <v>0.54039999999999999</v>
      </c>
      <c r="CW111" s="228">
        <v>653</v>
      </c>
      <c r="CX111" s="228">
        <v>606</v>
      </c>
      <c r="CY111" s="228">
        <v>47</v>
      </c>
      <c r="CZ111" s="229">
        <v>7.7700000000000005E-2</v>
      </c>
      <c r="DA111" s="228">
        <v>26.64</v>
      </c>
      <c r="DB111" s="228">
        <v>27.65</v>
      </c>
      <c r="DC111" s="228">
        <v>-1.01</v>
      </c>
      <c r="DD111" s="228">
        <v>-1.01</v>
      </c>
      <c r="DE111" s="228">
        <v>45.43</v>
      </c>
      <c r="DF111" s="228">
        <v>45.52</v>
      </c>
      <c r="DG111" s="228">
        <v>-18.79</v>
      </c>
      <c r="DH111" s="228">
        <v>-0.09</v>
      </c>
      <c r="DI111" s="228">
        <v>26.55</v>
      </c>
      <c r="DJ111" s="228">
        <v>27.49</v>
      </c>
      <c r="DK111" s="228">
        <v>-0.94</v>
      </c>
      <c r="DL111" s="228">
        <v>-0.94</v>
      </c>
      <c r="DM111" s="228">
        <v>26.9</v>
      </c>
      <c r="DN111" s="228">
        <v>28.19</v>
      </c>
      <c r="DO111" s="228">
        <v>-1.29</v>
      </c>
      <c r="DP111" s="228">
        <v>-1.29</v>
      </c>
      <c r="DQ111" s="228">
        <v>0.69</v>
      </c>
      <c r="DR111" s="228">
        <v>0.51</v>
      </c>
      <c r="DS111" s="228">
        <v>0.18</v>
      </c>
      <c r="DT111" s="229">
        <v>0.35289999999999999</v>
      </c>
      <c r="DU111" s="231">
        <v>4500</v>
      </c>
      <c r="DV111" s="231">
        <v>4500</v>
      </c>
      <c r="DW111" s="228">
        <v>0.34</v>
      </c>
      <c r="DX111" s="228">
        <v>0.3</v>
      </c>
      <c r="DY111" s="228">
        <v>0.04</v>
      </c>
      <c r="DZ111" s="229">
        <v>0.1333</v>
      </c>
      <c r="EA111" s="229">
        <v>7.6E-3</v>
      </c>
      <c r="EB111" s="230">
        <v>5775</v>
      </c>
      <c r="EC111" s="229">
        <v>-4.0000000000000002E-4</v>
      </c>
      <c r="ED111" s="229">
        <v>7.6E-3</v>
      </c>
      <c r="EE111" s="228">
        <v>6.15</v>
      </c>
      <c r="EF111" s="229">
        <v>1.4E-3</v>
      </c>
      <c r="EG111" s="230">
        <v>74227</v>
      </c>
      <c r="EH111" s="230">
        <v>151507</v>
      </c>
      <c r="EI111" s="229">
        <v>-0.5101</v>
      </c>
      <c r="EJ111" s="229">
        <v>0.44159999999999999</v>
      </c>
      <c r="EK111" s="228">
        <v>301.43</v>
      </c>
      <c r="EL111" s="228">
        <v>98.77</v>
      </c>
      <c r="EM111" s="228">
        <v>92.92</v>
      </c>
      <c r="EN111" s="228">
        <v>43.53</v>
      </c>
      <c r="EO111" s="228">
        <v>493.12</v>
      </c>
      <c r="EP111" s="228">
        <v>659.16</v>
      </c>
      <c r="EQ111" s="228">
        <v>-166.05</v>
      </c>
      <c r="ER111" s="229">
        <v>-0.25190000000000001</v>
      </c>
      <c r="ES111" s="228">
        <v>139.93</v>
      </c>
      <c r="ET111" s="228">
        <v>90.92</v>
      </c>
      <c r="EU111" s="228">
        <v>420.03</v>
      </c>
      <c r="EV111" s="231">
        <v>8553821</v>
      </c>
      <c r="EW111" s="228">
        <v>650.88</v>
      </c>
      <c r="EX111" s="228">
        <v>599.16999999999996</v>
      </c>
      <c r="EY111" s="228">
        <v>51.71</v>
      </c>
      <c r="EZ111" s="229">
        <v>8.6300000000000002E-2</v>
      </c>
      <c r="FA111" s="229">
        <v>0.16839999999999999</v>
      </c>
      <c r="FB111" s="227" t="s">
        <v>556</v>
      </c>
      <c r="FC111">
        <f t="shared" si="1"/>
        <v>3</v>
      </c>
    </row>
    <row r="112" spans="1:159" ht="17.25" thickBot="1" x14ac:dyDescent="0.3">
      <c r="A112" s="226">
        <v>46023</v>
      </c>
      <c r="B112" s="227" t="s">
        <v>175</v>
      </c>
      <c r="C112" s="227" t="s">
        <v>683</v>
      </c>
      <c r="D112" s="228">
        <v>500</v>
      </c>
      <c r="E112" s="228">
        <v>26</v>
      </c>
      <c r="F112" s="231">
        <v>1078.5999999999999</v>
      </c>
      <c r="G112" s="231">
        <v>1078.9000000000001</v>
      </c>
      <c r="H112" s="228">
        <v>-0.3</v>
      </c>
      <c r="I112" s="229">
        <v>-2.9999999999999997E-4</v>
      </c>
      <c r="J112" s="231">
        <v>1076.7</v>
      </c>
      <c r="K112" s="231">
        <v>1082</v>
      </c>
      <c r="L112" s="228">
        <v>-5.3</v>
      </c>
      <c r="M112" s="229">
        <v>-4.8999999999999998E-3</v>
      </c>
      <c r="N112" s="231">
        <v>1078.5999999999999</v>
      </c>
      <c r="O112" s="231">
        <v>1078.9000000000001</v>
      </c>
      <c r="P112" s="228">
        <v>-0.3</v>
      </c>
      <c r="Q112" s="229">
        <v>-2.9999999999999997E-4</v>
      </c>
      <c r="R112" s="231">
        <v>1073.8</v>
      </c>
      <c r="S112" s="231">
        <v>1075.7</v>
      </c>
      <c r="T112" s="228">
        <v>-1.9</v>
      </c>
      <c r="U112" s="229">
        <v>-1.8E-3</v>
      </c>
      <c r="V112" s="231">
        <v>1066.8</v>
      </c>
      <c r="W112" s="231">
        <v>1065.5999999999999</v>
      </c>
      <c r="X112" s="228">
        <v>1.2</v>
      </c>
      <c r="Y112" s="229">
        <v>1.1000000000000001E-3</v>
      </c>
      <c r="Z112" s="228">
        <v>1.9</v>
      </c>
      <c r="AA112" s="228">
        <v>-3.1</v>
      </c>
      <c r="AB112" s="228">
        <v>5</v>
      </c>
      <c r="AC112" s="229">
        <v>1.8E-3</v>
      </c>
      <c r="AD112" s="228">
        <v>1.9</v>
      </c>
      <c r="AE112" s="228">
        <v>-3.1</v>
      </c>
      <c r="AF112" s="228">
        <v>5</v>
      </c>
      <c r="AG112" s="229">
        <v>1.8E-3</v>
      </c>
      <c r="AH112" s="228">
        <v>-2.9</v>
      </c>
      <c r="AI112" s="228">
        <v>-6.3</v>
      </c>
      <c r="AJ112" s="228">
        <v>3.4</v>
      </c>
      <c r="AK112" s="229">
        <v>-2.7000000000000001E-3</v>
      </c>
      <c r="AL112" s="228">
        <v>-9.9</v>
      </c>
      <c r="AM112" s="228">
        <v>-16.399999999999999</v>
      </c>
      <c r="AN112" s="228">
        <v>6.5</v>
      </c>
      <c r="AO112" s="229">
        <v>-9.1999999999999998E-3</v>
      </c>
      <c r="AP112" s="231">
        <v>1069.3399999999999</v>
      </c>
      <c r="AQ112" s="231">
        <v>1064.27</v>
      </c>
      <c r="AR112" s="228">
        <v>0</v>
      </c>
      <c r="AS112" s="228">
        <v>67</v>
      </c>
      <c r="AT112" s="228">
        <v>79</v>
      </c>
      <c r="AU112" s="228">
        <v>-12</v>
      </c>
      <c r="AV112" s="229">
        <v>-0.15229999999999999</v>
      </c>
      <c r="AW112" s="228">
        <v>62</v>
      </c>
      <c r="AX112" s="228">
        <v>76</v>
      </c>
      <c r="AY112" s="228">
        <v>-14</v>
      </c>
      <c r="AZ112" s="229">
        <v>-0.18160000000000001</v>
      </c>
      <c r="BA112" s="228">
        <v>4</v>
      </c>
      <c r="BB112" s="228">
        <v>2</v>
      </c>
      <c r="BC112" s="228">
        <v>2</v>
      </c>
      <c r="BD112" s="229">
        <v>0.82930000000000004</v>
      </c>
      <c r="BE112" s="228">
        <v>0</v>
      </c>
      <c r="BF112" s="228">
        <v>0</v>
      </c>
      <c r="BG112" s="228">
        <v>0</v>
      </c>
      <c r="BH112" s="229">
        <v>0.5</v>
      </c>
      <c r="BI112" s="228">
        <v>82</v>
      </c>
      <c r="BJ112" s="228">
        <v>66</v>
      </c>
      <c r="BK112" s="228">
        <v>16</v>
      </c>
      <c r="BL112" s="229">
        <v>0.24060000000000001</v>
      </c>
      <c r="BM112" s="228">
        <v>27</v>
      </c>
      <c r="BN112" s="228">
        <v>38</v>
      </c>
      <c r="BO112" s="228">
        <v>-12</v>
      </c>
      <c r="BP112" s="229">
        <v>-0.30580000000000002</v>
      </c>
      <c r="BQ112" s="228">
        <v>175</v>
      </c>
      <c r="BR112" s="228">
        <v>183</v>
      </c>
      <c r="BS112" s="228">
        <v>-8</v>
      </c>
      <c r="BT112" s="229">
        <v>-4.2999999999999997E-2</v>
      </c>
      <c r="BU112" s="230">
        <v>354159</v>
      </c>
      <c r="BV112" s="230">
        <v>449889</v>
      </c>
      <c r="BW112" s="230">
        <v>-95730</v>
      </c>
      <c r="BX112" s="229">
        <v>-0.21279999999999999</v>
      </c>
      <c r="BY112" s="228">
        <v>334</v>
      </c>
      <c r="BZ112" s="228">
        <v>326</v>
      </c>
      <c r="CA112" s="228">
        <v>8</v>
      </c>
      <c r="CB112" s="229">
        <v>2.58E-2</v>
      </c>
      <c r="CC112" s="228">
        <v>323</v>
      </c>
      <c r="CD112" s="228">
        <v>316</v>
      </c>
      <c r="CE112" s="228">
        <v>7</v>
      </c>
      <c r="CF112" s="229">
        <v>2.3400000000000001E-2</v>
      </c>
      <c r="CG112" s="228">
        <v>11</v>
      </c>
      <c r="CH112" s="228">
        <v>10</v>
      </c>
      <c r="CI112" s="228">
        <v>1</v>
      </c>
      <c r="CJ112" s="229">
        <v>9.3399999999999997E-2</v>
      </c>
      <c r="CK112" s="228">
        <v>0</v>
      </c>
      <c r="CL112" s="228">
        <v>0</v>
      </c>
      <c r="CM112" s="228">
        <v>0</v>
      </c>
      <c r="CN112" s="229">
        <v>1</v>
      </c>
      <c r="CO112" s="228">
        <v>89</v>
      </c>
      <c r="CP112" s="228">
        <v>83</v>
      </c>
      <c r="CQ112" s="228">
        <v>5</v>
      </c>
      <c r="CR112" s="229">
        <v>6.4799999999999996E-2</v>
      </c>
      <c r="CS112" s="228">
        <v>66</v>
      </c>
      <c r="CT112" s="228">
        <v>62</v>
      </c>
      <c r="CU112" s="228">
        <v>4</v>
      </c>
      <c r="CV112" s="229">
        <v>6.3700000000000007E-2</v>
      </c>
      <c r="CW112" s="228">
        <v>488</v>
      </c>
      <c r="CX112" s="228">
        <v>471</v>
      </c>
      <c r="CY112" s="228">
        <v>18</v>
      </c>
      <c r="CZ112" s="229">
        <v>3.7699999999999997E-2</v>
      </c>
      <c r="DA112" s="228">
        <v>31.09</v>
      </c>
      <c r="DB112" s="228">
        <v>31.99</v>
      </c>
      <c r="DC112" s="228">
        <v>-0.9</v>
      </c>
      <c r="DD112" s="228">
        <v>-0.9</v>
      </c>
      <c r="DE112" s="228">
        <v>51.83</v>
      </c>
      <c r="DF112" s="228">
        <v>51.96</v>
      </c>
      <c r="DG112" s="228">
        <v>-20.74</v>
      </c>
      <c r="DH112" s="228">
        <v>-0.13</v>
      </c>
      <c r="DI112" s="228">
        <v>30.75</v>
      </c>
      <c r="DJ112" s="228">
        <v>31.85</v>
      </c>
      <c r="DK112" s="228">
        <v>-1.1000000000000001</v>
      </c>
      <c r="DL112" s="228">
        <v>-1.1000000000000001</v>
      </c>
      <c r="DM112" s="228">
        <v>32.11</v>
      </c>
      <c r="DN112" s="228">
        <v>32.22</v>
      </c>
      <c r="DO112" s="228">
        <v>-0.11</v>
      </c>
      <c r="DP112" s="228">
        <v>-0.11</v>
      </c>
      <c r="DQ112" s="228">
        <v>0.74</v>
      </c>
      <c r="DR112" s="228">
        <v>0.74</v>
      </c>
      <c r="DS112" s="228">
        <v>0</v>
      </c>
      <c r="DT112" s="229">
        <v>0</v>
      </c>
      <c r="DU112" s="231">
        <v>1100</v>
      </c>
      <c r="DV112" s="231">
        <v>1000</v>
      </c>
      <c r="DW112" s="228">
        <v>0.33</v>
      </c>
      <c r="DX112" s="228">
        <v>0.57999999999999996</v>
      </c>
      <c r="DY112" s="228">
        <v>-0.25</v>
      </c>
      <c r="DZ112" s="229">
        <v>-0.43099999999999999</v>
      </c>
      <c r="EA112" s="229">
        <v>3.2800000000000003E-2</v>
      </c>
      <c r="EB112" s="230">
        <v>92000</v>
      </c>
      <c r="EC112" s="229">
        <v>-4.4999999999999997E-3</v>
      </c>
      <c r="ED112" s="229">
        <v>3.2800000000000003E-2</v>
      </c>
      <c r="EE112" s="228">
        <v>-5.07</v>
      </c>
      <c r="EF112" s="229">
        <v>-4.7000000000000002E-3</v>
      </c>
      <c r="EG112" s="230">
        <v>130030</v>
      </c>
      <c r="EH112" s="230">
        <v>160049</v>
      </c>
      <c r="EI112" s="229">
        <v>-0.18759999999999999</v>
      </c>
      <c r="EJ112" s="229">
        <v>0.36720000000000003</v>
      </c>
      <c r="EK112" s="228">
        <v>87.13</v>
      </c>
      <c r="EL112" s="228">
        <v>25.17</v>
      </c>
      <c r="EM112" s="228">
        <v>66.069999999999993</v>
      </c>
      <c r="EN112" s="228">
        <v>44.66</v>
      </c>
      <c r="EO112" s="228">
        <v>178.36</v>
      </c>
      <c r="EP112" s="228">
        <v>185.54</v>
      </c>
      <c r="EQ112" s="228">
        <v>-7.17</v>
      </c>
      <c r="ER112" s="229">
        <v>-3.8699999999999998E-2</v>
      </c>
      <c r="ES112" s="228">
        <v>93.55</v>
      </c>
      <c r="ET112" s="228">
        <v>63.3</v>
      </c>
      <c r="EU112" s="228">
        <v>333.99</v>
      </c>
      <c r="EV112" s="231">
        <v>19924232</v>
      </c>
      <c r="EW112" s="228">
        <v>490.85</v>
      </c>
      <c r="EX112" s="228">
        <v>472.9</v>
      </c>
      <c r="EY112" s="228">
        <v>17.95</v>
      </c>
      <c r="EZ112" s="229">
        <v>3.7999999999999999E-2</v>
      </c>
      <c r="FA112" s="229">
        <v>0.2273</v>
      </c>
      <c r="FB112" s="227" t="s">
        <v>567</v>
      </c>
      <c r="FC112">
        <f t="shared" si="1"/>
        <v>11</v>
      </c>
    </row>
    <row r="113" spans="1:159" ht="17.25" thickBot="1" x14ac:dyDescent="0.3">
      <c r="A113" s="226">
        <v>46023</v>
      </c>
      <c r="B113" s="227" t="s">
        <v>172</v>
      </c>
      <c r="C113" s="227" t="s">
        <v>246</v>
      </c>
      <c r="D113" s="228">
        <v>400</v>
      </c>
      <c r="E113" s="228">
        <v>26</v>
      </c>
      <c r="F113" s="231">
        <v>2226.3000000000002</v>
      </c>
      <c r="G113" s="231">
        <v>2209.1999999999998</v>
      </c>
      <c r="H113" s="228">
        <v>17.100000000000001</v>
      </c>
      <c r="I113" s="229">
        <v>7.7000000000000002E-3</v>
      </c>
      <c r="J113" s="231">
        <v>2217.8000000000002</v>
      </c>
      <c r="K113" s="231">
        <v>2201.1</v>
      </c>
      <c r="L113" s="228">
        <v>16.7</v>
      </c>
      <c r="M113" s="229">
        <v>7.6E-3</v>
      </c>
      <c r="N113" s="231">
        <v>2226.3000000000002</v>
      </c>
      <c r="O113" s="231">
        <v>2209.1999999999998</v>
      </c>
      <c r="P113" s="228">
        <v>17.100000000000001</v>
      </c>
      <c r="Q113" s="229">
        <v>7.7000000000000002E-3</v>
      </c>
      <c r="R113" s="231">
        <v>2237.6999999999998</v>
      </c>
      <c r="S113" s="231">
        <v>2223</v>
      </c>
      <c r="T113" s="228">
        <v>14.7</v>
      </c>
      <c r="U113" s="229">
        <v>6.6E-3</v>
      </c>
      <c r="V113" s="231">
        <v>2252.6999999999998</v>
      </c>
      <c r="W113" s="231">
        <v>2234.9</v>
      </c>
      <c r="X113" s="228">
        <v>17.8</v>
      </c>
      <c r="Y113" s="229">
        <v>8.0000000000000002E-3</v>
      </c>
      <c r="Z113" s="228">
        <v>8.5</v>
      </c>
      <c r="AA113" s="228">
        <v>8.1</v>
      </c>
      <c r="AB113" s="228">
        <v>0.4</v>
      </c>
      <c r="AC113" s="229">
        <v>3.8E-3</v>
      </c>
      <c r="AD113" s="228">
        <v>8.5</v>
      </c>
      <c r="AE113" s="228">
        <v>8.1</v>
      </c>
      <c r="AF113" s="228">
        <v>0.4</v>
      </c>
      <c r="AG113" s="229">
        <v>3.8E-3</v>
      </c>
      <c r="AH113" s="228">
        <v>19.899999999999999</v>
      </c>
      <c r="AI113" s="228">
        <v>21.9</v>
      </c>
      <c r="AJ113" s="228">
        <v>-2</v>
      </c>
      <c r="AK113" s="229">
        <v>8.9999999999999993E-3</v>
      </c>
      <c r="AL113" s="228">
        <v>34.9</v>
      </c>
      <c r="AM113" s="228">
        <v>33.799999999999997</v>
      </c>
      <c r="AN113" s="228">
        <v>1.1000000000000001</v>
      </c>
      <c r="AO113" s="229">
        <v>1.5699999999999999E-2</v>
      </c>
      <c r="AP113" s="231">
        <v>2214.75</v>
      </c>
      <c r="AQ113" s="231">
        <v>2223.75</v>
      </c>
      <c r="AR113" s="228">
        <v>0</v>
      </c>
      <c r="AS113" s="228">
        <v>527</v>
      </c>
      <c r="AT113" s="230">
        <v>1239</v>
      </c>
      <c r="AU113" s="228">
        <v>-712</v>
      </c>
      <c r="AV113" s="229">
        <v>-0.57440000000000002</v>
      </c>
      <c r="AW113" s="228">
        <v>506</v>
      </c>
      <c r="AX113" s="230">
        <v>1222</v>
      </c>
      <c r="AY113" s="228">
        <v>-716</v>
      </c>
      <c r="AZ113" s="229">
        <v>-0.58579999999999999</v>
      </c>
      <c r="BA113" s="228">
        <v>16</v>
      </c>
      <c r="BB113" s="228">
        <v>16</v>
      </c>
      <c r="BC113" s="228">
        <v>-1</v>
      </c>
      <c r="BD113" s="229">
        <v>-3.78E-2</v>
      </c>
      <c r="BE113" s="228">
        <v>5</v>
      </c>
      <c r="BF113" s="228">
        <v>1</v>
      </c>
      <c r="BG113" s="228">
        <v>5</v>
      </c>
      <c r="BH113" s="229">
        <v>5.7778</v>
      </c>
      <c r="BI113" s="230">
        <v>1800</v>
      </c>
      <c r="BJ113" s="230">
        <v>2678</v>
      </c>
      <c r="BK113" s="228">
        <v>-878</v>
      </c>
      <c r="BL113" s="229">
        <v>-0.32790000000000002</v>
      </c>
      <c r="BM113" s="228">
        <v>871</v>
      </c>
      <c r="BN113" s="230">
        <v>1259</v>
      </c>
      <c r="BO113" s="228">
        <v>-388</v>
      </c>
      <c r="BP113" s="229">
        <v>-0.30809999999999998</v>
      </c>
      <c r="BQ113" s="230">
        <v>3198</v>
      </c>
      <c r="BR113" s="230">
        <v>5176</v>
      </c>
      <c r="BS113" s="230">
        <v>-1978</v>
      </c>
      <c r="BT113" s="229">
        <v>-0.3821</v>
      </c>
      <c r="BU113" s="230">
        <v>1469447</v>
      </c>
      <c r="BV113" s="230">
        <v>4623106</v>
      </c>
      <c r="BW113" s="230">
        <v>-3153659</v>
      </c>
      <c r="BX113" s="229">
        <v>-0.68220000000000003</v>
      </c>
      <c r="BY113" s="230">
        <v>8566</v>
      </c>
      <c r="BZ113" s="230">
        <v>8615</v>
      </c>
      <c r="CA113" s="228">
        <v>-49</v>
      </c>
      <c r="CB113" s="229">
        <v>-5.7000000000000002E-3</v>
      </c>
      <c r="CC113" s="230">
        <v>8500</v>
      </c>
      <c r="CD113" s="230">
        <v>8556</v>
      </c>
      <c r="CE113" s="228">
        <v>-56</v>
      </c>
      <c r="CF113" s="229">
        <v>-6.6E-3</v>
      </c>
      <c r="CG113" s="228">
        <v>61</v>
      </c>
      <c r="CH113" s="228">
        <v>58</v>
      </c>
      <c r="CI113" s="228">
        <v>3</v>
      </c>
      <c r="CJ113" s="229">
        <v>4.7600000000000003E-2</v>
      </c>
      <c r="CK113" s="228">
        <v>5</v>
      </c>
      <c r="CL113" s="228">
        <v>1</v>
      </c>
      <c r="CM113" s="228">
        <v>4</v>
      </c>
      <c r="CN113" s="229">
        <v>6.7142999999999997</v>
      </c>
      <c r="CO113" s="230">
        <v>1044</v>
      </c>
      <c r="CP113" s="228">
        <v>877</v>
      </c>
      <c r="CQ113" s="228">
        <v>167</v>
      </c>
      <c r="CR113" s="229">
        <v>0.1905</v>
      </c>
      <c r="CS113" s="228">
        <v>833</v>
      </c>
      <c r="CT113" s="228">
        <v>702</v>
      </c>
      <c r="CU113" s="228">
        <v>131</v>
      </c>
      <c r="CV113" s="229">
        <v>0.1867</v>
      </c>
      <c r="CW113" s="230">
        <v>10444</v>
      </c>
      <c r="CX113" s="230">
        <v>10194</v>
      </c>
      <c r="CY113" s="228">
        <v>249</v>
      </c>
      <c r="CZ113" s="229">
        <v>2.4400000000000002E-2</v>
      </c>
      <c r="DA113" s="228">
        <v>17.53</v>
      </c>
      <c r="DB113" s="228">
        <v>18.09</v>
      </c>
      <c r="DC113" s="228">
        <v>-0.56000000000000005</v>
      </c>
      <c r="DD113" s="228">
        <v>-0.56000000000000005</v>
      </c>
      <c r="DE113" s="228">
        <v>25.4</v>
      </c>
      <c r="DF113" s="228">
        <v>25.45</v>
      </c>
      <c r="DG113" s="228">
        <v>-7.87</v>
      </c>
      <c r="DH113" s="228">
        <v>-0.05</v>
      </c>
      <c r="DI113" s="228">
        <v>17.16</v>
      </c>
      <c r="DJ113" s="228">
        <v>17.82</v>
      </c>
      <c r="DK113" s="228">
        <v>-0.66</v>
      </c>
      <c r="DL113" s="228">
        <v>-0.66</v>
      </c>
      <c r="DM113" s="228">
        <v>18.32</v>
      </c>
      <c r="DN113" s="228">
        <v>18.670000000000002</v>
      </c>
      <c r="DO113" s="228">
        <v>-0.35</v>
      </c>
      <c r="DP113" s="228">
        <v>-0.35</v>
      </c>
      <c r="DQ113" s="228">
        <v>0.8</v>
      </c>
      <c r="DR113" s="228">
        <v>0.8</v>
      </c>
      <c r="DS113" s="228">
        <v>0</v>
      </c>
      <c r="DT113" s="229">
        <v>0</v>
      </c>
      <c r="DU113" s="231">
        <v>2200</v>
      </c>
      <c r="DV113" s="231">
        <v>2200</v>
      </c>
      <c r="DW113" s="228">
        <v>0.48</v>
      </c>
      <c r="DX113" s="228">
        <v>0.47</v>
      </c>
      <c r="DY113" s="228">
        <v>0.01</v>
      </c>
      <c r="DZ113" s="229">
        <v>2.1299999999999999E-2</v>
      </c>
      <c r="EA113" s="229">
        <v>7.7000000000000002E-3</v>
      </c>
      <c r="EB113" s="230">
        <v>263200</v>
      </c>
      <c r="EC113" s="229">
        <v>5.1000000000000004E-3</v>
      </c>
      <c r="ED113" s="229">
        <v>7.7000000000000002E-3</v>
      </c>
      <c r="EE113" s="228">
        <v>9</v>
      </c>
      <c r="EF113" s="229">
        <v>4.1000000000000003E-3</v>
      </c>
      <c r="EG113" s="230">
        <v>879213</v>
      </c>
      <c r="EH113" s="230">
        <v>3903076</v>
      </c>
      <c r="EI113" s="229">
        <v>-0.77470000000000006</v>
      </c>
      <c r="EJ113" s="229">
        <v>0.59830000000000005</v>
      </c>
      <c r="EK113" s="231">
        <v>1848.32</v>
      </c>
      <c r="EL113" s="228">
        <v>853.62</v>
      </c>
      <c r="EM113" s="228">
        <v>524.84</v>
      </c>
      <c r="EN113" s="228">
        <v>345.46</v>
      </c>
      <c r="EO113" s="231">
        <v>3226.78</v>
      </c>
      <c r="EP113" s="231">
        <v>5167.47</v>
      </c>
      <c r="EQ113" s="231">
        <v>-1940.68</v>
      </c>
      <c r="ER113" s="229">
        <v>-0.37559999999999999</v>
      </c>
      <c r="ES113" s="231">
        <v>1057.94</v>
      </c>
      <c r="ET113" s="228">
        <v>794.24</v>
      </c>
      <c r="EU113" s="231">
        <v>8566.19</v>
      </c>
      <c r="EV113" s="231">
        <v>156205070</v>
      </c>
      <c r="EW113" s="231">
        <v>10418.370000000001</v>
      </c>
      <c r="EX113" s="231">
        <v>10100.02</v>
      </c>
      <c r="EY113" s="228">
        <v>318.35000000000002</v>
      </c>
      <c r="EZ113" s="229">
        <v>3.15E-2</v>
      </c>
      <c r="FA113" s="229">
        <v>0.30030000000000001</v>
      </c>
      <c r="FB113" s="227" t="s">
        <v>556</v>
      </c>
      <c r="FC113">
        <f t="shared" si="1"/>
        <v>66</v>
      </c>
    </row>
    <row r="114" spans="1:159" ht="17.25" thickBot="1" x14ac:dyDescent="0.3">
      <c r="A114" s="226">
        <v>46023</v>
      </c>
      <c r="B114" s="227" t="s">
        <v>221</v>
      </c>
      <c r="C114" s="227" t="s">
        <v>577</v>
      </c>
      <c r="D114" s="228">
        <v>425</v>
      </c>
      <c r="E114" s="228">
        <v>26</v>
      </c>
      <c r="F114" s="231">
        <v>1165.2</v>
      </c>
      <c r="G114" s="231">
        <v>1177.5</v>
      </c>
      <c r="H114" s="228">
        <v>-12.3</v>
      </c>
      <c r="I114" s="229">
        <v>-1.04E-2</v>
      </c>
      <c r="J114" s="231">
        <v>1163.2</v>
      </c>
      <c r="K114" s="231">
        <v>1172.5</v>
      </c>
      <c r="L114" s="228">
        <v>-9.3000000000000007</v>
      </c>
      <c r="M114" s="229">
        <v>-7.9000000000000008E-3</v>
      </c>
      <c r="N114" s="231">
        <v>1165.2</v>
      </c>
      <c r="O114" s="231">
        <v>1177.5</v>
      </c>
      <c r="P114" s="228">
        <v>-12.3</v>
      </c>
      <c r="Q114" s="229">
        <v>-1.04E-2</v>
      </c>
      <c r="R114" s="231">
        <v>1169.7</v>
      </c>
      <c r="S114" s="231">
        <v>1180.9000000000001</v>
      </c>
      <c r="T114" s="228">
        <v>-11.2</v>
      </c>
      <c r="U114" s="229">
        <v>-9.4999999999999998E-3</v>
      </c>
      <c r="V114" s="231">
        <v>1169.5</v>
      </c>
      <c r="W114" s="231">
        <v>1178.2</v>
      </c>
      <c r="X114" s="228">
        <v>-8.6999999999999993</v>
      </c>
      <c r="Y114" s="229">
        <v>-7.4000000000000003E-3</v>
      </c>
      <c r="Z114" s="228">
        <v>2</v>
      </c>
      <c r="AA114" s="228">
        <v>5</v>
      </c>
      <c r="AB114" s="228">
        <v>-3</v>
      </c>
      <c r="AC114" s="229">
        <v>1.6999999999999999E-3</v>
      </c>
      <c r="AD114" s="228">
        <v>2</v>
      </c>
      <c r="AE114" s="228">
        <v>5</v>
      </c>
      <c r="AF114" s="228">
        <v>-3</v>
      </c>
      <c r="AG114" s="229">
        <v>1.6999999999999999E-3</v>
      </c>
      <c r="AH114" s="228">
        <v>6.5</v>
      </c>
      <c r="AI114" s="228">
        <v>8.4</v>
      </c>
      <c r="AJ114" s="228">
        <v>-1.9</v>
      </c>
      <c r="AK114" s="229">
        <v>5.5999999999999999E-3</v>
      </c>
      <c r="AL114" s="228">
        <v>6.3</v>
      </c>
      <c r="AM114" s="228">
        <v>5.7</v>
      </c>
      <c r="AN114" s="228">
        <v>0.6</v>
      </c>
      <c r="AO114" s="229">
        <v>5.4000000000000003E-3</v>
      </c>
      <c r="AP114" s="231">
        <v>1168.28</v>
      </c>
      <c r="AQ114" s="231">
        <v>1173.26</v>
      </c>
      <c r="AR114" s="228">
        <v>0</v>
      </c>
      <c r="AS114" s="228">
        <v>76</v>
      </c>
      <c r="AT114" s="228">
        <v>74</v>
      </c>
      <c r="AU114" s="228">
        <v>2</v>
      </c>
      <c r="AV114" s="229">
        <v>2.5899999999999999E-2</v>
      </c>
      <c r="AW114" s="228">
        <v>70</v>
      </c>
      <c r="AX114" s="228">
        <v>71</v>
      </c>
      <c r="AY114" s="228">
        <v>0</v>
      </c>
      <c r="AZ114" s="229">
        <v>-2.8E-3</v>
      </c>
      <c r="BA114" s="228">
        <v>6</v>
      </c>
      <c r="BB114" s="228">
        <v>4</v>
      </c>
      <c r="BC114" s="228">
        <v>2</v>
      </c>
      <c r="BD114" s="229">
        <v>0.49330000000000002</v>
      </c>
      <c r="BE114" s="228">
        <v>0</v>
      </c>
      <c r="BF114" s="228">
        <v>0</v>
      </c>
      <c r="BG114" s="228">
        <v>0</v>
      </c>
      <c r="BH114" s="229">
        <v>2</v>
      </c>
      <c r="BI114" s="228">
        <v>71</v>
      </c>
      <c r="BJ114" s="228">
        <v>93</v>
      </c>
      <c r="BK114" s="228">
        <v>-22</v>
      </c>
      <c r="BL114" s="229">
        <v>-0.2369</v>
      </c>
      <c r="BM114" s="228">
        <v>33</v>
      </c>
      <c r="BN114" s="228">
        <v>55</v>
      </c>
      <c r="BO114" s="228">
        <v>-22</v>
      </c>
      <c r="BP114" s="229">
        <v>-0.4047</v>
      </c>
      <c r="BQ114" s="228">
        <v>180</v>
      </c>
      <c r="BR114" s="228">
        <v>223</v>
      </c>
      <c r="BS114" s="228">
        <v>-42</v>
      </c>
      <c r="BT114" s="229">
        <v>-0.19070000000000001</v>
      </c>
      <c r="BU114" s="230">
        <v>306641</v>
      </c>
      <c r="BV114" s="230">
        <v>302017</v>
      </c>
      <c r="BW114" s="230">
        <v>4624</v>
      </c>
      <c r="BX114" s="229">
        <v>1.5299999999999999E-2</v>
      </c>
      <c r="BY114" s="228">
        <v>408</v>
      </c>
      <c r="BZ114" s="228">
        <v>396</v>
      </c>
      <c r="CA114" s="228">
        <v>11</v>
      </c>
      <c r="CB114" s="229">
        <v>2.9000000000000001E-2</v>
      </c>
      <c r="CC114" s="228">
        <v>391</v>
      </c>
      <c r="CD114" s="228">
        <v>383</v>
      </c>
      <c r="CE114" s="228">
        <v>8</v>
      </c>
      <c r="CF114" s="229">
        <v>2.1100000000000001E-2</v>
      </c>
      <c r="CG114" s="228">
        <v>16</v>
      </c>
      <c r="CH114" s="228">
        <v>13</v>
      </c>
      <c r="CI114" s="228">
        <v>3</v>
      </c>
      <c r="CJ114" s="229">
        <v>0.2288</v>
      </c>
      <c r="CK114" s="228">
        <v>0</v>
      </c>
      <c r="CL114" s="228">
        <v>0</v>
      </c>
      <c r="CM114" s="228">
        <v>0</v>
      </c>
      <c r="CN114" s="229">
        <v>2.3332999999999999</v>
      </c>
      <c r="CO114" s="228">
        <v>113</v>
      </c>
      <c r="CP114" s="228">
        <v>92</v>
      </c>
      <c r="CQ114" s="228">
        <v>20</v>
      </c>
      <c r="CR114" s="229">
        <v>0.2185</v>
      </c>
      <c r="CS114" s="228">
        <v>99</v>
      </c>
      <c r="CT114" s="228">
        <v>93</v>
      </c>
      <c r="CU114" s="228">
        <v>6</v>
      </c>
      <c r="CV114" s="229">
        <v>6.4600000000000005E-2</v>
      </c>
      <c r="CW114" s="228">
        <v>619</v>
      </c>
      <c r="CX114" s="228">
        <v>582</v>
      </c>
      <c r="CY114" s="228">
        <v>38</v>
      </c>
      <c r="CZ114" s="229">
        <v>6.4799999999999996E-2</v>
      </c>
      <c r="DA114" s="228">
        <v>29.92</v>
      </c>
      <c r="DB114" s="228">
        <v>29.97</v>
      </c>
      <c r="DC114" s="228">
        <v>-0.05</v>
      </c>
      <c r="DD114" s="228">
        <v>-0.05</v>
      </c>
      <c r="DE114" s="228">
        <v>42.53</v>
      </c>
      <c r="DF114" s="228">
        <v>42.62</v>
      </c>
      <c r="DG114" s="228">
        <v>-12.61</v>
      </c>
      <c r="DH114" s="228">
        <v>-0.09</v>
      </c>
      <c r="DI114" s="228">
        <v>29.89</v>
      </c>
      <c r="DJ114" s="228">
        <v>29.96</v>
      </c>
      <c r="DK114" s="228">
        <v>-7.0000000000000007E-2</v>
      </c>
      <c r="DL114" s="228">
        <v>-7.0000000000000007E-2</v>
      </c>
      <c r="DM114" s="228">
        <v>30</v>
      </c>
      <c r="DN114" s="228">
        <v>29.98</v>
      </c>
      <c r="DO114" s="228">
        <v>0.02</v>
      </c>
      <c r="DP114" s="228">
        <v>0.02</v>
      </c>
      <c r="DQ114" s="228">
        <v>0.88</v>
      </c>
      <c r="DR114" s="228">
        <v>1</v>
      </c>
      <c r="DS114" s="228">
        <v>-0.12</v>
      </c>
      <c r="DT114" s="229">
        <v>-0.12</v>
      </c>
      <c r="DU114" s="231">
        <v>1200</v>
      </c>
      <c r="DV114" s="231">
        <v>1100</v>
      </c>
      <c r="DW114" s="228">
        <v>0.47</v>
      </c>
      <c r="DX114" s="228">
        <v>0.6</v>
      </c>
      <c r="DY114" s="228">
        <v>-0.13</v>
      </c>
      <c r="DZ114" s="229">
        <v>-0.2167</v>
      </c>
      <c r="EA114" s="229">
        <v>4.1599999999999998E-2</v>
      </c>
      <c r="EB114" s="230">
        <v>116450</v>
      </c>
      <c r="EC114" s="229">
        <v>3.8999999999999998E-3</v>
      </c>
      <c r="ED114" s="229">
        <v>4.1599999999999998E-2</v>
      </c>
      <c r="EE114" s="228">
        <v>4.9800000000000004</v>
      </c>
      <c r="EF114" s="229">
        <v>4.3E-3</v>
      </c>
      <c r="EG114" s="230">
        <v>144670</v>
      </c>
      <c r="EH114" s="230">
        <v>105507</v>
      </c>
      <c r="EI114" s="229">
        <v>0.37119999999999997</v>
      </c>
      <c r="EJ114" s="229">
        <v>0.4718</v>
      </c>
      <c r="EK114" s="228">
        <v>74.900000000000006</v>
      </c>
      <c r="EL114" s="228">
        <v>32.54</v>
      </c>
      <c r="EM114" s="228">
        <v>76.64</v>
      </c>
      <c r="EN114" s="228">
        <v>50.01</v>
      </c>
      <c r="EO114" s="228">
        <v>184.08</v>
      </c>
      <c r="EP114" s="228">
        <v>228.98</v>
      </c>
      <c r="EQ114" s="228">
        <v>-44.91</v>
      </c>
      <c r="ER114" s="229">
        <v>-0.1961</v>
      </c>
      <c r="ES114" s="228">
        <v>118.58</v>
      </c>
      <c r="ET114" s="228">
        <v>98.08</v>
      </c>
      <c r="EU114" s="228">
        <v>407.92</v>
      </c>
      <c r="EV114" s="231">
        <v>24589408</v>
      </c>
      <c r="EW114" s="228">
        <v>624.58000000000004</v>
      </c>
      <c r="EX114" s="228">
        <v>590.5</v>
      </c>
      <c r="EY114" s="228">
        <v>34.08</v>
      </c>
      <c r="EZ114" s="229">
        <v>5.7700000000000001E-2</v>
      </c>
      <c r="FA114" s="229">
        <v>0.21609999999999999</v>
      </c>
      <c r="FB114" s="227" t="s">
        <v>567</v>
      </c>
      <c r="FC114">
        <f t="shared" si="1"/>
        <v>17</v>
      </c>
    </row>
    <row r="115" spans="1:159" ht="17.25" thickBot="1" x14ac:dyDescent="0.3">
      <c r="A115" s="226">
        <v>46023</v>
      </c>
      <c r="B115" s="227" t="s">
        <v>170</v>
      </c>
      <c r="C115" s="227" t="s">
        <v>535</v>
      </c>
      <c r="D115" s="228">
        <v>850</v>
      </c>
      <c r="E115" s="228">
        <v>26</v>
      </c>
      <c r="F115" s="231">
        <v>1115.8</v>
      </c>
      <c r="G115" s="231">
        <v>1114.9000000000001</v>
      </c>
      <c r="H115" s="228">
        <v>0.9</v>
      </c>
      <c r="I115" s="229">
        <v>8.0000000000000004E-4</v>
      </c>
      <c r="J115" s="231">
        <v>1110.4000000000001</v>
      </c>
      <c r="K115" s="231">
        <v>1108</v>
      </c>
      <c r="L115" s="228">
        <v>2.4</v>
      </c>
      <c r="M115" s="229">
        <v>2.2000000000000001E-3</v>
      </c>
      <c r="N115" s="231">
        <v>1115.8</v>
      </c>
      <c r="O115" s="231">
        <v>1114.9000000000001</v>
      </c>
      <c r="P115" s="228">
        <v>0.9</v>
      </c>
      <c r="Q115" s="229">
        <v>8.0000000000000004E-4</v>
      </c>
      <c r="R115" s="231">
        <v>1123</v>
      </c>
      <c r="S115" s="231">
        <v>1122.4000000000001</v>
      </c>
      <c r="T115" s="228">
        <v>0.6</v>
      </c>
      <c r="U115" s="229">
        <v>5.0000000000000001E-4</v>
      </c>
      <c r="V115" s="231">
        <v>1130</v>
      </c>
      <c r="W115" s="231">
        <v>1128.5999999999999</v>
      </c>
      <c r="X115" s="228">
        <v>1.4</v>
      </c>
      <c r="Y115" s="229">
        <v>1.1999999999999999E-3</v>
      </c>
      <c r="Z115" s="228">
        <v>5.4</v>
      </c>
      <c r="AA115" s="228">
        <v>6.9</v>
      </c>
      <c r="AB115" s="228">
        <v>-1.5</v>
      </c>
      <c r="AC115" s="229">
        <v>4.8999999999999998E-3</v>
      </c>
      <c r="AD115" s="228">
        <v>5.4</v>
      </c>
      <c r="AE115" s="228">
        <v>6.9</v>
      </c>
      <c r="AF115" s="228">
        <v>-1.5</v>
      </c>
      <c r="AG115" s="229">
        <v>4.8999999999999998E-3</v>
      </c>
      <c r="AH115" s="228">
        <v>12.6</v>
      </c>
      <c r="AI115" s="228">
        <v>14.4</v>
      </c>
      <c r="AJ115" s="228">
        <v>-1.8</v>
      </c>
      <c r="AK115" s="229">
        <v>1.1299999999999999E-2</v>
      </c>
      <c r="AL115" s="228">
        <v>19.600000000000001</v>
      </c>
      <c r="AM115" s="228">
        <v>20.6</v>
      </c>
      <c r="AN115" s="228">
        <v>-1</v>
      </c>
      <c r="AO115" s="229">
        <v>1.77E-2</v>
      </c>
      <c r="AP115" s="231">
        <v>1113.96</v>
      </c>
      <c r="AQ115" s="231">
        <v>1119.4100000000001</v>
      </c>
      <c r="AR115" s="228">
        <v>0</v>
      </c>
      <c r="AS115" s="228">
        <v>206</v>
      </c>
      <c r="AT115" s="228">
        <v>435</v>
      </c>
      <c r="AU115" s="228">
        <v>-229</v>
      </c>
      <c r="AV115" s="229">
        <v>-0.52659999999999996</v>
      </c>
      <c r="AW115" s="228">
        <v>184</v>
      </c>
      <c r="AX115" s="228">
        <v>404</v>
      </c>
      <c r="AY115" s="228">
        <v>-220</v>
      </c>
      <c r="AZ115" s="229">
        <v>-0.54530000000000001</v>
      </c>
      <c r="BA115" s="228">
        <v>20</v>
      </c>
      <c r="BB115" s="228">
        <v>28</v>
      </c>
      <c r="BC115" s="228">
        <v>-8</v>
      </c>
      <c r="BD115" s="229">
        <v>-0.28670000000000001</v>
      </c>
      <c r="BE115" s="228">
        <v>2</v>
      </c>
      <c r="BF115" s="228">
        <v>3</v>
      </c>
      <c r="BG115" s="228">
        <v>-1</v>
      </c>
      <c r="BH115" s="229">
        <v>-0.25</v>
      </c>
      <c r="BI115" s="228">
        <v>428</v>
      </c>
      <c r="BJ115" s="230">
        <v>1011</v>
      </c>
      <c r="BK115" s="228">
        <v>-583</v>
      </c>
      <c r="BL115" s="229">
        <v>-0.5766</v>
      </c>
      <c r="BM115" s="228">
        <v>265</v>
      </c>
      <c r="BN115" s="228">
        <v>621</v>
      </c>
      <c r="BO115" s="228">
        <v>-356</v>
      </c>
      <c r="BP115" s="229">
        <v>-0.5736</v>
      </c>
      <c r="BQ115" s="228">
        <v>899</v>
      </c>
      <c r="BR115" s="230">
        <v>2067</v>
      </c>
      <c r="BS115" s="230">
        <v>-1168</v>
      </c>
      <c r="BT115" s="229">
        <v>-0.56520000000000004</v>
      </c>
      <c r="BU115" s="230">
        <v>1156026</v>
      </c>
      <c r="BV115" s="230">
        <v>1618444</v>
      </c>
      <c r="BW115" s="230">
        <v>-462418</v>
      </c>
      <c r="BX115" s="229">
        <v>-0.28570000000000001</v>
      </c>
      <c r="BY115" s="230">
        <v>1826</v>
      </c>
      <c r="BZ115" s="230">
        <v>1803</v>
      </c>
      <c r="CA115" s="228">
        <v>23</v>
      </c>
      <c r="CB115" s="229">
        <v>1.2699999999999999E-2</v>
      </c>
      <c r="CC115" s="230">
        <v>1751</v>
      </c>
      <c r="CD115" s="230">
        <v>1737</v>
      </c>
      <c r="CE115" s="228">
        <v>13</v>
      </c>
      <c r="CF115" s="229">
        <v>7.6E-3</v>
      </c>
      <c r="CG115" s="228">
        <v>72</v>
      </c>
      <c r="CH115" s="228">
        <v>64</v>
      </c>
      <c r="CI115" s="228">
        <v>8</v>
      </c>
      <c r="CJ115" s="229">
        <v>0.13220000000000001</v>
      </c>
      <c r="CK115" s="228">
        <v>4</v>
      </c>
      <c r="CL115" s="228">
        <v>2</v>
      </c>
      <c r="CM115" s="228">
        <v>1</v>
      </c>
      <c r="CN115" s="229">
        <v>0.54169999999999996</v>
      </c>
      <c r="CO115" s="228">
        <v>504</v>
      </c>
      <c r="CP115" s="228">
        <v>469</v>
      </c>
      <c r="CQ115" s="228">
        <v>35</v>
      </c>
      <c r="CR115" s="229">
        <v>7.4899999999999994E-2</v>
      </c>
      <c r="CS115" s="228">
        <v>379</v>
      </c>
      <c r="CT115" s="228">
        <v>355</v>
      </c>
      <c r="CU115" s="228">
        <v>24</v>
      </c>
      <c r="CV115" s="229">
        <v>6.7100000000000007E-2</v>
      </c>
      <c r="CW115" s="230">
        <v>2709</v>
      </c>
      <c r="CX115" s="230">
        <v>2627</v>
      </c>
      <c r="CY115" s="228">
        <v>82</v>
      </c>
      <c r="CZ115" s="229">
        <v>3.1199999999999999E-2</v>
      </c>
      <c r="DA115" s="228">
        <v>27.45</v>
      </c>
      <c r="DB115" s="228">
        <v>27.79</v>
      </c>
      <c r="DC115" s="228">
        <v>-0.34</v>
      </c>
      <c r="DD115" s="228">
        <v>-0.34</v>
      </c>
      <c r="DE115" s="228">
        <v>37.799999999999997</v>
      </c>
      <c r="DF115" s="228">
        <v>37.89</v>
      </c>
      <c r="DG115" s="228">
        <v>-10.35</v>
      </c>
      <c r="DH115" s="228">
        <v>-0.09</v>
      </c>
      <c r="DI115" s="228">
        <v>27.11</v>
      </c>
      <c r="DJ115" s="228">
        <v>27.24</v>
      </c>
      <c r="DK115" s="228">
        <v>-0.13</v>
      </c>
      <c r="DL115" s="228">
        <v>-0.13</v>
      </c>
      <c r="DM115" s="228">
        <v>28</v>
      </c>
      <c r="DN115" s="228">
        <v>28.69</v>
      </c>
      <c r="DO115" s="228">
        <v>-0.69</v>
      </c>
      <c r="DP115" s="228">
        <v>-0.69</v>
      </c>
      <c r="DQ115" s="228">
        <v>0.75</v>
      </c>
      <c r="DR115" s="228">
        <v>0.76</v>
      </c>
      <c r="DS115" s="228">
        <v>-0.01</v>
      </c>
      <c r="DT115" s="229">
        <v>-1.32E-2</v>
      </c>
      <c r="DU115" s="231">
        <v>1100</v>
      </c>
      <c r="DV115" s="231">
        <v>1100</v>
      </c>
      <c r="DW115" s="228">
        <v>0.62</v>
      </c>
      <c r="DX115" s="228">
        <v>0.61</v>
      </c>
      <c r="DY115" s="228">
        <v>0.01</v>
      </c>
      <c r="DZ115" s="229">
        <v>1.6400000000000001E-2</v>
      </c>
      <c r="EA115" s="229">
        <v>4.1500000000000002E-2</v>
      </c>
      <c r="EB115" s="230">
        <v>592450</v>
      </c>
      <c r="EC115" s="229">
        <v>6.4999999999999997E-3</v>
      </c>
      <c r="ED115" s="229">
        <v>4.1500000000000002E-2</v>
      </c>
      <c r="EE115" s="228">
        <v>5.45</v>
      </c>
      <c r="EF115" s="229">
        <v>4.8999999999999998E-3</v>
      </c>
      <c r="EG115" s="230">
        <v>712992</v>
      </c>
      <c r="EH115" s="230">
        <v>794687</v>
      </c>
      <c r="EI115" s="229">
        <v>-0.1028</v>
      </c>
      <c r="EJ115" s="229">
        <v>0.61680000000000001</v>
      </c>
      <c r="EK115" s="228">
        <v>445.76</v>
      </c>
      <c r="EL115" s="228">
        <v>264.2</v>
      </c>
      <c r="EM115" s="228">
        <v>205.59</v>
      </c>
      <c r="EN115" s="228">
        <v>94.09</v>
      </c>
      <c r="EO115" s="228">
        <v>915.56</v>
      </c>
      <c r="EP115" s="231">
        <v>2087.73</v>
      </c>
      <c r="EQ115" s="231">
        <v>-1172.17</v>
      </c>
      <c r="ER115" s="229">
        <v>-0.5615</v>
      </c>
      <c r="ES115" s="228">
        <v>503.54</v>
      </c>
      <c r="ET115" s="228">
        <v>353.51</v>
      </c>
      <c r="EU115" s="231">
        <v>1826.9</v>
      </c>
      <c r="EV115" s="231">
        <v>58629477</v>
      </c>
      <c r="EW115" s="231">
        <v>2683.95</v>
      </c>
      <c r="EX115" s="231">
        <v>2599.7600000000002</v>
      </c>
      <c r="EY115" s="228">
        <v>84.19</v>
      </c>
      <c r="EZ115" s="229">
        <v>3.2399999999999998E-2</v>
      </c>
      <c r="FA115" s="229">
        <v>0.41410000000000002</v>
      </c>
      <c r="FB115" s="227" t="s">
        <v>555</v>
      </c>
      <c r="FC115">
        <f t="shared" si="1"/>
        <v>75</v>
      </c>
    </row>
    <row r="116" spans="1:159" ht="17.25" thickBot="1" x14ac:dyDescent="0.3">
      <c r="A116" s="226">
        <v>46023</v>
      </c>
      <c r="B116" s="227" t="s">
        <v>175</v>
      </c>
      <c r="C116" s="227" t="s">
        <v>248</v>
      </c>
      <c r="D116" s="228">
        <v>1000</v>
      </c>
      <c r="E116" s="228">
        <v>26</v>
      </c>
      <c r="F116" s="228">
        <v>538.15</v>
      </c>
      <c r="G116" s="228">
        <v>541.6</v>
      </c>
      <c r="H116" s="228">
        <v>-3.45</v>
      </c>
      <c r="I116" s="229">
        <v>-6.4000000000000003E-3</v>
      </c>
      <c r="J116" s="228">
        <v>535.85</v>
      </c>
      <c r="K116" s="228">
        <v>539.54999999999995</v>
      </c>
      <c r="L116" s="228">
        <v>-3.7</v>
      </c>
      <c r="M116" s="229">
        <v>-6.8999999999999999E-3</v>
      </c>
      <c r="N116" s="228">
        <v>538.15</v>
      </c>
      <c r="O116" s="228">
        <v>541.6</v>
      </c>
      <c r="P116" s="228">
        <v>-3.45</v>
      </c>
      <c r="Q116" s="229">
        <v>-6.4000000000000003E-3</v>
      </c>
      <c r="R116" s="228">
        <v>541.29999999999995</v>
      </c>
      <c r="S116" s="228">
        <v>545</v>
      </c>
      <c r="T116" s="228">
        <v>-3.7</v>
      </c>
      <c r="U116" s="229">
        <v>-6.7999999999999996E-3</v>
      </c>
      <c r="V116" s="228">
        <v>544.79999999999995</v>
      </c>
      <c r="W116" s="228">
        <v>548.1</v>
      </c>
      <c r="X116" s="228">
        <v>-3.3</v>
      </c>
      <c r="Y116" s="229">
        <v>-6.0000000000000001E-3</v>
      </c>
      <c r="Z116" s="228">
        <v>2.2999999999999998</v>
      </c>
      <c r="AA116" s="228">
        <v>2.0499999999999998</v>
      </c>
      <c r="AB116" s="228">
        <v>0.25</v>
      </c>
      <c r="AC116" s="229">
        <v>4.3E-3</v>
      </c>
      <c r="AD116" s="228">
        <v>2.2999999999999998</v>
      </c>
      <c r="AE116" s="228">
        <v>2.0499999999999998</v>
      </c>
      <c r="AF116" s="228">
        <v>0.25</v>
      </c>
      <c r="AG116" s="229">
        <v>4.3E-3</v>
      </c>
      <c r="AH116" s="228">
        <v>5.45</v>
      </c>
      <c r="AI116" s="228">
        <v>5.45</v>
      </c>
      <c r="AJ116" s="228">
        <v>0</v>
      </c>
      <c r="AK116" s="229">
        <v>1.0200000000000001E-2</v>
      </c>
      <c r="AL116" s="228">
        <v>8.9499999999999993</v>
      </c>
      <c r="AM116" s="228">
        <v>8.5500000000000007</v>
      </c>
      <c r="AN116" s="228">
        <v>0.4</v>
      </c>
      <c r="AO116" s="229">
        <v>1.67E-2</v>
      </c>
      <c r="AP116" s="228">
        <v>538.20000000000005</v>
      </c>
      <c r="AQ116" s="228">
        <v>541.78</v>
      </c>
      <c r="AR116" s="228">
        <v>0</v>
      </c>
      <c r="AS116" s="228">
        <v>113</v>
      </c>
      <c r="AT116" s="228">
        <v>182</v>
      </c>
      <c r="AU116" s="228">
        <v>-69</v>
      </c>
      <c r="AV116" s="229">
        <v>-0.38119999999999998</v>
      </c>
      <c r="AW116" s="228">
        <v>104</v>
      </c>
      <c r="AX116" s="228">
        <v>173</v>
      </c>
      <c r="AY116" s="228">
        <v>-69</v>
      </c>
      <c r="AZ116" s="229">
        <v>-0.39660000000000001</v>
      </c>
      <c r="BA116" s="228">
        <v>7</v>
      </c>
      <c r="BB116" s="228">
        <v>9</v>
      </c>
      <c r="BC116" s="228">
        <v>-1</v>
      </c>
      <c r="BD116" s="229">
        <v>-0.15720000000000001</v>
      </c>
      <c r="BE116" s="228">
        <v>1</v>
      </c>
      <c r="BF116" s="228">
        <v>0</v>
      </c>
      <c r="BG116" s="228">
        <v>1</v>
      </c>
      <c r="BH116" s="229">
        <v>1.375</v>
      </c>
      <c r="BI116" s="228">
        <v>131</v>
      </c>
      <c r="BJ116" s="228">
        <v>284</v>
      </c>
      <c r="BK116" s="228">
        <v>-153</v>
      </c>
      <c r="BL116" s="229">
        <v>-0.53759999999999997</v>
      </c>
      <c r="BM116" s="228">
        <v>67</v>
      </c>
      <c r="BN116" s="228">
        <v>207</v>
      </c>
      <c r="BO116" s="228">
        <v>-140</v>
      </c>
      <c r="BP116" s="229">
        <v>-0.67459999999999998</v>
      </c>
      <c r="BQ116" s="228">
        <v>311</v>
      </c>
      <c r="BR116" s="228">
        <v>673</v>
      </c>
      <c r="BS116" s="228">
        <v>-362</v>
      </c>
      <c r="BT116" s="229">
        <v>-0.53749999999999998</v>
      </c>
      <c r="BU116" s="230">
        <v>738691</v>
      </c>
      <c r="BV116" s="230">
        <v>1171379</v>
      </c>
      <c r="BW116" s="230">
        <v>-432688</v>
      </c>
      <c r="BX116" s="229">
        <v>-0.36940000000000001</v>
      </c>
      <c r="BY116" s="230">
        <v>1796</v>
      </c>
      <c r="BZ116" s="230">
        <v>1783</v>
      </c>
      <c r="CA116" s="228">
        <v>13</v>
      </c>
      <c r="CB116" s="229">
        <v>7.4999999999999997E-3</v>
      </c>
      <c r="CC116" s="230">
        <v>1755</v>
      </c>
      <c r="CD116" s="230">
        <v>1747</v>
      </c>
      <c r="CE116" s="228">
        <v>9</v>
      </c>
      <c r="CF116" s="229">
        <v>4.8999999999999998E-3</v>
      </c>
      <c r="CG116" s="228">
        <v>40</v>
      </c>
      <c r="CH116" s="228">
        <v>36</v>
      </c>
      <c r="CI116" s="228">
        <v>4</v>
      </c>
      <c r="CJ116" s="229">
        <v>0.1123</v>
      </c>
      <c r="CK116" s="228">
        <v>1</v>
      </c>
      <c r="CL116" s="228">
        <v>0</v>
      </c>
      <c r="CM116" s="228">
        <v>1</v>
      </c>
      <c r="CN116" s="229">
        <v>2.8</v>
      </c>
      <c r="CO116" s="228">
        <v>331</v>
      </c>
      <c r="CP116" s="228">
        <v>313</v>
      </c>
      <c r="CQ116" s="228">
        <v>18</v>
      </c>
      <c r="CR116" s="229">
        <v>5.8099999999999999E-2</v>
      </c>
      <c r="CS116" s="228">
        <v>375</v>
      </c>
      <c r="CT116" s="228">
        <v>366</v>
      </c>
      <c r="CU116" s="228">
        <v>10</v>
      </c>
      <c r="CV116" s="229">
        <v>2.6599999999999999E-2</v>
      </c>
      <c r="CW116" s="230">
        <v>2502</v>
      </c>
      <c r="CX116" s="230">
        <v>2461</v>
      </c>
      <c r="CY116" s="228">
        <v>41</v>
      </c>
      <c r="CZ116" s="229">
        <v>1.6799999999999999E-2</v>
      </c>
      <c r="DA116" s="228">
        <v>19.760000000000002</v>
      </c>
      <c r="DB116" s="228">
        <v>19.940000000000001</v>
      </c>
      <c r="DC116" s="228">
        <v>-0.18</v>
      </c>
      <c r="DD116" s="228">
        <v>-0.18</v>
      </c>
      <c r="DE116" s="228">
        <v>31.99</v>
      </c>
      <c r="DF116" s="228">
        <v>32.06</v>
      </c>
      <c r="DG116" s="228">
        <v>-12.23</v>
      </c>
      <c r="DH116" s="228">
        <v>-7.0000000000000007E-2</v>
      </c>
      <c r="DI116" s="228">
        <v>19.36</v>
      </c>
      <c r="DJ116" s="228">
        <v>18.920000000000002</v>
      </c>
      <c r="DK116" s="228">
        <v>0.44</v>
      </c>
      <c r="DL116" s="228">
        <v>0.44</v>
      </c>
      <c r="DM116" s="228">
        <v>20.54</v>
      </c>
      <c r="DN116" s="228">
        <v>21.34</v>
      </c>
      <c r="DO116" s="228">
        <v>-0.8</v>
      </c>
      <c r="DP116" s="228">
        <v>-0.8</v>
      </c>
      <c r="DQ116" s="228">
        <v>1.1299999999999999</v>
      </c>
      <c r="DR116" s="228">
        <v>1.17</v>
      </c>
      <c r="DS116" s="228">
        <v>-0.04</v>
      </c>
      <c r="DT116" s="229">
        <v>-3.4200000000000001E-2</v>
      </c>
      <c r="DU116" s="228">
        <v>540</v>
      </c>
      <c r="DV116" s="228">
        <v>540</v>
      </c>
      <c r="DW116" s="228">
        <v>0.51</v>
      </c>
      <c r="DX116" s="228">
        <v>0.73</v>
      </c>
      <c r="DY116" s="228">
        <v>-0.22</v>
      </c>
      <c r="DZ116" s="229">
        <v>-0.3014</v>
      </c>
      <c r="EA116" s="229">
        <v>2.2800000000000001E-2</v>
      </c>
      <c r="EB116" s="230">
        <v>673000</v>
      </c>
      <c r="EC116" s="229">
        <v>5.8999999999999999E-3</v>
      </c>
      <c r="ED116" s="229">
        <v>2.2800000000000001E-2</v>
      </c>
      <c r="EE116" s="228">
        <v>3.58</v>
      </c>
      <c r="EF116" s="229">
        <v>6.7000000000000002E-3</v>
      </c>
      <c r="EG116" s="230">
        <v>460663</v>
      </c>
      <c r="EH116" s="230">
        <v>681011</v>
      </c>
      <c r="EI116" s="229">
        <v>-0.3236</v>
      </c>
      <c r="EJ116" s="229">
        <v>0.62360000000000004</v>
      </c>
      <c r="EK116" s="228">
        <v>135.57</v>
      </c>
      <c r="EL116" s="228">
        <v>66.069999999999993</v>
      </c>
      <c r="EM116" s="228">
        <v>112.6</v>
      </c>
      <c r="EN116" s="228">
        <v>153.82</v>
      </c>
      <c r="EO116" s="228">
        <v>314.24</v>
      </c>
      <c r="EP116" s="228">
        <v>682.29</v>
      </c>
      <c r="EQ116" s="228">
        <v>-368.05</v>
      </c>
      <c r="ER116" s="229">
        <v>-0.53939999999999999</v>
      </c>
      <c r="ES116" s="228">
        <v>343.63</v>
      </c>
      <c r="ET116" s="228">
        <v>376.63</v>
      </c>
      <c r="EU116" s="231">
        <v>1796.32</v>
      </c>
      <c r="EV116" s="231">
        <v>45183075</v>
      </c>
      <c r="EW116" s="231">
        <v>2516.58</v>
      </c>
      <c r="EX116" s="231">
        <v>2487</v>
      </c>
      <c r="EY116" s="228">
        <v>29.58</v>
      </c>
      <c r="EZ116" s="229">
        <v>1.1900000000000001E-2</v>
      </c>
      <c r="FA116" s="229">
        <v>1.0290999999999999</v>
      </c>
      <c r="FB116" s="227" t="s">
        <v>567</v>
      </c>
      <c r="FC116">
        <f t="shared" si="1"/>
        <v>41</v>
      </c>
    </row>
    <row r="117" spans="1:159" ht="17.25" thickBot="1" x14ac:dyDescent="0.3">
      <c r="A117" s="226">
        <v>46023</v>
      </c>
      <c r="B117" s="227" t="s">
        <v>175</v>
      </c>
      <c r="C117" s="227" t="s">
        <v>607</v>
      </c>
      <c r="D117" s="228">
        <v>700</v>
      </c>
      <c r="E117" s="228">
        <v>26</v>
      </c>
      <c r="F117" s="228">
        <v>858.45</v>
      </c>
      <c r="G117" s="228">
        <v>858.9</v>
      </c>
      <c r="H117" s="228">
        <v>-0.45</v>
      </c>
      <c r="I117" s="229">
        <v>-5.0000000000000001E-4</v>
      </c>
      <c r="J117" s="228">
        <v>852.8</v>
      </c>
      <c r="K117" s="228">
        <v>854.9</v>
      </c>
      <c r="L117" s="228">
        <v>-2.1</v>
      </c>
      <c r="M117" s="229">
        <v>-2.5000000000000001E-3</v>
      </c>
      <c r="N117" s="228">
        <v>858.45</v>
      </c>
      <c r="O117" s="228">
        <v>858.9</v>
      </c>
      <c r="P117" s="228">
        <v>-0.45</v>
      </c>
      <c r="Q117" s="229">
        <v>-5.0000000000000001E-4</v>
      </c>
      <c r="R117" s="228">
        <v>862.25</v>
      </c>
      <c r="S117" s="228">
        <v>863.25</v>
      </c>
      <c r="T117" s="228">
        <v>-1</v>
      </c>
      <c r="U117" s="229">
        <v>-1.1999999999999999E-3</v>
      </c>
      <c r="V117" s="228">
        <v>865.4</v>
      </c>
      <c r="W117" s="228">
        <v>0</v>
      </c>
      <c r="X117" s="228">
        <v>865.4</v>
      </c>
      <c r="Y117" s="229">
        <v>0</v>
      </c>
      <c r="Z117" s="228">
        <v>5.65</v>
      </c>
      <c r="AA117" s="228">
        <v>4</v>
      </c>
      <c r="AB117" s="228">
        <v>1.65</v>
      </c>
      <c r="AC117" s="229">
        <v>6.6E-3</v>
      </c>
      <c r="AD117" s="228">
        <v>5.65</v>
      </c>
      <c r="AE117" s="228">
        <v>4</v>
      </c>
      <c r="AF117" s="228">
        <v>1.65</v>
      </c>
      <c r="AG117" s="229">
        <v>6.6E-3</v>
      </c>
      <c r="AH117" s="228">
        <v>9.4499999999999993</v>
      </c>
      <c r="AI117" s="228">
        <v>8.35</v>
      </c>
      <c r="AJ117" s="228">
        <v>1.1000000000000001</v>
      </c>
      <c r="AK117" s="229">
        <v>1.11E-2</v>
      </c>
      <c r="AL117" s="228">
        <v>12.6</v>
      </c>
      <c r="AM117" s="228">
        <v>0</v>
      </c>
      <c r="AN117" s="228">
        <v>12.6</v>
      </c>
      <c r="AO117" s="229">
        <v>1.4800000000000001E-2</v>
      </c>
      <c r="AP117" s="228">
        <v>859.04</v>
      </c>
      <c r="AQ117" s="228">
        <v>862.86</v>
      </c>
      <c r="AR117" s="228">
        <v>0</v>
      </c>
      <c r="AS117" s="228">
        <v>37</v>
      </c>
      <c r="AT117" s="228">
        <v>95</v>
      </c>
      <c r="AU117" s="228">
        <v>-57</v>
      </c>
      <c r="AV117" s="229">
        <v>-0.60619999999999996</v>
      </c>
      <c r="AW117" s="228">
        <v>33</v>
      </c>
      <c r="AX117" s="228">
        <v>76</v>
      </c>
      <c r="AY117" s="228">
        <v>-43</v>
      </c>
      <c r="AZ117" s="229">
        <v>-0.56220000000000003</v>
      </c>
      <c r="BA117" s="228">
        <v>4</v>
      </c>
      <c r="BB117" s="228">
        <v>18</v>
      </c>
      <c r="BC117" s="228">
        <v>-15</v>
      </c>
      <c r="BD117" s="229">
        <v>-0.79149999999999998</v>
      </c>
      <c r="BE117" s="228">
        <v>0</v>
      </c>
      <c r="BF117" s="228">
        <v>0</v>
      </c>
      <c r="BG117" s="228">
        <v>0</v>
      </c>
      <c r="BH117" s="229">
        <v>0</v>
      </c>
      <c r="BI117" s="228">
        <v>102</v>
      </c>
      <c r="BJ117" s="228">
        <v>264</v>
      </c>
      <c r="BK117" s="228">
        <v>-162</v>
      </c>
      <c r="BL117" s="229">
        <v>-0.61329999999999996</v>
      </c>
      <c r="BM117" s="228">
        <v>44</v>
      </c>
      <c r="BN117" s="228">
        <v>162</v>
      </c>
      <c r="BO117" s="228">
        <v>-118</v>
      </c>
      <c r="BP117" s="229">
        <v>-0.72889999999999999</v>
      </c>
      <c r="BQ117" s="228">
        <v>183</v>
      </c>
      <c r="BR117" s="228">
        <v>520</v>
      </c>
      <c r="BS117" s="228">
        <v>-337</v>
      </c>
      <c r="BT117" s="229">
        <v>-0.64800000000000002</v>
      </c>
      <c r="BU117" s="230">
        <v>255006</v>
      </c>
      <c r="BV117" s="230">
        <v>471027</v>
      </c>
      <c r="BW117" s="230">
        <v>-216021</v>
      </c>
      <c r="BX117" s="229">
        <v>-0.45860000000000001</v>
      </c>
      <c r="BY117" s="228">
        <v>908</v>
      </c>
      <c r="BZ117" s="228">
        <v>903</v>
      </c>
      <c r="CA117" s="228">
        <v>5</v>
      </c>
      <c r="CB117" s="229">
        <v>5.1000000000000004E-3</v>
      </c>
      <c r="CC117" s="228">
        <v>846</v>
      </c>
      <c r="CD117" s="228">
        <v>843</v>
      </c>
      <c r="CE117" s="228">
        <v>3</v>
      </c>
      <c r="CF117" s="229">
        <v>3.5999999999999999E-3</v>
      </c>
      <c r="CG117" s="228">
        <v>62</v>
      </c>
      <c r="CH117" s="228">
        <v>60</v>
      </c>
      <c r="CI117" s="228">
        <v>2</v>
      </c>
      <c r="CJ117" s="229">
        <v>2.4899999999999999E-2</v>
      </c>
      <c r="CK117" s="228">
        <v>0</v>
      </c>
      <c r="CL117" s="228">
        <v>0</v>
      </c>
      <c r="CM117" s="228">
        <v>0</v>
      </c>
      <c r="CN117" s="229">
        <v>0</v>
      </c>
      <c r="CO117" s="228">
        <v>314</v>
      </c>
      <c r="CP117" s="228">
        <v>302</v>
      </c>
      <c r="CQ117" s="228">
        <v>12</v>
      </c>
      <c r="CR117" s="229">
        <v>3.8600000000000002E-2</v>
      </c>
      <c r="CS117" s="228">
        <v>231</v>
      </c>
      <c r="CT117" s="228">
        <v>227</v>
      </c>
      <c r="CU117" s="228">
        <v>4</v>
      </c>
      <c r="CV117" s="229">
        <v>1.72E-2</v>
      </c>
      <c r="CW117" s="230">
        <v>1453</v>
      </c>
      <c r="CX117" s="230">
        <v>1433</v>
      </c>
      <c r="CY117" s="228">
        <v>20</v>
      </c>
      <c r="CZ117" s="229">
        <v>1.41E-2</v>
      </c>
      <c r="DA117" s="228">
        <v>17.3</v>
      </c>
      <c r="DB117" s="228">
        <v>17.98</v>
      </c>
      <c r="DC117" s="228">
        <v>-0.68</v>
      </c>
      <c r="DD117" s="228">
        <v>-0.68</v>
      </c>
      <c r="DE117" s="228">
        <v>29.86</v>
      </c>
      <c r="DF117" s="228">
        <v>29.94</v>
      </c>
      <c r="DG117" s="228">
        <v>-12.56</v>
      </c>
      <c r="DH117" s="228">
        <v>-0.08</v>
      </c>
      <c r="DI117" s="228">
        <v>17.510000000000002</v>
      </c>
      <c r="DJ117" s="228">
        <v>18.09</v>
      </c>
      <c r="DK117" s="228">
        <v>-0.57999999999999996</v>
      </c>
      <c r="DL117" s="228">
        <v>-0.57999999999999996</v>
      </c>
      <c r="DM117" s="228">
        <v>16.809999999999999</v>
      </c>
      <c r="DN117" s="228">
        <v>17.809999999999999</v>
      </c>
      <c r="DO117" s="228">
        <v>-1</v>
      </c>
      <c r="DP117" s="228">
        <v>-1</v>
      </c>
      <c r="DQ117" s="228">
        <v>0.74</v>
      </c>
      <c r="DR117" s="228">
        <v>0.75</v>
      </c>
      <c r="DS117" s="228">
        <v>-0.01</v>
      </c>
      <c r="DT117" s="229">
        <v>-1.3299999999999999E-2</v>
      </c>
      <c r="DU117" s="228">
        <v>900</v>
      </c>
      <c r="DV117" s="228">
        <v>850</v>
      </c>
      <c r="DW117" s="228">
        <v>0.43</v>
      </c>
      <c r="DX117" s="228">
        <v>0.61</v>
      </c>
      <c r="DY117" s="228">
        <v>-0.18</v>
      </c>
      <c r="DZ117" s="229">
        <v>-0.29509999999999997</v>
      </c>
      <c r="EA117" s="229">
        <v>6.83E-2</v>
      </c>
      <c r="EB117" s="230">
        <v>703500</v>
      </c>
      <c r="EC117" s="229">
        <v>4.4000000000000003E-3</v>
      </c>
      <c r="ED117" s="229">
        <v>6.83E-2</v>
      </c>
      <c r="EE117" s="228">
        <v>3.82</v>
      </c>
      <c r="EF117" s="229">
        <v>4.4000000000000003E-3</v>
      </c>
      <c r="EG117" s="230">
        <v>140282</v>
      </c>
      <c r="EH117" s="230">
        <v>266028</v>
      </c>
      <c r="EI117" s="229">
        <v>-0.47270000000000001</v>
      </c>
      <c r="EJ117" s="229">
        <v>0.55010000000000003</v>
      </c>
      <c r="EK117" s="228">
        <v>106.21</v>
      </c>
      <c r="EL117" s="228">
        <v>43.16</v>
      </c>
      <c r="EM117" s="228">
        <v>37.36</v>
      </c>
      <c r="EN117" s="228">
        <v>85.36</v>
      </c>
      <c r="EO117" s="228">
        <v>186.73</v>
      </c>
      <c r="EP117" s="228">
        <v>525.38</v>
      </c>
      <c r="EQ117" s="228">
        <v>-338.65</v>
      </c>
      <c r="ER117" s="229">
        <v>-0.64459999999999995</v>
      </c>
      <c r="ES117" s="228">
        <v>325.07</v>
      </c>
      <c r="ET117" s="228">
        <v>226.94</v>
      </c>
      <c r="EU117" s="228">
        <v>907.78</v>
      </c>
      <c r="EV117" s="231">
        <v>33206238</v>
      </c>
      <c r="EW117" s="231">
        <v>1459.79</v>
      </c>
      <c r="EX117" s="231">
        <v>1439.79</v>
      </c>
      <c r="EY117" s="228">
        <v>20</v>
      </c>
      <c r="EZ117" s="229">
        <v>1.3899999999999999E-2</v>
      </c>
      <c r="FA117" s="229">
        <v>0.50960000000000005</v>
      </c>
      <c r="FB117" s="227" t="s">
        <v>567</v>
      </c>
      <c r="FC117">
        <f t="shared" si="1"/>
        <v>62</v>
      </c>
    </row>
    <row r="118" spans="1:159" ht="17.25" thickBot="1" x14ac:dyDescent="0.3">
      <c r="A118" s="226">
        <v>46023</v>
      </c>
      <c r="B118" s="227" t="s">
        <v>206</v>
      </c>
      <c r="C118" s="227" t="s">
        <v>588</v>
      </c>
      <c r="D118" s="228">
        <v>450</v>
      </c>
      <c r="E118" s="228">
        <v>26</v>
      </c>
      <c r="F118" s="231">
        <v>1078.4000000000001</v>
      </c>
      <c r="G118" s="231">
        <v>1068</v>
      </c>
      <c r="H118" s="228">
        <v>10.4</v>
      </c>
      <c r="I118" s="229">
        <v>9.7000000000000003E-3</v>
      </c>
      <c r="J118" s="231">
        <v>1072.8</v>
      </c>
      <c r="K118" s="231">
        <v>1061.3</v>
      </c>
      <c r="L118" s="228">
        <v>11.5</v>
      </c>
      <c r="M118" s="229">
        <v>1.0800000000000001E-2</v>
      </c>
      <c r="N118" s="231">
        <v>1078.4000000000001</v>
      </c>
      <c r="O118" s="231">
        <v>1068</v>
      </c>
      <c r="P118" s="228">
        <v>10.4</v>
      </c>
      <c r="Q118" s="229">
        <v>9.7000000000000003E-3</v>
      </c>
      <c r="R118" s="231">
        <v>1085.4000000000001</v>
      </c>
      <c r="S118" s="231">
        <v>1075.2</v>
      </c>
      <c r="T118" s="228">
        <v>10.199999999999999</v>
      </c>
      <c r="U118" s="229">
        <v>9.4999999999999998E-3</v>
      </c>
      <c r="V118" s="231">
        <v>1091.5</v>
      </c>
      <c r="W118" s="231">
        <v>1087.3</v>
      </c>
      <c r="X118" s="228">
        <v>4.2</v>
      </c>
      <c r="Y118" s="229">
        <v>3.8999999999999998E-3</v>
      </c>
      <c r="Z118" s="228">
        <v>5.6</v>
      </c>
      <c r="AA118" s="228">
        <v>6.7</v>
      </c>
      <c r="AB118" s="228">
        <v>-1.1000000000000001</v>
      </c>
      <c r="AC118" s="229">
        <v>5.1999999999999998E-3</v>
      </c>
      <c r="AD118" s="228">
        <v>5.6</v>
      </c>
      <c r="AE118" s="228">
        <v>6.7</v>
      </c>
      <c r="AF118" s="228">
        <v>-1.1000000000000001</v>
      </c>
      <c r="AG118" s="229">
        <v>5.1999999999999998E-3</v>
      </c>
      <c r="AH118" s="228">
        <v>12.6</v>
      </c>
      <c r="AI118" s="228">
        <v>13.9</v>
      </c>
      <c r="AJ118" s="228">
        <v>-1.3</v>
      </c>
      <c r="AK118" s="229">
        <v>1.17E-2</v>
      </c>
      <c r="AL118" s="228">
        <v>18.7</v>
      </c>
      <c r="AM118" s="228">
        <v>26</v>
      </c>
      <c r="AN118" s="228">
        <v>-7.3</v>
      </c>
      <c r="AO118" s="229">
        <v>1.7399999999999999E-2</v>
      </c>
      <c r="AP118" s="231">
        <v>1075.46</v>
      </c>
      <c r="AQ118" s="231">
        <v>1082.5</v>
      </c>
      <c r="AR118" s="228">
        <v>0</v>
      </c>
      <c r="AS118" s="228">
        <v>58</v>
      </c>
      <c r="AT118" s="228">
        <v>79</v>
      </c>
      <c r="AU118" s="228">
        <v>-21</v>
      </c>
      <c r="AV118" s="229">
        <v>-0.26569999999999999</v>
      </c>
      <c r="AW118" s="228">
        <v>54</v>
      </c>
      <c r="AX118" s="228">
        <v>76</v>
      </c>
      <c r="AY118" s="228">
        <v>-21</v>
      </c>
      <c r="AZ118" s="229">
        <v>-0.28139999999999998</v>
      </c>
      <c r="BA118" s="228">
        <v>3</v>
      </c>
      <c r="BB118" s="228">
        <v>4</v>
      </c>
      <c r="BC118" s="228">
        <v>0</v>
      </c>
      <c r="BD118" s="229">
        <v>-5.33E-2</v>
      </c>
      <c r="BE118" s="228">
        <v>0</v>
      </c>
      <c r="BF118" s="228">
        <v>0</v>
      </c>
      <c r="BG118" s="228">
        <v>0</v>
      </c>
      <c r="BH118" s="229">
        <v>4</v>
      </c>
      <c r="BI118" s="228">
        <v>110</v>
      </c>
      <c r="BJ118" s="228">
        <v>105</v>
      </c>
      <c r="BK118" s="228">
        <v>5</v>
      </c>
      <c r="BL118" s="229">
        <v>4.6899999999999997E-2</v>
      </c>
      <c r="BM118" s="228">
        <v>44</v>
      </c>
      <c r="BN118" s="228">
        <v>48</v>
      </c>
      <c r="BO118" s="228">
        <v>-4</v>
      </c>
      <c r="BP118" s="229">
        <v>-7.5800000000000006E-2</v>
      </c>
      <c r="BQ118" s="228">
        <v>213</v>
      </c>
      <c r="BR118" s="228">
        <v>233</v>
      </c>
      <c r="BS118" s="228">
        <v>-20</v>
      </c>
      <c r="BT118" s="229">
        <v>-8.5000000000000006E-2</v>
      </c>
      <c r="BU118" s="230">
        <v>416394</v>
      </c>
      <c r="BV118" s="230">
        <v>532061</v>
      </c>
      <c r="BW118" s="230">
        <v>-115667</v>
      </c>
      <c r="BX118" s="229">
        <v>-0.21740000000000001</v>
      </c>
      <c r="BY118" s="230">
        <v>1372</v>
      </c>
      <c r="BZ118" s="230">
        <v>1372</v>
      </c>
      <c r="CA118" s="228">
        <v>0</v>
      </c>
      <c r="CB118" s="229">
        <v>0</v>
      </c>
      <c r="CC118" s="230">
        <v>1350</v>
      </c>
      <c r="CD118" s="230">
        <v>1351</v>
      </c>
      <c r="CE118" s="228">
        <v>-1</v>
      </c>
      <c r="CF118" s="229">
        <v>-8.0000000000000004E-4</v>
      </c>
      <c r="CG118" s="228">
        <v>21</v>
      </c>
      <c r="CH118" s="228">
        <v>21</v>
      </c>
      <c r="CI118" s="228">
        <v>1</v>
      </c>
      <c r="CJ118" s="229">
        <v>3.2899999999999999E-2</v>
      </c>
      <c r="CK118" s="228">
        <v>1</v>
      </c>
      <c r="CL118" s="228">
        <v>0</v>
      </c>
      <c r="CM118" s="228">
        <v>0</v>
      </c>
      <c r="CN118" s="229">
        <v>4.5</v>
      </c>
      <c r="CO118" s="228">
        <v>129</v>
      </c>
      <c r="CP118" s="228">
        <v>118</v>
      </c>
      <c r="CQ118" s="228">
        <v>12</v>
      </c>
      <c r="CR118" s="229">
        <v>9.8900000000000002E-2</v>
      </c>
      <c r="CS118" s="228">
        <v>132</v>
      </c>
      <c r="CT118" s="228">
        <v>126</v>
      </c>
      <c r="CU118" s="228">
        <v>7</v>
      </c>
      <c r="CV118" s="229">
        <v>5.33E-2</v>
      </c>
      <c r="CW118" s="230">
        <v>1634</v>
      </c>
      <c r="CX118" s="230">
        <v>1615</v>
      </c>
      <c r="CY118" s="228">
        <v>18</v>
      </c>
      <c r="CZ118" s="229">
        <v>1.14E-2</v>
      </c>
      <c r="DA118" s="228">
        <v>27.39</v>
      </c>
      <c r="DB118" s="228">
        <v>27.64</v>
      </c>
      <c r="DC118" s="228">
        <v>-0.25</v>
      </c>
      <c r="DD118" s="228">
        <v>-0.25</v>
      </c>
      <c r="DE118" s="228">
        <v>43.1</v>
      </c>
      <c r="DF118" s="228">
        <v>43.18</v>
      </c>
      <c r="DG118" s="228">
        <v>-15.71</v>
      </c>
      <c r="DH118" s="228">
        <v>-0.08</v>
      </c>
      <c r="DI118" s="228">
        <v>27.41</v>
      </c>
      <c r="DJ118" s="228">
        <v>27.75</v>
      </c>
      <c r="DK118" s="228">
        <v>-0.34</v>
      </c>
      <c r="DL118" s="228">
        <v>-0.34</v>
      </c>
      <c r="DM118" s="228">
        <v>27.35</v>
      </c>
      <c r="DN118" s="228">
        <v>27.41</v>
      </c>
      <c r="DO118" s="228">
        <v>-0.06</v>
      </c>
      <c r="DP118" s="228">
        <v>-0.06</v>
      </c>
      <c r="DQ118" s="228">
        <v>1.02</v>
      </c>
      <c r="DR118" s="228">
        <v>1.07</v>
      </c>
      <c r="DS118" s="228">
        <v>-0.05</v>
      </c>
      <c r="DT118" s="229">
        <v>-4.6699999999999998E-2</v>
      </c>
      <c r="DU118" s="231">
        <v>1100</v>
      </c>
      <c r="DV118" s="231">
        <v>1000</v>
      </c>
      <c r="DW118" s="228">
        <v>0.4</v>
      </c>
      <c r="DX118" s="228">
        <v>0.46</v>
      </c>
      <c r="DY118" s="228">
        <v>-0.06</v>
      </c>
      <c r="DZ118" s="229">
        <v>-0.13039999999999999</v>
      </c>
      <c r="EA118" s="229">
        <v>1.6E-2</v>
      </c>
      <c r="EB118" s="230">
        <v>192600</v>
      </c>
      <c r="EC118" s="229">
        <v>6.4999999999999997E-3</v>
      </c>
      <c r="ED118" s="229">
        <v>1.6E-2</v>
      </c>
      <c r="EE118" s="228">
        <v>7.04</v>
      </c>
      <c r="EF118" s="229">
        <v>6.4999999999999997E-3</v>
      </c>
      <c r="EG118" s="230">
        <v>140354</v>
      </c>
      <c r="EH118" s="230">
        <v>317184</v>
      </c>
      <c r="EI118" s="229">
        <v>-0.5575</v>
      </c>
      <c r="EJ118" s="229">
        <v>0.33710000000000001</v>
      </c>
      <c r="EK118" s="228">
        <v>114.64</v>
      </c>
      <c r="EL118" s="228">
        <v>44.12</v>
      </c>
      <c r="EM118" s="228">
        <v>58.2</v>
      </c>
      <c r="EN118" s="228">
        <v>104.97</v>
      </c>
      <c r="EO118" s="228">
        <v>216.97</v>
      </c>
      <c r="EP118" s="228">
        <v>236.27</v>
      </c>
      <c r="EQ118" s="228">
        <v>-19.309999999999999</v>
      </c>
      <c r="ER118" s="229">
        <v>-8.1699999999999995E-2</v>
      </c>
      <c r="ES118" s="228">
        <v>134.09</v>
      </c>
      <c r="ET118" s="228">
        <v>129.24</v>
      </c>
      <c r="EU118" s="231">
        <v>1372.23</v>
      </c>
      <c r="EV118" s="231">
        <v>42126960</v>
      </c>
      <c r="EW118" s="231">
        <v>1635.55</v>
      </c>
      <c r="EX118" s="231">
        <v>1603.91</v>
      </c>
      <c r="EY118" s="228">
        <v>31.64</v>
      </c>
      <c r="EZ118" s="229">
        <v>1.9699999999999999E-2</v>
      </c>
      <c r="FA118" s="229">
        <v>0.35959999999999998</v>
      </c>
      <c r="FB118" s="227" t="s">
        <v>237</v>
      </c>
      <c r="FC118">
        <f t="shared" si="1"/>
        <v>22</v>
      </c>
    </row>
    <row r="119" spans="1:159" ht="17.25" thickBot="1" x14ac:dyDescent="0.3">
      <c r="A119" s="226">
        <v>46023</v>
      </c>
      <c r="B119" s="227" t="s">
        <v>184</v>
      </c>
      <c r="C119" s="227" t="s">
        <v>249</v>
      </c>
      <c r="D119" s="228">
        <v>175</v>
      </c>
      <c r="E119" s="228">
        <v>26</v>
      </c>
      <c r="F119" s="231">
        <v>4156.8</v>
      </c>
      <c r="G119" s="231">
        <v>4107.5</v>
      </c>
      <c r="H119" s="228">
        <v>49.3</v>
      </c>
      <c r="I119" s="229">
        <v>1.2E-2</v>
      </c>
      <c r="J119" s="231">
        <v>4140.3999999999996</v>
      </c>
      <c r="K119" s="231">
        <v>4083.5</v>
      </c>
      <c r="L119" s="228">
        <v>56.9</v>
      </c>
      <c r="M119" s="229">
        <v>1.3899999999999999E-2</v>
      </c>
      <c r="N119" s="231">
        <v>4156.8</v>
      </c>
      <c r="O119" s="231">
        <v>4107.5</v>
      </c>
      <c r="P119" s="228">
        <v>49.3</v>
      </c>
      <c r="Q119" s="229">
        <v>1.2E-2</v>
      </c>
      <c r="R119" s="231">
        <v>4178.2</v>
      </c>
      <c r="S119" s="231">
        <v>4130.6000000000004</v>
      </c>
      <c r="T119" s="228">
        <v>47.6</v>
      </c>
      <c r="U119" s="229">
        <v>1.15E-2</v>
      </c>
      <c r="V119" s="231">
        <v>4205.8999999999996</v>
      </c>
      <c r="W119" s="231">
        <v>4144</v>
      </c>
      <c r="X119" s="228">
        <v>61.9</v>
      </c>
      <c r="Y119" s="229">
        <v>1.49E-2</v>
      </c>
      <c r="Z119" s="228">
        <v>16.399999999999999</v>
      </c>
      <c r="AA119" s="228">
        <v>24</v>
      </c>
      <c r="AB119" s="228">
        <v>-7.6</v>
      </c>
      <c r="AC119" s="229">
        <v>4.0000000000000001E-3</v>
      </c>
      <c r="AD119" s="228">
        <v>16.399999999999999</v>
      </c>
      <c r="AE119" s="228">
        <v>24</v>
      </c>
      <c r="AF119" s="228">
        <v>-7.6</v>
      </c>
      <c r="AG119" s="229">
        <v>4.0000000000000001E-3</v>
      </c>
      <c r="AH119" s="228">
        <v>37.799999999999997</v>
      </c>
      <c r="AI119" s="228">
        <v>47.1</v>
      </c>
      <c r="AJ119" s="228">
        <v>-9.3000000000000007</v>
      </c>
      <c r="AK119" s="229">
        <v>9.1000000000000004E-3</v>
      </c>
      <c r="AL119" s="228">
        <v>65.5</v>
      </c>
      <c r="AM119" s="228">
        <v>60.5</v>
      </c>
      <c r="AN119" s="228">
        <v>5</v>
      </c>
      <c r="AO119" s="229">
        <v>1.5800000000000002E-2</v>
      </c>
      <c r="AP119" s="231">
        <v>4145.87</v>
      </c>
      <c r="AQ119" s="231">
        <v>4166.26</v>
      </c>
      <c r="AR119" s="228">
        <v>0</v>
      </c>
      <c r="AS119" s="228">
        <v>566</v>
      </c>
      <c r="AT119" s="228">
        <v>513</v>
      </c>
      <c r="AU119" s="228">
        <v>52</v>
      </c>
      <c r="AV119" s="229">
        <v>0.10199999999999999</v>
      </c>
      <c r="AW119" s="228">
        <v>537</v>
      </c>
      <c r="AX119" s="228">
        <v>499</v>
      </c>
      <c r="AY119" s="228">
        <v>37</v>
      </c>
      <c r="AZ119" s="229">
        <v>7.4300000000000005E-2</v>
      </c>
      <c r="BA119" s="228">
        <v>21</v>
      </c>
      <c r="BB119" s="228">
        <v>14</v>
      </c>
      <c r="BC119" s="228">
        <v>8</v>
      </c>
      <c r="BD119" s="229">
        <v>0.55610000000000004</v>
      </c>
      <c r="BE119" s="228">
        <v>8</v>
      </c>
      <c r="BF119" s="228">
        <v>0</v>
      </c>
      <c r="BG119" s="228">
        <v>8</v>
      </c>
      <c r="BH119" s="229">
        <v>26.5</v>
      </c>
      <c r="BI119" s="230">
        <v>2320</v>
      </c>
      <c r="BJ119" s="230">
        <v>1502</v>
      </c>
      <c r="BK119" s="228">
        <v>817</v>
      </c>
      <c r="BL119" s="229">
        <v>0.54410000000000003</v>
      </c>
      <c r="BM119" s="230">
        <v>1056</v>
      </c>
      <c r="BN119" s="228">
        <v>833</v>
      </c>
      <c r="BO119" s="228">
        <v>223</v>
      </c>
      <c r="BP119" s="229">
        <v>0.26750000000000002</v>
      </c>
      <c r="BQ119" s="230">
        <v>3942</v>
      </c>
      <c r="BR119" s="230">
        <v>2849</v>
      </c>
      <c r="BS119" s="230">
        <v>1093</v>
      </c>
      <c r="BT119" s="229">
        <v>0.3836</v>
      </c>
      <c r="BU119" s="230">
        <v>1543357</v>
      </c>
      <c r="BV119" s="230">
        <v>1225746</v>
      </c>
      <c r="BW119" s="230">
        <v>317611</v>
      </c>
      <c r="BX119" s="229">
        <v>0.2591</v>
      </c>
      <c r="BY119" s="230">
        <v>5679</v>
      </c>
      <c r="BZ119" s="230">
        <v>5761</v>
      </c>
      <c r="CA119" s="228">
        <v>-82</v>
      </c>
      <c r="CB119" s="229">
        <v>-1.43E-2</v>
      </c>
      <c r="CC119" s="230">
        <v>5581</v>
      </c>
      <c r="CD119" s="230">
        <v>5672</v>
      </c>
      <c r="CE119" s="228">
        <v>-91</v>
      </c>
      <c r="CF119" s="229">
        <v>-1.61E-2</v>
      </c>
      <c r="CG119" s="228">
        <v>92</v>
      </c>
      <c r="CH119" s="228">
        <v>89</v>
      </c>
      <c r="CI119" s="228">
        <v>2</v>
      </c>
      <c r="CJ119" s="229">
        <v>2.4400000000000002E-2</v>
      </c>
      <c r="CK119" s="228">
        <v>7</v>
      </c>
      <c r="CL119" s="228">
        <v>0</v>
      </c>
      <c r="CM119" s="228">
        <v>6</v>
      </c>
      <c r="CN119" s="229">
        <v>22</v>
      </c>
      <c r="CO119" s="230">
        <v>1145</v>
      </c>
      <c r="CP119" s="228">
        <v>863</v>
      </c>
      <c r="CQ119" s="228">
        <v>282</v>
      </c>
      <c r="CR119" s="229">
        <v>0.32669999999999999</v>
      </c>
      <c r="CS119" s="228">
        <v>812</v>
      </c>
      <c r="CT119" s="228">
        <v>632</v>
      </c>
      <c r="CU119" s="228">
        <v>180</v>
      </c>
      <c r="CV119" s="229">
        <v>0.28460000000000002</v>
      </c>
      <c r="CW119" s="230">
        <v>7636</v>
      </c>
      <c r="CX119" s="230">
        <v>7257</v>
      </c>
      <c r="CY119" s="228">
        <v>379</v>
      </c>
      <c r="CZ119" s="229">
        <v>5.2299999999999999E-2</v>
      </c>
      <c r="DA119" s="228">
        <v>15.09</v>
      </c>
      <c r="DB119" s="228">
        <v>15.85</v>
      </c>
      <c r="DC119" s="228">
        <v>-0.76</v>
      </c>
      <c r="DD119" s="228">
        <v>-0.76</v>
      </c>
      <c r="DE119" s="228">
        <v>25.59</v>
      </c>
      <c r="DF119" s="228">
        <v>25.59</v>
      </c>
      <c r="DG119" s="228">
        <v>-10.5</v>
      </c>
      <c r="DH119" s="228">
        <v>0</v>
      </c>
      <c r="DI119" s="228">
        <v>14.68</v>
      </c>
      <c r="DJ119" s="228">
        <v>15.58</v>
      </c>
      <c r="DK119" s="228">
        <v>-0.9</v>
      </c>
      <c r="DL119" s="228">
        <v>-0.9</v>
      </c>
      <c r="DM119" s="228">
        <v>16</v>
      </c>
      <c r="DN119" s="228">
        <v>16.329999999999998</v>
      </c>
      <c r="DO119" s="228">
        <v>-0.33</v>
      </c>
      <c r="DP119" s="228">
        <v>-0.33</v>
      </c>
      <c r="DQ119" s="228">
        <v>0.71</v>
      </c>
      <c r="DR119" s="228">
        <v>0.73</v>
      </c>
      <c r="DS119" s="228">
        <v>-0.02</v>
      </c>
      <c r="DT119" s="229">
        <v>-2.7400000000000001E-2</v>
      </c>
      <c r="DU119" s="231">
        <v>4200</v>
      </c>
      <c r="DV119" s="231">
        <v>4000</v>
      </c>
      <c r="DW119" s="228">
        <v>0.46</v>
      </c>
      <c r="DX119" s="228">
        <v>0.55000000000000004</v>
      </c>
      <c r="DY119" s="228">
        <v>-0.09</v>
      </c>
      <c r="DZ119" s="229">
        <v>-0.1636</v>
      </c>
      <c r="EA119" s="229">
        <v>1.7299999999999999E-2</v>
      </c>
      <c r="EB119" s="230">
        <v>215775</v>
      </c>
      <c r="EC119" s="229">
        <v>5.1000000000000004E-3</v>
      </c>
      <c r="ED119" s="229">
        <v>1.7299999999999999E-2</v>
      </c>
      <c r="EE119" s="228">
        <v>20.39</v>
      </c>
      <c r="EF119" s="229">
        <v>4.8999999999999998E-3</v>
      </c>
      <c r="EG119" s="230">
        <v>684474</v>
      </c>
      <c r="EH119" s="230">
        <v>794738</v>
      </c>
      <c r="EI119" s="229">
        <v>-0.13869999999999999</v>
      </c>
      <c r="EJ119" s="229">
        <v>0.44350000000000001</v>
      </c>
      <c r="EK119" s="231">
        <v>2369.5300000000002</v>
      </c>
      <c r="EL119" s="231">
        <v>1039.72</v>
      </c>
      <c r="EM119" s="228">
        <v>564.44000000000005</v>
      </c>
      <c r="EN119" s="228">
        <v>255.94</v>
      </c>
      <c r="EO119" s="231">
        <v>3973.69</v>
      </c>
      <c r="EP119" s="231">
        <v>2836.19</v>
      </c>
      <c r="EQ119" s="231">
        <v>1137.51</v>
      </c>
      <c r="ER119" s="229">
        <v>0.40110000000000001</v>
      </c>
      <c r="ES119" s="231">
        <v>1147.6400000000001</v>
      </c>
      <c r="ET119" s="228">
        <v>782.29</v>
      </c>
      <c r="EU119" s="231">
        <v>5679.46</v>
      </c>
      <c r="EV119" s="231">
        <v>136109374</v>
      </c>
      <c r="EW119" s="231">
        <v>7609.39</v>
      </c>
      <c r="EX119" s="231">
        <v>7158.44</v>
      </c>
      <c r="EY119" s="228">
        <v>450.95</v>
      </c>
      <c r="EZ119" s="229">
        <v>6.3E-2</v>
      </c>
      <c r="FA119" s="229">
        <v>0.13500000000000001</v>
      </c>
      <c r="FB119" s="227" t="s">
        <v>556</v>
      </c>
      <c r="FC119">
        <f t="shared" si="1"/>
        <v>98</v>
      </c>
    </row>
    <row r="120" spans="1:159" ht="17.25" thickBot="1" x14ac:dyDescent="0.3">
      <c r="A120" s="226">
        <v>46023</v>
      </c>
      <c r="B120" s="227" t="s">
        <v>175</v>
      </c>
      <c r="C120" s="227" t="s">
        <v>565</v>
      </c>
      <c r="D120" s="228">
        <v>2250</v>
      </c>
      <c r="E120" s="228">
        <v>26</v>
      </c>
      <c r="F120" s="228">
        <v>318.75</v>
      </c>
      <c r="G120" s="228">
        <v>316.25</v>
      </c>
      <c r="H120" s="228">
        <v>2.5</v>
      </c>
      <c r="I120" s="229">
        <v>7.9000000000000008E-3</v>
      </c>
      <c r="J120" s="228">
        <v>317.25</v>
      </c>
      <c r="K120" s="228">
        <v>315.95</v>
      </c>
      <c r="L120" s="228">
        <v>1.3</v>
      </c>
      <c r="M120" s="229">
        <v>4.1000000000000003E-3</v>
      </c>
      <c r="N120" s="228">
        <v>318.75</v>
      </c>
      <c r="O120" s="228">
        <v>316.25</v>
      </c>
      <c r="P120" s="228">
        <v>2.5</v>
      </c>
      <c r="Q120" s="229">
        <v>7.9000000000000008E-3</v>
      </c>
      <c r="R120" s="228">
        <v>319.85000000000002</v>
      </c>
      <c r="S120" s="228">
        <v>317.39999999999998</v>
      </c>
      <c r="T120" s="228">
        <v>2.4500000000000002</v>
      </c>
      <c r="U120" s="229">
        <v>7.7000000000000002E-3</v>
      </c>
      <c r="V120" s="228">
        <v>320.8</v>
      </c>
      <c r="W120" s="228">
        <v>319.05</v>
      </c>
      <c r="X120" s="228">
        <v>1.75</v>
      </c>
      <c r="Y120" s="229">
        <v>5.4999999999999997E-3</v>
      </c>
      <c r="Z120" s="228">
        <v>1.5</v>
      </c>
      <c r="AA120" s="228">
        <v>0.3</v>
      </c>
      <c r="AB120" s="228">
        <v>1.2</v>
      </c>
      <c r="AC120" s="229">
        <v>4.7000000000000002E-3</v>
      </c>
      <c r="AD120" s="228">
        <v>1.5</v>
      </c>
      <c r="AE120" s="228">
        <v>0.3</v>
      </c>
      <c r="AF120" s="228">
        <v>1.2</v>
      </c>
      <c r="AG120" s="229">
        <v>4.7000000000000002E-3</v>
      </c>
      <c r="AH120" s="228">
        <v>2.6</v>
      </c>
      <c r="AI120" s="228">
        <v>1.45</v>
      </c>
      <c r="AJ120" s="228">
        <v>1.1499999999999999</v>
      </c>
      <c r="AK120" s="229">
        <v>8.2000000000000007E-3</v>
      </c>
      <c r="AL120" s="228">
        <v>3.55</v>
      </c>
      <c r="AM120" s="228">
        <v>3.1</v>
      </c>
      <c r="AN120" s="228">
        <v>0.45</v>
      </c>
      <c r="AO120" s="229">
        <v>1.12E-2</v>
      </c>
      <c r="AP120" s="228">
        <v>319.64</v>
      </c>
      <c r="AQ120" s="228">
        <v>320.35000000000002</v>
      </c>
      <c r="AR120" s="228">
        <v>0</v>
      </c>
      <c r="AS120" s="228">
        <v>386</v>
      </c>
      <c r="AT120" s="228">
        <v>672</v>
      </c>
      <c r="AU120" s="228">
        <v>-285</v>
      </c>
      <c r="AV120" s="229">
        <v>-0.42480000000000001</v>
      </c>
      <c r="AW120" s="228">
        <v>368</v>
      </c>
      <c r="AX120" s="228">
        <v>644</v>
      </c>
      <c r="AY120" s="228">
        <v>-275</v>
      </c>
      <c r="AZ120" s="229">
        <v>-0.42759999999999998</v>
      </c>
      <c r="BA120" s="228">
        <v>15</v>
      </c>
      <c r="BB120" s="228">
        <v>23</v>
      </c>
      <c r="BC120" s="228">
        <v>-8</v>
      </c>
      <c r="BD120" s="229">
        <v>-0.33229999999999998</v>
      </c>
      <c r="BE120" s="228">
        <v>3</v>
      </c>
      <c r="BF120" s="228">
        <v>5</v>
      </c>
      <c r="BG120" s="228">
        <v>-2</v>
      </c>
      <c r="BH120" s="229">
        <v>-0.49280000000000002</v>
      </c>
      <c r="BI120" s="230">
        <v>1096</v>
      </c>
      <c r="BJ120" s="230">
        <v>1986</v>
      </c>
      <c r="BK120" s="228">
        <v>-890</v>
      </c>
      <c r="BL120" s="229">
        <v>-0.44829999999999998</v>
      </c>
      <c r="BM120" s="228">
        <v>429</v>
      </c>
      <c r="BN120" s="228">
        <v>727</v>
      </c>
      <c r="BO120" s="228">
        <v>-299</v>
      </c>
      <c r="BP120" s="229">
        <v>-0.41039999999999999</v>
      </c>
      <c r="BQ120" s="230">
        <v>1911</v>
      </c>
      <c r="BR120" s="230">
        <v>3385</v>
      </c>
      <c r="BS120" s="230">
        <v>-1474</v>
      </c>
      <c r="BT120" s="229">
        <v>-0.4355</v>
      </c>
      <c r="BU120" s="230">
        <v>5324418</v>
      </c>
      <c r="BV120" s="230">
        <v>10101262</v>
      </c>
      <c r="BW120" s="230">
        <v>-4776844</v>
      </c>
      <c r="BX120" s="229">
        <v>-0.47289999999999999</v>
      </c>
      <c r="BY120" s="230">
        <v>1333</v>
      </c>
      <c r="BZ120" s="230">
        <v>1368</v>
      </c>
      <c r="CA120" s="228">
        <v>-35</v>
      </c>
      <c r="CB120" s="229">
        <v>-2.5600000000000001E-2</v>
      </c>
      <c r="CC120" s="230">
        <v>1303</v>
      </c>
      <c r="CD120" s="230">
        <v>1341</v>
      </c>
      <c r="CE120" s="228">
        <v>-37</v>
      </c>
      <c r="CF120" s="229">
        <v>-2.7799999999999998E-2</v>
      </c>
      <c r="CG120" s="228">
        <v>25</v>
      </c>
      <c r="CH120" s="228">
        <v>24</v>
      </c>
      <c r="CI120" s="228">
        <v>1</v>
      </c>
      <c r="CJ120" s="229">
        <v>3.95E-2</v>
      </c>
      <c r="CK120" s="228">
        <v>5</v>
      </c>
      <c r="CL120" s="228">
        <v>4</v>
      </c>
      <c r="CM120" s="228">
        <v>1</v>
      </c>
      <c r="CN120" s="229">
        <v>0.34</v>
      </c>
      <c r="CO120" s="228">
        <v>587</v>
      </c>
      <c r="CP120" s="228">
        <v>564</v>
      </c>
      <c r="CQ120" s="228">
        <v>23</v>
      </c>
      <c r="CR120" s="229">
        <v>4.0300000000000002E-2</v>
      </c>
      <c r="CS120" s="228">
        <v>431</v>
      </c>
      <c r="CT120" s="228">
        <v>391</v>
      </c>
      <c r="CU120" s="228">
        <v>41</v>
      </c>
      <c r="CV120" s="229">
        <v>0.1041</v>
      </c>
      <c r="CW120" s="230">
        <v>2351</v>
      </c>
      <c r="CX120" s="230">
        <v>2323</v>
      </c>
      <c r="CY120" s="228">
        <v>28</v>
      </c>
      <c r="CZ120" s="229">
        <v>1.2200000000000001E-2</v>
      </c>
      <c r="DA120" s="228">
        <v>29.04</v>
      </c>
      <c r="DB120" s="228">
        <v>31.06</v>
      </c>
      <c r="DC120" s="228">
        <v>-2.02</v>
      </c>
      <c r="DD120" s="228">
        <v>-2.02</v>
      </c>
      <c r="DE120" s="228">
        <v>38.53</v>
      </c>
      <c r="DF120" s="228">
        <v>38.61</v>
      </c>
      <c r="DG120" s="228">
        <v>-9.49</v>
      </c>
      <c r="DH120" s="228">
        <v>-0.08</v>
      </c>
      <c r="DI120" s="228">
        <v>29</v>
      </c>
      <c r="DJ120" s="228">
        <v>31.02</v>
      </c>
      <c r="DK120" s="228">
        <v>-2.02</v>
      </c>
      <c r="DL120" s="228">
        <v>-2.02</v>
      </c>
      <c r="DM120" s="228">
        <v>29.15</v>
      </c>
      <c r="DN120" s="228">
        <v>31.17</v>
      </c>
      <c r="DO120" s="228">
        <v>-2.02</v>
      </c>
      <c r="DP120" s="228">
        <v>-2.02</v>
      </c>
      <c r="DQ120" s="228">
        <v>0.73</v>
      </c>
      <c r="DR120" s="228">
        <v>0.69</v>
      </c>
      <c r="DS120" s="228">
        <v>0.04</v>
      </c>
      <c r="DT120" s="229">
        <v>5.8000000000000003E-2</v>
      </c>
      <c r="DU120" s="228">
        <v>320</v>
      </c>
      <c r="DV120" s="228">
        <v>300</v>
      </c>
      <c r="DW120" s="228">
        <v>0.39</v>
      </c>
      <c r="DX120" s="228">
        <v>0.37</v>
      </c>
      <c r="DY120" s="228">
        <v>0.02</v>
      </c>
      <c r="DZ120" s="229">
        <v>5.4100000000000002E-2</v>
      </c>
      <c r="EA120" s="229">
        <v>2.1999999999999999E-2</v>
      </c>
      <c r="EB120" s="230">
        <v>852750</v>
      </c>
      <c r="EC120" s="229">
        <v>3.5000000000000001E-3</v>
      </c>
      <c r="ED120" s="229">
        <v>2.1999999999999999E-2</v>
      </c>
      <c r="EE120" s="228">
        <v>0.71</v>
      </c>
      <c r="EF120" s="229">
        <v>2.2000000000000001E-3</v>
      </c>
      <c r="EG120" s="230">
        <v>1746024</v>
      </c>
      <c r="EH120" s="230">
        <v>4213948</v>
      </c>
      <c r="EI120" s="229">
        <v>-0.5857</v>
      </c>
      <c r="EJ120" s="229">
        <v>0.32790000000000002</v>
      </c>
      <c r="EK120" s="231">
        <v>1148.83</v>
      </c>
      <c r="EL120" s="228">
        <v>421.32</v>
      </c>
      <c r="EM120" s="228">
        <v>387.4</v>
      </c>
      <c r="EN120" s="228">
        <v>123.82</v>
      </c>
      <c r="EO120" s="231">
        <v>1957.55</v>
      </c>
      <c r="EP120" s="231">
        <v>3399.94</v>
      </c>
      <c r="EQ120" s="231">
        <v>-1442.39</v>
      </c>
      <c r="ER120" s="229">
        <v>-0.42420000000000002</v>
      </c>
      <c r="ES120" s="228">
        <v>591.99</v>
      </c>
      <c r="ET120" s="228">
        <v>406.85</v>
      </c>
      <c r="EU120" s="231">
        <v>1332.79</v>
      </c>
      <c r="EV120" s="231">
        <v>127100972</v>
      </c>
      <c r="EW120" s="231">
        <v>2331.63</v>
      </c>
      <c r="EX120" s="231">
        <v>2287.89</v>
      </c>
      <c r="EY120" s="228">
        <v>43.74</v>
      </c>
      <c r="EZ120" s="229">
        <v>1.9099999999999999E-2</v>
      </c>
      <c r="FA120" s="229">
        <v>0.58030000000000004</v>
      </c>
      <c r="FB120" s="227" t="s">
        <v>556</v>
      </c>
      <c r="FC120">
        <f t="shared" si="1"/>
        <v>30</v>
      </c>
    </row>
    <row r="121" spans="1:159" ht="17.25" thickBot="1" x14ac:dyDescent="0.3">
      <c r="A121" s="226">
        <v>46023</v>
      </c>
      <c r="B121" s="227" t="s">
        <v>221</v>
      </c>
      <c r="C121" s="227" t="s">
        <v>561</v>
      </c>
      <c r="D121" s="228">
        <v>150</v>
      </c>
      <c r="E121" s="228">
        <v>26</v>
      </c>
      <c r="F121" s="231">
        <v>6128</v>
      </c>
      <c r="G121" s="231">
        <v>6081</v>
      </c>
      <c r="H121" s="228">
        <v>47</v>
      </c>
      <c r="I121" s="229">
        <v>7.7000000000000002E-3</v>
      </c>
      <c r="J121" s="231">
        <v>6112</v>
      </c>
      <c r="K121" s="231">
        <v>6063.5</v>
      </c>
      <c r="L121" s="228">
        <v>48.5</v>
      </c>
      <c r="M121" s="229">
        <v>8.0000000000000002E-3</v>
      </c>
      <c r="N121" s="231">
        <v>6128</v>
      </c>
      <c r="O121" s="231">
        <v>6081</v>
      </c>
      <c r="P121" s="228">
        <v>47</v>
      </c>
      <c r="Q121" s="229">
        <v>7.7000000000000002E-3</v>
      </c>
      <c r="R121" s="231">
        <v>6168</v>
      </c>
      <c r="S121" s="231">
        <v>6110</v>
      </c>
      <c r="T121" s="228">
        <v>58</v>
      </c>
      <c r="U121" s="229">
        <v>9.4999999999999998E-3</v>
      </c>
      <c r="V121" s="231">
        <v>6160</v>
      </c>
      <c r="W121" s="231">
        <v>6130</v>
      </c>
      <c r="X121" s="228">
        <v>30</v>
      </c>
      <c r="Y121" s="229">
        <v>4.8999999999999998E-3</v>
      </c>
      <c r="Z121" s="228">
        <v>16</v>
      </c>
      <c r="AA121" s="228">
        <v>17.5</v>
      </c>
      <c r="AB121" s="228">
        <v>-1.5</v>
      </c>
      <c r="AC121" s="229">
        <v>2.5999999999999999E-3</v>
      </c>
      <c r="AD121" s="228">
        <v>16</v>
      </c>
      <c r="AE121" s="228">
        <v>17.5</v>
      </c>
      <c r="AF121" s="228">
        <v>-1.5</v>
      </c>
      <c r="AG121" s="229">
        <v>2.5999999999999999E-3</v>
      </c>
      <c r="AH121" s="228">
        <v>56</v>
      </c>
      <c r="AI121" s="228">
        <v>46.5</v>
      </c>
      <c r="AJ121" s="228">
        <v>9.5</v>
      </c>
      <c r="AK121" s="229">
        <v>9.1999999999999998E-3</v>
      </c>
      <c r="AL121" s="228">
        <v>48</v>
      </c>
      <c r="AM121" s="228">
        <v>66.5</v>
      </c>
      <c r="AN121" s="228">
        <v>-18.5</v>
      </c>
      <c r="AO121" s="229">
        <v>7.9000000000000008E-3</v>
      </c>
      <c r="AP121" s="231">
        <v>6094.45</v>
      </c>
      <c r="AQ121" s="231">
        <v>6154.97</v>
      </c>
      <c r="AR121" s="228">
        <v>0</v>
      </c>
      <c r="AS121" s="228">
        <v>111</v>
      </c>
      <c r="AT121" s="228">
        <v>169</v>
      </c>
      <c r="AU121" s="228">
        <v>-58</v>
      </c>
      <c r="AV121" s="229">
        <v>-0.34279999999999999</v>
      </c>
      <c r="AW121" s="228">
        <v>105</v>
      </c>
      <c r="AX121" s="228">
        <v>166</v>
      </c>
      <c r="AY121" s="228">
        <v>-61</v>
      </c>
      <c r="AZ121" s="229">
        <v>-0.36699999999999999</v>
      </c>
      <c r="BA121" s="228">
        <v>6</v>
      </c>
      <c r="BB121" s="228">
        <v>3</v>
      </c>
      <c r="BC121" s="228">
        <v>3</v>
      </c>
      <c r="BD121" s="229">
        <v>1.0333000000000001</v>
      </c>
      <c r="BE121" s="228">
        <v>0</v>
      </c>
      <c r="BF121" s="228">
        <v>0</v>
      </c>
      <c r="BG121" s="228">
        <v>0</v>
      </c>
      <c r="BH121" s="229">
        <v>0.25</v>
      </c>
      <c r="BI121" s="228">
        <v>320</v>
      </c>
      <c r="BJ121" s="228">
        <v>298</v>
      </c>
      <c r="BK121" s="228">
        <v>22</v>
      </c>
      <c r="BL121" s="229">
        <v>7.4999999999999997E-2</v>
      </c>
      <c r="BM121" s="228">
        <v>159</v>
      </c>
      <c r="BN121" s="228">
        <v>186</v>
      </c>
      <c r="BO121" s="228">
        <v>-27</v>
      </c>
      <c r="BP121" s="229">
        <v>-0.1447</v>
      </c>
      <c r="BQ121" s="228">
        <v>590</v>
      </c>
      <c r="BR121" s="228">
        <v>653</v>
      </c>
      <c r="BS121" s="228">
        <v>-63</v>
      </c>
      <c r="BT121" s="229">
        <v>-9.5699999999999993E-2</v>
      </c>
      <c r="BU121" s="230">
        <v>59171</v>
      </c>
      <c r="BV121" s="230">
        <v>94535</v>
      </c>
      <c r="BW121" s="230">
        <v>-35364</v>
      </c>
      <c r="BX121" s="229">
        <v>-0.37409999999999999</v>
      </c>
      <c r="BY121" s="230">
        <v>1281</v>
      </c>
      <c r="BZ121" s="230">
        <v>1280</v>
      </c>
      <c r="CA121" s="228">
        <v>1</v>
      </c>
      <c r="CB121" s="229">
        <v>8.9999999999999998E-4</v>
      </c>
      <c r="CC121" s="230">
        <v>1268</v>
      </c>
      <c r="CD121" s="230">
        <v>1271</v>
      </c>
      <c r="CE121" s="228">
        <v>-2</v>
      </c>
      <c r="CF121" s="229">
        <v>-1.6999999999999999E-3</v>
      </c>
      <c r="CG121" s="228">
        <v>12</v>
      </c>
      <c r="CH121" s="228">
        <v>9</v>
      </c>
      <c r="CI121" s="228">
        <v>3</v>
      </c>
      <c r="CJ121" s="229">
        <v>0.32350000000000001</v>
      </c>
      <c r="CK121" s="228">
        <v>1</v>
      </c>
      <c r="CL121" s="228">
        <v>0</v>
      </c>
      <c r="CM121" s="228">
        <v>0</v>
      </c>
      <c r="CN121" s="229">
        <v>0.75</v>
      </c>
      <c r="CO121" s="228">
        <v>287</v>
      </c>
      <c r="CP121" s="228">
        <v>228</v>
      </c>
      <c r="CQ121" s="228">
        <v>60</v>
      </c>
      <c r="CR121" s="229">
        <v>0.26219999999999999</v>
      </c>
      <c r="CS121" s="228">
        <v>250</v>
      </c>
      <c r="CT121" s="228">
        <v>234</v>
      </c>
      <c r="CU121" s="228">
        <v>16</v>
      </c>
      <c r="CV121" s="229">
        <v>6.9199999999999998E-2</v>
      </c>
      <c r="CW121" s="230">
        <v>1819</v>
      </c>
      <c r="CX121" s="230">
        <v>1742</v>
      </c>
      <c r="CY121" s="228">
        <v>77</v>
      </c>
      <c r="CZ121" s="229">
        <v>4.4200000000000003E-2</v>
      </c>
      <c r="DA121" s="228">
        <v>24.62</v>
      </c>
      <c r="DB121" s="228">
        <v>25.64</v>
      </c>
      <c r="DC121" s="228">
        <v>-1.02</v>
      </c>
      <c r="DD121" s="228">
        <v>-1.02</v>
      </c>
      <c r="DE121" s="228">
        <v>31.65</v>
      </c>
      <c r="DF121" s="228">
        <v>31.71</v>
      </c>
      <c r="DG121" s="228">
        <v>-7.03</v>
      </c>
      <c r="DH121" s="228">
        <v>-0.06</v>
      </c>
      <c r="DI121" s="228">
        <v>24.18</v>
      </c>
      <c r="DJ121" s="228">
        <v>25.45</v>
      </c>
      <c r="DK121" s="228">
        <v>-1.27</v>
      </c>
      <c r="DL121" s="228">
        <v>-1.27</v>
      </c>
      <c r="DM121" s="228">
        <v>25.49</v>
      </c>
      <c r="DN121" s="228">
        <v>25.94</v>
      </c>
      <c r="DO121" s="228">
        <v>-0.45</v>
      </c>
      <c r="DP121" s="228">
        <v>-0.45</v>
      </c>
      <c r="DQ121" s="228">
        <v>0.87</v>
      </c>
      <c r="DR121" s="228">
        <v>1.03</v>
      </c>
      <c r="DS121" s="228">
        <v>-0.16</v>
      </c>
      <c r="DT121" s="229">
        <v>-0.15529999999999999</v>
      </c>
      <c r="DU121" s="231">
        <v>6850</v>
      </c>
      <c r="DV121" s="231">
        <v>6000</v>
      </c>
      <c r="DW121" s="228">
        <v>0.5</v>
      </c>
      <c r="DX121" s="228">
        <v>0.63</v>
      </c>
      <c r="DY121" s="228">
        <v>-0.13</v>
      </c>
      <c r="DZ121" s="229">
        <v>-0.20630000000000001</v>
      </c>
      <c r="EA121" s="229">
        <v>1.0200000000000001E-2</v>
      </c>
      <c r="EB121" s="230">
        <v>15900</v>
      </c>
      <c r="EC121" s="229">
        <v>6.4999999999999997E-3</v>
      </c>
      <c r="ED121" s="229">
        <v>1.0200000000000001E-2</v>
      </c>
      <c r="EE121" s="228">
        <v>60.52</v>
      </c>
      <c r="EF121" s="229">
        <v>9.9000000000000008E-3</v>
      </c>
      <c r="EG121" s="230">
        <v>20531</v>
      </c>
      <c r="EH121" s="230">
        <v>43914</v>
      </c>
      <c r="EI121" s="229">
        <v>-0.53249999999999997</v>
      </c>
      <c r="EJ121" s="229">
        <v>0.34699999999999998</v>
      </c>
      <c r="EK121" s="228">
        <v>337.25</v>
      </c>
      <c r="EL121" s="228">
        <v>154.27000000000001</v>
      </c>
      <c r="EM121" s="228">
        <v>110.49</v>
      </c>
      <c r="EN121" s="228">
        <v>62.48</v>
      </c>
      <c r="EO121" s="228">
        <v>602.01</v>
      </c>
      <c r="EP121" s="228">
        <v>657.95</v>
      </c>
      <c r="EQ121" s="228">
        <v>-55.94</v>
      </c>
      <c r="ER121" s="229">
        <v>-8.5000000000000006E-2</v>
      </c>
      <c r="ES121" s="228">
        <v>300.70999999999998</v>
      </c>
      <c r="ET121" s="228">
        <v>236.35</v>
      </c>
      <c r="EU121" s="231">
        <v>1281.54</v>
      </c>
      <c r="EV121" s="231">
        <v>9672091</v>
      </c>
      <c r="EW121" s="231">
        <v>1818.6</v>
      </c>
      <c r="EX121" s="231">
        <v>1726.85</v>
      </c>
      <c r="EY121" s="228">
        <v>91.75</v>
      </c>
      <c r="EZ121" s="229">
        <v>5.3100000000000001E-2</v>
      </c>
      <c r="FA121" s="229">
        <v>0.30680000000000002</v>
      </c>
      <c r="FB121" s="227" t="s">
        <v>555</v>
      </c>
      <c r="FC121">
        <f t="shared" si="1"/>
        <v>13</v>
      </c>
    </row>
    <row r="122" spans="1:159" ht="17.25" thickBot="1" x14ac:dyDescent="0.3">
      <c r="A122" s="226">
        <v>46023</v>
      </c>
      <c r="B122" s="227" t="s">
        <v>170</v>
      </c>
      <c r="C122" s="227" t="s">
        <v>250</v>
      </c>
      <c r="D122" s="228">
        <v>425</v>
      </c>
      <c r="E122" s="228">
        <v>26</v>
      </c>
      <c r="F122" s="231">
        <v>2112</v>
      </c>
      <c r="G122" s="231">
        <v>2115.3000000000002</v>
      </c>
      <c r="H122" s="228">
        <v>-3.3</v>
      </c>
      <c r="I122" s="229">
        <v>-1.6000000000000001E-3</v>
      </c>
      <c r="J122" s="231">
        <v>2102.8000000000002</v>
      </c>
      <c r="K122" s="231">
        <v>2109.5</v>
      </c>
      <c r="L122" s="228">
        <v>-6.7</v>
      </c>
      <c r="M122" s="229">
        <v>-3.2000000000000002E-3</v>
      </c>
      <c r="N122" s="231">
        <v>2112</v>
      </c>
      <c r="O122" s="231">
        <v>2115.3000000000002</v>
      </c>
      <c r="P122" s="228">
        <v>-3.3</v>
      </c>
      <c r="Q122" s="229">
        <v>-1.6000000000000001E-3</v>
      </c>
      <c r="R122" s="231">
        <v>2124.6999999999998</v>
      </c>
      <c r="S122" s="231">
        <v>2125.9</v>
      </c>
      <c r="T122" s="228">
        <v>-1.2</v>
      </c>
      <c r="U122" s="229">
        <v>-5.9999999999999995E-4</v>
      </c>
      <c r="V122" s="231">
        <v>2129.9</v>
      </c>
      <c r="W122" s="231">
        <v>2126</v>
      </c>
      <c r="X122" s="228">
        <v>3.9</v>
      </c>
      <c r="Y122" s="229">
        <v>1.8E-3</v>
      </c>
      <c r="Z122" s="228">
        <v>9.1999999999999993</v>
      </c>
      <c r="AA122" s="228">
        <v>5.8</v>
      </c>
      <c r="AB122" s="228">
        <v>3.4</v>
      </c>
      <c r="AC122" s="229">
        <v>4.4000000000000003E-3</v>
      </c>
      <c r="AD122" s="228">
        <v>9.1999999999999993</v>
      </c>
      <c r="AE122" s="228">
        <v>5.8</v>
      </c>
      <c r="AF122" s="228">
        <v>3.4</v>
      </c>
      <c r="AG122" s="229">
        <v>4.4000000000000003E-3</v>
      </c>
      <c r="AH122" s="228">
        <v>21.9</v>
      </c>
      <c r="AI122" s="228">
        <v>16.399999999999999</v>
      </c>
      <c r="AJ122" s="228">
        <v>5.5</v>
      </c>
      <c r="AK122" s="229">
        <v>1.04E-2</v>
      </c>
      <c r="AL122" s="228">
        <v>27.1</v>
      </c>
      <c r="AM122" s="228">
        <v>16.5</v>
      </c>
      <c r="AN122" s="228">
        <v>10.6</v>
      </c>
      <c r="AO122" s="229">
        <v>1.29E-2</v>
      </c>
      <c r="AP122" s="231">
        <v>2102.58</v>
      </c>
      <c r="AQ122" s="231">
        <v>2116.0300000000002</v>
      </c>
      <c r="AR122" s="228">
        <v>0</v>
      </c>
      <c r="AS122" s="228">
        <v>112</v>
      </c>
      <c r="AT122" s="228">
        <v>206</v>
      </c>
      <c r="AU122" s="228">
        <v>-94</v>
      </c>
      <c r="AV122" s="229">
        <v>-0.45779999999999998</v>
      </c>
      <c r="AW122" s="228">
        <v>106</v>
      </c>
      <c r="AX122" s="228">
        <v>198</v>
      </c>
      <c r="AY122" s="228">
        <v>-92</v>
      </c>
      <c r="AZ122" s="229">
        <v>-0.46479999999999999</v>
      </c>
      <c r="BA122" s="228">
        <v>6</v>
      </c>
      <c r="BB122" s="228">
        <v>8</v>
      </c>
      <c r="BC122" s="228">
        <v>-3</v>
      </c>
      <c r="BD122" s="229">
        <v>-0.31909999999999999</v>
      </c>
      <c r="BE122" s="228">
        <v>0</v>
      </c>
      <c r="BF122" s="228">
        <v>0</v>
      </c>
      <c r="BG122" s="228">
        <v>0</v>
      </c>
      <c r="BH122" s="229">
        <v>2</v>
      </c>
      <c r="BI122" s="228">
        <v>238</v>
      </c>
      <c r="BJ122" s="228">
        <v>328</v>
      </c>
      <c r="BK122" s="228">
        <v>-90</v>
      </c>
      <c r="BL122" s="229">
        <v>-0.27439999999999998</v>
      </c>
      <c r="BM122" s="228">
        <v>118</v>
      </c>
      <c r="BN122" s="228">
        <v>173</v>
      </c>
      <c r="BO122" s="228">
        <v>-54</v>
      </c>
      <c r="BP122" s="229">
        <v>-0.31440000000000001</v>
      </c>
      <c r="BQ122" s="228">
        <v>468</v>
      </c>
      <c r="BR122" s="228">
        <v>707</v>
      </c>
      <c r="BS122" s="228">
        <v>-239</v>
      </c>
      <c r="BT122" s="229">
        <v>-0.33760000000000001</v>
      </c>
      <c r="BU122" s="230">
        <v>391235</v>
      </c>
      <c r="BV122" s="230">
        <v>663091</v>
      </c>
      <c r="BW122" s="230">
        <v>-271856</v>
      </c>
      <c r="BX122" s="229">
        <v>-0.41</v>
      </c>
      <c r="BY122" s="230">
        <v>1448</v>
      </c>
      <c r="BZ122" s="230">
        <v>1467</v>
      </c>
      <c r="CA122" s="228">
        <v>-19</v>
      </c>
      <c r="CB122" s="229">
        <v>-1.2999999999999999E-2</v>
      </c>
      <c r="CC122" s="230">
        <v>1432</v>
      </c>
      <c r="CD122" s="230">
        <v>1451</v>
      </c>
      <c r="CE122" s="228">
        <v>-19</v>
      </c>
      <c r="CF122" s="229">
        <v>-1.34E-2</v>
      </c>
      <c r="CG122" s="228">
        <v>16</v>
      </c>
      <c r="CH122" s="228">
        <v>15</v>
      </c>
      <c r="CI122" s="228">
        <v>0</v>
      </c>
      <c r="CJ122" s="229">
        <v>1.7500000000000002E-2</v>
      </c>
      <c r="CK122" s="228">
        <v>0</v>
      </c>
      <c r="CL122" s="228">
        <v>0</v>
      </c>
      <c r="CM122" s="228">
        <v>0</v>
      </c>
      <c r="CN122" s="229">
        <v>2</v>
      </c>
      <c r="CO122" s="228">
        <v>246</v>
      </c>
      <c r="CP122" s="228">
        <v>217</v>
      </c>
      <c r="CQ122" s="228">
        <v>29</v>
      </c>
      <c r="CR122" s="229">
        <v>0.1331</v>
      </c>
      <c r="CS122" s="228">
        <v>212</v>
      </c>
      <c r="CT122" s="228">
        <v>195</v>
      </c>
      <c r="CU122" s="228">
        <v>17</v>
      </c>
      <c r="CV122" s="229">
        <v>8.5000000000000006E-2</v>
      </c>
      <c r="CW122" s="230">
        <v>1906</v>
      </c>
      <c r="CX122" s="230">
        <v>1879</v>
      </c>
      <c r="CY122" s="228">
        <v>26</v>
      </c>
      <c r="CZ122" s="229">
        <v>1.41E-2</v>
      </c>
      <c r="DA122" s="228">
        <v>18.27</v>
      </c>
      <c r="DB122" s="228">
        <v>19.57</v>
      </c>
      <c r="DC122" s="228">
        <v>-1.3</v>
      </c>
      <c r="DD122" s="228">
        <v>-1.3</v>
      </c>
      <c r="DE122" s="228">
        <v>29.74</v>
      </c>
      <c r="DF122" s="228">
        <v>29.81</v>
      </c>
      <c r="DG122" s="228">
        <v>-11.47</v>
      </c>
      <c r="DH122" s="228">
        <v>-7.0000000000000007E-2</v>
      </c>
      <c r="DI122" s="228">
        <v>18.23</v>
      </c>
      <c r="DJ122" s="228">
        <v>19.57</v>
      </c>
      <c r="DK122" s="228">
        <v>-1.34</v>
      </c>
      <c r="DL122" s="228">
        <v>-1.34</v>
      </c>
      <c r="DM122" s="228">
        <v>18.36</v>
      </c>
      <c r="DN122" s="228">
        <v>19.559999999999999</v>
      </c>
      <c r="DO122" s="228">
        <v>-1.2</v>
      </c>
      <c r="DP122" s="228">
        <v>-1.2</v>
      </c>
      <c r="DQ122" s="228">
        <v>0.86</v>
      </c>
      <c r="DR122" s="228">
        <v>0.9</v>
      </c>
      <c r="DS122" s="228">
        <v>-0.04</v>
      </c>
      <c r="DT122" s="229">
        <v>-4.4400000000000002E-2</v>
      </c>
      <c r="DU122" s="231">
        <v>2100</v>
      </c>
      <c r="DV122" s="231">
        <v>1900</v>
      </c>
      <c r="DW122" s="228">
        <v>0.5</v>
      </c>
      <c r="DX122" s="228">
        <v>0.53</v>
      </c>
      <c r="DY122" s="228">
        <v>-0.03</v>
      </c>
      <c r="DZ122" s="229">
        <v>-5.6599999999999998E-2</v>
      </c>
      <c r="EA122" s="229">
        <v>1.0999999999999999E-2</v>
      </c>
      <c r="EB122" s="230">
        <v>73100</v>
      </c>
      <c r="EC122" s="229">
        <v>6.0000000000000001E-3</v>
      </c>
      <c r="ED122" s="229">
        <v>1.0999999999999999E-2</v>
      </c>
      <c r="EE122" s="228">
        <v>13.45</v>
      </c>
      <c r="EF122" s="229">
        <v>6.4000000000000003E-3</v>
      </c>
      <c r="EG122" s="230">
        <v>217013</v>
      </c>
      <c r="EH122" s="230">
        <v>372928</v>
      </c>
      <c r="EI122" s="229">
        <v>-0.41810000000000003</v>
      </c>
      <c r="EJ122" s="229">
        <v>0.55469999999999997</v>
      </c>
      <c r="EK122" s="228">
        <v>245.81</v>
      </c>
      <c r="EL122" s="228">
        <v>116.91</v>
      </c>
      <c r="EM122" s="228">
        <v>111.29</v>
      </c>
      <c r="EN122" s="228">
        <v>106.56</v>
      </c>
      <c r="EO122" s="228">
        <v>474.01</v>
      </c>
      <c r="EP122" s="228">
        <v>716</v>
      </c>
      <c r="EQ122" s="228">
        <v>-241.99</v>
      </c>
      <c r="ER122" s="229">
        <v>-0.33800000000000002</v>
      </c>
      <c r="ES122" s="228">
        <v>254.54</v>
      </c>
      <c r="ET122" s="228">
        <v>202.1</v>
      </c>
      <c r="EU122" s="231">
        <v>1447.84</v>
      </c>
      <c r="EV122" s="231">
        <v>36381777</v>
      </c>
      <c r="EW122" s="231">
        <v>1904.47</v>
      </c>
      <c r="EX122" s="231">
        <v>1880.14</v>
      </c>
      <c r="EY122" s="228">
        <v>24.33</v>
      </c>
      <c r="EZ122" s="229">
        <v>1.29E-2</v>
      </c>
      <c r="FA122" s="229">
        <v>0.248</v>
      </c>
      <c r="FB122" s="227" t="s">
        <v>568</v>
      </c>
      <c r="FC122">
        <f t="shared" si="1"/>
        <v>16</v>
      </c>
    </row>
    <row r="123" spans="1:159" ht="17.25" thickBot="1" x14ac:dyDescent="0.3">
      <c r="A123" s="226">
        <v>46023</v>
      </c>
      <c r="B123" s="227" t="s">
        <v>162</v>
      </c>
      <c r="C123" s="227" t="s">
        <v>251</v>
      </c>
      <c r="D123" s="228">
        <v>200</v>
      </c>
      <c r="E123" s="228">
        <v>26</v>
      </c>
      <c r="F123" s="231">
        <v>3783.5</v>
      </c>
      <c r="G123" s="231">
        <v>3733.4</v>
      </c>
      <c r="H123" s="228">
        <v>50.1</v>
      </c>
      <c r="I123" s="229">
        <v>1.34E-2</v>
      </c>
      <c r="J123" s="231">
        <v>3761</v>
      </c>
      <c r="K123" s="231">
        <v>3709.2</v>
      </c>
      <c r="L123" s="228">
        <v>51.8</v>
      </c>
      <c r="M123" s="229">
        <v>1.4E-2</v>
      </c>
      <c r="N123" s="231">
        <v>3783.5</v>
      </c>
      <c r="O123" s="231">
        <v>3733.4</v>
      </c>
      <c r="P123" s="228">
        <v>50.1</v>
      </c>
      <c r="Q123" s="229">
        <v>1.34E-2</v>
      </c>
      <c r="R123" s="231">
        <v>3804.6</v>
      </c>
      <c r="S123" s="231">
        <v>3755.9</v>
      </c>
      <c r="T123" s="228">
        <v>48.7</v>
      </c>
      <c r="U123" s="229">
        <v>1.2999999999999999E-2</v>
      </c>
      <c r="V123" s="231">
        <v>3829.4</v>
      </c>
      <c r="W123" s="231">
        <v>3774.5</v>
      </c>
      <c r="X123" s="228">
        <v>54.9</v>
      </c>
      <c r="Y123" s="229">
        <v>1.4500000000000001E-2</v>
      </c>
      <c r="Z123" s="228">
        <v>22.5</v>
      </c>
      <c r="AA123" s="228">
        <v>24.2</v>
      </c>
      <c r="AB123" s="228">
        <v>-1.7</v>
      </c>
      <c r="AC123" s="229">
        <v>6.0000000000000001E-3</v>
      </c>
      <c r="AD123" s="228">
        <v>22.5</v>
      </c>
      <c r="AE123" s="228">
        <v>24.2</v>
      </c>
      <c r="AF123" s="228">
        <v>-1.7</v>
      </c>
      <c r="AG123" s="229">
        <v>6.0000000000000001E-3</v>
      </c>
      <c r="AH123" s="228">
        <v>43.6</v>
      </c>
      <c r="AI123" s="228">
        <v>46.7</v>
      </c>
      <c r="AJ123" s="228">
        <v>-3.1</v>
      </c>
      <c r="AK123" s="229">
        <v>1.1599999999999999E-2</v>
      </c>
      <c r="AL123" s="228">
        <v>68.400000000000006</v>
      </c>
      <c r="AM123" s="228">
        <v>65.3</v>
      </c>
      <c r="AN123" s="228">
        <v>3.1</v>
      </c>
      <c r="AO123" s="229">
        <v>1.8200000000000001E-2</v>
      </c>
      <c r="AP123" s="231">
        <v>3776.51</v>
      </c>
      <c r="AQ123" s="231">
        <v>3797.14</v>
      </c>
      <c r="AR123" s="228">
        <v>0</v>
      </c>
      <c r="AS123" s="228">
        <v>667</v>
      </c>
      <c r="AT123" s="228">
        <v>708</v>
      </c>
      <c r="AU123" s="228">
        <v>-41</v>
      </c>
      <c r="AV123" s="229">
        <v>-5.8500000000000003E-2</v>
      </c>
      <c r="AW123" s="228">
        <v>634</v>
      </c>
      <c r="AX123" s="228">
        <v>684</v>
      </c>
      <c r="AY123" s="228">
        <v>-50</v>
      </c>
      <c r="AZ123" s="229">
        <v>-7.2800000000000004E-2</v>
      </c>
      <c r="BA123" s="228">
        <v>26</v>
      </c>
      <c r="BB123" s="228">
        <v>21</v>
      </c>
      <c r="BC123" s="228">
        <v>5</v>
      </c>
      <c r="BD123" s="229">
        <v>0.23400000000000001</v>
      </c>
      <c r="BE123" s="228">
        <v>6</v>
      </c>
      <c r="BF123" s="228">
        <v>3</v>
      </c>
      <c r="BG123" s="228">
        <v>3</v>
      </c>
      <c r="BH123" s="229">
        <v>1.1578999999999999</v>
      </c>
      <c r="BI123" s="230">
        <v>4588</v>
      </c>
      <c r="BJ123" s="230">
        <v>2668</v>
      </c>
      <c r="BK123" s="230">
        <v>1920</v>
      </c>
      <c r="BL123" s="229">
        <v>0.71960000000000002</v>
      </c>
      <c r="BM123" s="230">
        <v>1546</v>
      </c>
      <c r="BN123" s="230">
        <v>1215</v>
      </c>
      <c r="BO123" s="228">
        <v>331</v>
      </c>
      <c r="BP123" s="229">
        <v>0.27279999999999999</v>
      </c>
      <c r="BQ123" s="230">
        <v>6801</v>
      </c>
      <c r="BR123" s="230">
        <v>4591</v>
      </c>
      <c r="BS123" s="230">
        <v>2210</v>
      </c>
      <c r="BT123" s="229">
        <v>0.48130000000000001</v>
      </c>
      <c r="BU123" s="230">
        <v>1703728</v>
      </c>
      <c r="BV123" s="230">
        <v>1950879</v>
      </c>
      <c r="BW123" s="230">
        <v>-247151</v>
      </c>
      <c r="BX123" s="229">
        <v>-0.12670000000000001</v>
      </c>
      <c r="BY123" s="230">
        <v>6890</v>
      </c>
      <c r="BZ123" s="230">
        <v>6892</v>
      </c>
      <c r="CA123" s="228">
        <v>-2</v>
      </c>
      <c r="CB123" s="229">
        <v>-2.9999999999999997E-4</v>
      </c>
      <c r="CC123" s="230">
        <v>6806</v>
      </c>
      <c r="CD123" s="230">
        <v>6816</v>
      </c>
      <c r="CE123" s="228">
        <v>-10</v>
      </c>
      <c r="CF123" s="229">
        <v>-1.4E-3</v>
      </c>
      <c r="CG123" s="228">
        <v>79</v>
      </c>
      <c r="CH123" s="228">
        <v>75</v>
      </c>
      <c r="CI123" s="228">
        <v>4</v>
      </c>
      <c r="CJ123" s="229">
        <v>5.67E-2</v>
      </c>
      <c r="CK123" s="228">
        <v>5</v>
      </c>
      <c r="CL123" s="228">
        <v>2</v>
      </c>
      <c r="CM123" s="228">
        <v>4</v>
      </c>
      <c r="CN123" s="229">
        <v>2.1364000000000001</v>
      </c>
      <c r="CO123" s="228">
        <v>958</v>
      </c>
      <c r="CP123" s="228">
        <v>781</v>
      </c>
      <c r="CQ123" s="228">
        <v>177</v>
      </c>
      <c r="CR123" s="229">
        <v>0.22700000000000001</v>
      </c>
      <c r="CS123" s="228">
        <v>687</v>
      </c>
      <c r="CT123" s="228">
        <v>615</v>
      </c>
      <c r="CU123" s="228">
        <v>72</v>
      </c>
      <c r="CV123" s="229">
        <v>0.1168</v>
      </c>
      <c r="CW123" s="230">
        <v>8536</v>
      </c>
      <c r="CX123" s="230">
        <v>8289</v>
      </c>
      <c r="CY123" s="228">
        <v>247</v>
      </c>
      <c r="CZ123" s="229">
        <v>2.98E-2</v>
      </c>
      <c r="DA123" s="228">
        <v>19.850000000000001</v>
      </c>
      <c r="DB123" s="228">
        <v>21.2</v>
      </c>
      <c r="DC123" s="228">
        <v>-1.35</v>
      </c>
      <c r="DD123" s="228">
        <v>-1.35</v>
      </c>
      <c r="DE123" s="228">
        <v>31.64</v>
      </c>
      <c r="DF123" s="228">
        <v>31.67</v>
      </c>
      <c r="DG123" s="228">
        <v>-11.79</v>
      </c>
      <c r="DH123" s="228">
        <v>-0.03</v>
      </c>
      <c r="DI123" s="228">
        <v>19.510000000000002</v>
      </c>
      <c r="DJ123" s="228">
        <v>20.77</v>
      </c>
      <c r="DK123" s="228">
        <v>-1.26</v>
      </c>
      <c r="DL123" s="228">
        <v>-1.26</v>
      </c>
      <c r="DM123" s="228">
        <v>20.85</v>
      </c>
      <c r="DN123" s="228">
        <v>22.13</v>
      </c>
      <c r="DO123" s="228">
        <v>-1.28</v>
      </c>
      <c r="DP123" s="228">
        <v>-1.28</v>
      </c>
      <c r="DQ123" s="228">
        <v>0.72</v>
      </c>
      <c r="DR123" s="228">
        <v>0.79</v>
      </c>
      <c r="DS123" s="228">
        <v>-7.0000000000000007E-2</v>
      </c>
      <c r="DT123" s="229">
        <v>-8.8599999999999998E-2</v>
      </c>
      <c r="DU123" s="231">
        <v>3800</v>
      </c>
      <c r="DV123" s="231">
        <v>3700</v>
      </c>
      <c r="DW123" s="228">
        <v>0.34</v>
      </c>
      <c r="DX123" s="228">
        <v>0.46</v>
      </c>
      <c r="DY123" s="228">
        <v>-0.12</v>
      </c>
      <c r="DZ123" s="229">
        <v>-0.26090000000000002</v>
      </c>
      <c r="EA123" s="229">
        <v>1.2200000000000001E-2</v>
      </c>
      <c r="EB123" s="230">
        <v>201800</v>
      </c>
      <c r="EC123" s="229">
        <v>5.5999999999999999E-3</v>
      </c>
      <c r="ED123" s="229">
        <v>1.2200000000000001E-2</v>
      </c>
      <c r="EE123" s="228">
        <v>20.63</v>
      </c>
      <c r="EF123" s="229">
        <v>5.4999999999999997E-3</v>
      </c>
      <c r="EG123" s="230">
        <v>589442</v>
      </c>
      <c r="EH123" s="230">
        <v>1245956</v>
      </c>
      <c r="EI123" s="229">
        <v>-0.52690000000000003</v>
      </c>
      <c r="EJ123" s="229">
        <v>0.34599999999999997</v>
      </c>
      <c r="EK123" s="231">
        <v>4736.8599999999997</v>
      </c>
      <c r="EL123" s="231">
        <v>1501.72</v>
      </c>
      <c r="EM123" s="228">
        <v>665.94</v>
      </c>
      <c r="EN123" s="228">
        <v>276.49</v>
      </c>
      <c r="EO123" s="231">
        <v>6904.53</v>
      </c>
      <c r="EP123" s="231">
        <v>4562.8900000000003</v>
      </c>
      <c r="EQ123" s="231">
        <v>2341.63</v>
      </c>
      <c r="ER123" s="229">
        <v>0.51319999999999999</v>
      </c>
      <c r="ES123" s="228">
        <v>971.4</v>
      </c>
      <c r="ET123" s="228">
        <v>649.38</v>
      </c>
      <c r="EU123" s="231">
        <v>6890.94</v>
      </c>
      <c r="EV123" s="231">
        <v>95452027</v>
      </c>
      <c r="EW123" s="231">
        <v>8511.7199999999993</v>
      </c>
      <c r="EX123" s="231">
        <v>8163.8</v>
      </c>
      <c r="EY123" s="228">
        <v>347.92</v>
      </c>
      <c r="EZ123" s="229">
        <v>4.2599999999999999E-2</v>
      </c>
      <c r="FA123" s="229">
        <v>0.23630000000000001</v>
      </c>
      <c r="FB123" s="227" t="s">
        <v>556</v>
      </c>
      <c r="FC123">
        <f t="shared" si="1"/>
        <v>84</v>
      </c>
    </row>
    <row r="124" spans="1:159" ht="17.25" thickBot="1" x14ac:dyDescent="0.3">
      <c r="A124" s="226">
        <v>46023</v>
      </c>
      <c r="B124" s="227" t="s">
        <v>175</v>
      </c>
      <c r="C124" s="227" t="s">
        <v>253</v>
      </c>
      <c r="D124" s="228">
        <v>3000</v>
      </c>
      <c r="E124" s="228">
        <v>26</v>
      </c>
      <c r="F124" s="228">
        <v>315.64999999999998</v>
      </c>
      <c r="G124" s="228">
        <v>310.3</v>
      </c>
      <c r="H124" s="228">
        <v>5.35</v>
      </c>
      <c r="I124" s="229">
        <v>1.72E-2</v>
      </c>
      <c r="J124" s="228">
        <v>314.10000000000002</v>
      </c>
      <c r="K124" s="228">
        <v>308.55</v>
      </c>
      <c r="L124" s="228">
        <v>5.55</v>
      </c>
      <c r="M124" s="229">
        <v>1.7999999999999999E-2</v>
      </c>
      <c r="N124" s="228">
        <v>315.64999999999998</v>
      </c>
      <c r="O124" s="228">
        <v>310.3</v>
      </c>
      <c r="P124" s="228">
        <v>5.35</v>
      </c>
      <c r="Q124" s="229">
        <v>1.72E-2</v>
      </c>
      <c r="R124" s="228">
        <v>316.89999999999998</v>
      </c>
      <c r="S124" s="228">
        <v>311.14999999999998</v>
      </c>
      <c r="T124" s="228">
        <v>5.75</v>
      </c>
      <c r="U124" s="229">
        <v>1.8499999999999999E-2</v>
      </c>
      <c r="V124" s="228">
        <v>315.10000000000002</v>
      </c>
      <c r="W124" s="228">
        <v>313</v>
      </c>
      <c r="X124" s="228">
        <v>2.1</v>
      </c>
      <c r="Y124" s="229">
        <v>6.7000000000000002E-3</v>
      </c>
      <c r="Z124" s="228">
        <v>1.55</v>
      </c>
      <c r="AA124" s="228">
        <v>1.75</v>
      </c>
      <c r="AB124" s="228">
        <v>-0.2</v>
      </c>
      <c r="AC124" s="229">
        <v>4.8999999999999998E-3</v>
      </c>
      <c r="AD124" s="228">
        <v>1.55</v>
      </c>
      <c r="AE124" s="228">
        <v>1.75</v>
      </c>
      <c r="AF124" s="228">
        <v>-0.2</v>
      </c>
      <c r="AG124" s="229">
        <v>4.8999999999999998E-3</v>
      </c>
      <c r="AH124" s="228">
        <v>2.8</v>
      </c>
      <c r="AI124" s="228">
        <v>2.6</v>
      </c>
      <c r="AJ124" s="228">
        <v>0.2</v>
      </c>
      <c r="AK124" s="229">
        <v>8.8999999999999999E-3</v>
      </c>
      <c r="AL124" s="228">
        <v>1</v>
      </c>
      <c r="AM124" s="228">
        <v>4.45</v>
      </c>
      <c r="AN124" s="228">
        <v>-3.45</v>
      </c>
      <c r="AO124" s="229">
        <v>3.2000000000000002E-3</v>
      </c>
      <c r="AP124" s="228">
        <v>313.02999999999997</v>
      </c>
      <c r="AQ124" s="228">
        <v>314.89</v>
      </c>
      <c r="AR124" s="228">
        <v>0</v>
      </c>
      <c r="AS124" s="228">
        <v>195</v>
      </c>
      <c r="AT124" s="228">
        <v>250</v>
      </c>
      <c r="AU124" s="228">
        <v>-55</v>
      </c>
      <c r="AV124" s="229">
        <v>-0.2198</v>
      </c>
      <c r="AW124" s="228">
        <v>187</v>
      </c>
      <c r="AX124" s="228">
        <v>242</v>
      </c>
      <c r="AY124" s="228">
        <v>-55</v>
      </c>
      <c r="AZ124" s="229">
        <v>-0.2273</v>
      </c>
      <c r="BA124" s="228">
        <v>8</v>
      </c>
      <c r="BB124" s="228">
        <v>7</v>
      </c>
      <c r="BC124" s="228">
        <v>0</v>
      </c>
      <c r="BD124" s="229">
        <v>5.0599999999999999E-2</v>
      </c>
      <c r="BE124" s="228">
        <v>0</v>
      </c>
      <c r="BF124" s="228">
        <v>0</v>
      </c>
      <c r="BG124" s="228">
        <v>0</v>
      </c>
      <c r="BH124" s="229">
        <v>-0.75</v>
      </c>
      <c r="BI124" s="228">
        <v>418</v>
      </c>
      <c r="BJ124" s="228">
        <v>361</v>
      </c>
      <c r="BK124" s="228">
        <v>57</v>
      </c>
      <c r="BL124" s="229">
        <v>0.1578</v>
      </c>
      <c r="BM124" s="228">
        <v>159</v>
      </c>
      <c r="BN124" s="228">
        <v>200</v>
      </c>
      <c r="BO124" s="228">
        <v>-41</v>
      </c>
      <c r="BP124" s="229">
        <v>-0.20469999999999999</v>
      </c>
      <c r="BQ124" s="228">
        <v>772</v>
      </c>
      <c r="BR124" s="228">
        <v>811</v>
      </c>
      <c r="BS124" s="228">
        <v>-39</v>
      </c>
      <c r="BT124" s="229">
        <v>-4.8000000000000001E-2</v>
      </c>
      <c r="BU124" s="230">
        <v>3892221</v>
      </c>
      <c r="BV124" s="230">
        <v>2500020</v>
      </c>
      <c r="BW124" s="230">
        <v>1392201</v>
      </c>
      <c r="BX124" s="229">
        <v>0.55689999999999995</v>
      </c>
      <c r="BY124" s="230">
        <v>1230</v>
      </c>
      <c r="BZ124" s="230">
        <v>1245</v>
      </c>
      <c r="CA124" s="228">
        <v>-15</v>
      </c>
      <c r="CB124" s="229">
        <v>-1.21E-2</v>
      </c>
      <c r="CC124" s="230">
        <v>1216</v>
      </c>
      <c r="CD124" s="230">
        <v>1232</v>
      </c>
      <c r="CE124" s="228">
        <v>-16</v>
      </c>
      <c r="CF124" s="229">
        <v>-1.2999999999999999E-2</v>
      </c>
      <c r="CG124" s="228">
        <v>13</v>
      </c>
      <c r="CH124" s="228">
        <v>12</v>
      </c>
      <c r="CI124" s="228">
        <v>1</v>
      </c>
      <c r="CJ124" s="229">
        <v>7.6300000000000007E-2</v>
      </c>
      <c r="CK124" s="228">
        <v>0</v>
      </c>
      <c r="CL124" s="228">
        <v>0</v>
      </c>
      <c r="CM124" s="228">
        <v>0</v>
      </c>
      <c r="CN124" s="229">
        <v>0</v>
      </c>
      <c r="CO124" s="228">
        <v>342</v>
      </c>
      <c r="CP124" s="228">
        <v>341</v>
      </c>
      <c r="CQ124" s="228">
        <v>1</v>
      </c>
      <c r="CR124" s="229">
        <v>3.3E-3</v>
      </c>
      <c r="CS124" s="228">
        <v>224</v>
      </c>
      <c r="CT124" s="228">
        <v>194</v>
      </c>
      <c r="CU124" s="228">
        <v>30</v>
      </c>
      <c r="CV124" s="229">
        <v>0.15340000000000001</v>
      </c>
      <c r="CW124" s="230">
        <v>1797</v>
      </c>
      <c r="CX124" s="230">
        <v>1781</v>
      </c>
      <c r="CY124" s="228">
        <v>16</v>
      </c>
      <c r="CZ124" s="229">
        <v>8.8999999999999999E-3</v>
      </c>
      <c r="DA124" s="228">
        <v>28.29</v>
      </c>
      <c r="DB124" s="228">
        <v>28.83</v>
      </c>
      <c r="DC124" s="228">
        <v>-0.54</v>
      </c>
      <c r="DD124" s="228">
        <v>-0.54</v>
      </c>
      <c r="DE124" s="228">
        <v>40.75</v>
      </c>
      <c r="DF124" s="228">
        <v>40.78</v>
      </c>
      <c r="DG124" s="228">
        <v>-12.46</v>
      </c>
      <c r="DH124" s="228">
        <v>-0.03</v>
      </c>
      <c r="DI124" s="228">
        <v>27.79</v>
      </c>
      <c r="DJ124" s="228">
        <v>28.4</v>
      </c>
      <c r="DK124" s="228">
        <v>-0.61</v>
      </c>
      <c r="DL124" s="228">
        <v>-0.61</v>
      </c>
      <c r="DM124" s="228">
        <v>29.59</v>
      </c>
      <c r="DN124" s="228">
        <v>29.62</v>
      </c>
      <c r="DO124" s="228">
        <v>-0.03</v>
      </c>
      <c r="DP124" s="228">
        <v>-0.03</v>
      </c>
      <c r="DQ124" s="228">
        <v>0.66</v>
      </c>
      <c r="DR124" s="228">
        <v>0.56999999999999995</v>
      </c>
      <c r="DS124" s="228">
        <v>0.09</v>
      </c>
      <c r="DT124" s="229">
        <v>0.15790000000000001</v>
      </c>
      <c r="DU124" s="228">
        <v>320</v>
      </c>
      <c r="DV124" s="228">
        <v>300</v>
      </c>
      <c r="DW124" s="228">
        <v>0.38</v>
      </c>
      <c r="DX124" s="228">
        <v>0.55000000000000004</v>
      </c>
      <c r="DY124" s="228">
        <v>-0.17</v>
      </c>
      <c r="DZ124" s="229">
        <v>-0.30909999999999999</v>
      </c>
      <c r="EA124" s="229">
        <v>1.11E-2</v>
      </c>
      <c r="EB124" s="230">
        <v>402000</v>
      </c>
      <c r="EC124" s="229">
        <v>4.0000000000000001E-3</v>
      </c>
      <c r="ED124" s="229">
        <v>1.11E-2</v>
      </c>
      <c r="EE124" s="228">
        <v>1.86</v>
      </c>
      <c r="EF124" s="229">
        <v>5.8999999999999999E-3</v>
      </c>
      <c r="EG124" s="230">
        <v>1526533</v>
      </c>
      <c r="EH124" s="230">
        <v>791632</v>
      </c>
      <c r="EI124" s="229">
        <v>0.92830000000000001</v>
      </c>
      <c r="EJ124" s="229">
        <v>0.39219999999999999</v>
      </c>
      <c r="EK124" s="228">
        <v>434.6</v>
      </c>
      <c r="EL124" s="228">
        <v>154.55000000000001</v>
      </c>
      <c r="EM124" s="228">
        <v>193.69</v>
      </c>
      <c r="EN124" s="228">
        <v>70.92</v>
      </c>
      <c r="EO124" s="228">
        <v>782.84</v>
      </c>
      <c r="EP124" s="228">
        <v>814.58</v>
      </c>
      <c r="EQ124" s="228">
        <v>-31.74</v>
      </c>
      <c r="ER124" s="229">
        <v>-3.9E-2</v>
      </c>
      <c r="ES124" s="228">
        <v>347.59</v>
      </c>
      <c r="ET124" s="228">
        <v>210.22</v>
      </c>
      <c r="EU124" s="231">
        <v>1230.05</v>
      </c>
      <c r="EV124" s="231">
        <v>82205057</v>
      </c>
      <c r="EW124" s="231">
        <v>1787.86</v>
      </c>
      <c r="EX124" s="231">
        <v>1751.25</v>
      </c>
      <c r="EY124" s="228">
        <v>36.61</v>
      </c>
      <c r="EZ124" s="229">
        <v>2.0899999999999998E-2</v>
      </c>
      <c r="FA124" s="229">
        <v>0.69240000000000002</v>
      </c>
      <c r="FB124" s="227" t="s">
        <v>556</v>
      </c>
      <c r="FC124">
        <f t="shared" si="1"/>
        <v>14</v>
      </c>
    </row>
    <row r="125" spans="1:159" ht="17.25" thickBot="1" x14ac:dyDescent="0.3">
      <c r="A125" s="226">
        <v>46023</v>
      </c>
      <c r="B125" s="227" t="s">
        <v>170</v>
      </c>
      <c r="C125" s="227" t="s">
        <v>672</v>
      </c>
      <c r="D125" s="228">
        <v>225</v>
      </c>
      <c r="E125" s="228">
        <v>26</v>
      </c>
      <c r="F125" s="231">
        <v>2172.9</v>
      </c>
      <c r="G125" s="231">
        <v>2203.3000000000002</v>
      </c>
      <c r="H125" s="228">
        <v>-30.4</v>
      </c>
      <c r="I125" s="229">
        <v>-1.38E-2</v>
      </c>
      <c r="J125" s="231">
        <v>2164.6</v>
      </c>
      <c r="K125" s="231">
        <v>2196.5</v>
      </c>
      <c r="L125" s="228">
        <v>-31.9</v>
      </c>
      <c r="M125" s="229">
        <v>-1.4500000000000001E-2</v>
      </c>
      <c r="N125" s="231">
        <v>2172.9</v>
      </c>
      <c r="O125" s="231">
        <v>2203.3000000000002</v>
      </c>
      <c r="P125" s="228">
        <v>-30.4</v>
      </c>
      <c r="Q125" s="229">
        <v>-1.38E-2</v>
      </c>
      <c r="R125" s="231">
        <v>2186</v>
      </c>
      <c r="S125" s="231">
        <v>2216.5</v>
      </c>
      <c r="T125" s="228">
        <v>-30.5</v>
      </c>
      <c r="U125" s="229">
        <v>-1.38E-2</v>
      </c>
      <c r="V125" s="231">
        <v>2200.1</v>
      </c>
      <c r="W125" s="231">
        <v>2228.5</v>
      </c>
      <c r="X125" s="228">
        <v>-28.4</v>
      </c>
      <c r="Y125" s="229">
        <v>-1.2699999999999999E-2</v>
      </c>
      <c r="Z125" s="228">
        <v>8.3000000000000007</v>
      </c>
      <c r="AA125" s="228">
        <v>6.8</v>
      </c>
      <c r="AB125" s="228">
        <v>1.5</v>
      </c>
      <c r="AC125" s="229">
        <v>3.8E-3</v>
      </c>
      <c r="AD125" s="228">
        <v>8.3000000000000007</v>
      </c>
      <c r="AE125" s="228">
        <v>6.8</v>
      </c>
      <c r="AF125" s="228">
        <v>1.5</v>
      </c>
      <c r="AG125" s="229">
        <v>3.8E-3</v>
      </c>
      <c r="AH125" s="228">
        <v>21.4</v>
      </c>
      <c r="AI125" s="228">
        <v>20</v>
      </c>
      <c r="AJ125" s="228">
        <v>1.4</v>
      </c>
      <c r="AK125" s="229">
        <v>9.9000000000000008E-3</v>
      </c>
      <c r="AL125" s="228">
        <v>35.5</v>
      </c>
      <c r="AM125" s="228">
        <v>32</v>
      </c>
      <c r="AN125" s="228">
        <v>3.5</v>
      </c>
      <c r="AO125" s="229">
        <v>1.6400000000000001E-2</v>
      </c>
      <c r="AP125" s="231">
        <v>2179.04</v>
      </c>
      <c r="AQ125" s="231">
        <v>2192.64</v>
      </c>
      <c r="AR125" s="228">
        <v>0</v>
      </c>
      <c r="AS125" s="228">
        <v>53</v>
      </c>
      <c r="AT125" s="228">
        <v>102</v>
      </c>
      <c r="AU125" s="228">
        <v>-49</v>
      </c>
      <c r="AV125" s="229">
        <v>-0.48099999999999998</v>
      </c>
      <c r="AW125" s="228">
        <v>49</v>
      </c>
      <c r="AX125" s="228">
        <v>99</v>
      </c>
      <c r="AY125" s="228">
        <v>-49</v>
      </c>
      <c r="AZ125" s="229">
        <v>-0.50149999999999995</v>
      </c>
      <c r="BA125" s="228">
        <v>3</v>
      </c>
      <c r="BB125" s="228">
        <v>3</v>
      </c>
      <c r="BC125" s="228">
        <v>1</v>
      </c>
      <c r="BD125" s="229">
        <v>0.2407</v>
      </c>
      <c r="BE125" s="228">
        <v>0</v>
      </c>
      <c r="BF125" s="228">
        <v>0</v>
      </c>
      <c r="BG125" s="228">
        <v>0</v>
      </c>
      <c r="BH125" s="229">
        <v>-0.1429</v>
      </c>
      <c r="BI125" s="228">
        <v>57</v>
      </c>
      <c r="BJ125" s="228">
        <v>119</v>
      </c>
      <c r="BK125" s="228">
        <v>-62</v>
      </c>
      <c r="BL125" s="229">
        <v>-0.51970000000000005</v>
      </c>
      <c r="BM125" s="228">
        <v>22</v>
      </c>
      <c r="BN125" s="228">
        <v>35</v>
      </c>
      <c r="BO125" s="228">
        <v>-13</v>
      </c>
      <c r="BP125" s="229">
        <v>-0.36880000000000002</v>
      </c>
      <c r="BQ125" s="228">
        <v>132</v>
      </c>
      <c r="BR125" s="228">
        <v>256</v>
      </c>
      <c r="BS125" s="228">
        <v>-124</v>
      </c>
      <c r="BT125" s="229">
        <v>-0.48349999999999999</v>
      </c>
      <c r="BU125" s="230">
        <v>87376</v>
      </c>
      <c r="BV125" s="230">
        <v>224166</v>
      </c>
      <c r="BW125" s="230">
        <v>-136790</v>
      </c>
      <c r="BX125" s="229">
        <v>-0.61019999999999996</v>
      </c>
      <c r="BY125" s="228">
        <v>475</v>
      </c>
      <c r="BZ125" s="228">
        <v>465</v>
      </c>
      <c r="CA125" s="228">
        <v>10</v>
      </c>
      <c r="CB125" s="229">
        <v>2.12E-2</v>
      </c>
      <c r="CC125" s="228">
        <v>464</v>
      </c>
      <c r="CD125" s="228">
        <v>455</v>
      </c>
      <c r="CE125" s="228">
        <v>9</v>
      </c>
      <c r="CF125" s="229">
        <v>1.89E-2</v>
      </c>
      <c r="CG125" s="228">
        <v>11</v>
      </c>
      <c r="CH125" s="228">
        <v>10</v>
      </c>
      <c r="CI125" s="228">
        <v>1</v>
      </c>
      <c r="CJ125" s="229">
        <v>0.1061</v>
      </c>
      <c r="CK125" s="228">
        <v>0</v>
      </c>
      <c r="CL125" s="228">
        <v>0</v>
      </c>
      <c r="CM125" s="228">
        <v>0</v>
      </c>
      <c r="CN125" s="229">
        <v>1.25</v>
      </c>
      <c r="CO125" s="228">
        <v>71</v>
      </c>
      <c r="CP125" s="228">
        <v>63</v>
      </c>
      <c r="CQ125" s="228">
        <v>8</v>
      </c>
      <c r="CR125" s="229">
        <v>0.1326</v>
      </c>
      <c r="CS125" s="228">
        <v>58</v>
      </c>
      <c r="CT125" s="228">
        <v>56</v>
      </c>
      <c r="CU125" s="228">
        <v>2</v>
      </c>
      <c r="CV125" s="229">
        <v>3.1199999999999999E-2</v>
      </c>
      <c r="CW125" s="228">
        <v>605</v>
      </c>
      <c r="CX125" s="228">
        <v>585</v>
      </c>
      <c r="CY125" s="228">
        <v>20</v>
      </c>
      <c r="CZ125" s="229">
        <v>3.4200000000000001E-2</v>
      </c>
      <c r="DA125" s="228">
        <v>23.07</v>
      </c>
      <c r="DB125" s="228">
        <v>23.59</v>
      </c>
      <c r="DC125" s="228">
        <v>-0.52</v>
      </c>
      <c r="DD125" s="228">
        <v>-0.52</v>
      </c>
      <c r="DE125" s="228">
        <v>32.1</v>
      </c>
      <c r="DF125" s="228">
        <v>32.130000000000003</v>
      </c>
      <c r="DG125" s="228">
        <v>-9.0299999999999994</v>
      </c>
      <c r="DH125" s="228">
        <v>-0.03</v>
      </c>
      <c r="DI125" s="228">
        <v>23.41</v>
      </c>
      <c r="DJ125" s="228">
        <v>23.63</v>
      </c>
      <c r="DK125" s="228">
        <v>-0.22</v>
      </c>
      <c r="DL125" s="228">
        <v>-0.22</v>
      </c>
      <c r="DM125" s="228">
        <v>22.19</v>
      </c>
      <c r="DN125" s="228">
        <v>23.42</v>
      </c>
      <c r="DO125" s="228">
        <v>-1.23</v>
      </c>
      <c r="DP125" s="228">
        <v>-1.23</v>
      </c>
      <c r="DQ125" s="228">
        <v>0.82</v>
      </c>
      <c r="DR125" s="228">
        <v>0.9</v>
      </c>
      <c r="DS125" s="228">
        <v>-0.08</v>
      </c>
      <c r="DT125" s="229">
        <v>-8.8900000000000007E-2</v>
      </c>
      <c r="DU125" s="231">
        <v>2200</v>
      </c>
      <c r="DV125" s="231">
        <v>2200</v>
      </c>
      <c r="DW125" s="228">
        <v>0.39</v>
      </c>
      <c r="DX125" s="228">
        <v>0.3</v>
      </c>
      <c r="DY125" s="228">
        <v>0.09</v>
      </c>
      <c r="DZ125" s="229">
        <v>0.3</v>
      </c>
      <c r="EA125" s="229">
        <v>2.35E-2</v>
      </c>
      <c r="EB125" s="230">
        <v>45450</v>
      </c>
      <c r="EC125" s="229">
        <v>6.0000000000000001E-3</v>
      </c>
      <c r="ED125" s="229">
        <v>2.35E-2</v>
      </c>
      <c r="EE125" s="228">
        <v>13.6</v>
      </c>
      <c r="EF125" s="229">
        <v>6.1999999999999998E-3</v>
      </c>
      <c r="EG125" s="230">
        <v>40065</v>
      </c>
      <c r="EH125" s="230">
        <v>134809</v>
      </c>
      <c r="EI125" s="229">
        <v>-0.70279999999999998</v>
      </c>
      <c r="EJ125" s="229">
        <v>0.45850000000000002</v>
      </c>
      <c r="EK125" s="228">
        <v>59.95</v>
      </c>
      <c r="EL125" s="228">
        <v>22.37</v>
      </c>
      <c r="EM125" s="228">
        <v>52.93</v>
      </c>
      <c r="EN125" s="228">
        <v>49.98</v>
      </c>
      <c r="EO125" s="228">
        <v>135.25</v>
      </c>
      <c r="EP125" s="228">
        <v>263.5</v>
      </c>
      <c r="EQ125" s="228">
        <v>-128.26</v>
      </c>
      <c r="ER125" s="229">
        <v>-0.48670000000000002</v>
      </c>
      <c r="ES125" s="228">
        <v>73.849999999999994</v>
      </c>
      <c r="ET125" s="228">
        <v>58.06</v>
      </c>
      <c r="EU125" s="228">
        <v>474.99</v>
      </c>
      <c r="EV125" s="231">
        <v>16919681</v>
      </c>
      <c r="EW125" s="228">
        <v>606.91</v>
      </c>
      <c r="EX125" s="228">
        <v>593.19000000000005</v>
      </c>
      <c r="EY125" s="228">
        <v>13.72</v>
      </c>
      <c r="EZ125" s="229">
        <v>2.3099999999999999E-2</v>
      </c>
      <c r="FA125" s="229">
        <v>0.16439999999999999</v>
      </c>
      <c r="FB125" s="227" t="s">
        <v>567</v>
      </c>
      <c r="FC125">
        <f t="shared" si="1"/>
        <v>11</v>
      </c>
    </row>
    <row r="126" spans="1:159" ht="17.25" thickBot="1" x14ac:dyDescent="0.3">
      <c r="A126" s="226">
        <v>46023</v>
      </c>
      <c r="B126" s="227" t="s">
        <v>168</v>
      </c>
      <c r="C126" s="227" t="s">
        <v>254</v>
      </c>
      <c r="D126" s="228">
        <v>1200</v>
      </c>
      <c r="E126" s="228">
        <v>26</v>
      </c>
      <c r="F126" s="228">
        <v>764.2</v>
      </c>
      <c r="G126" s="228">
        <v>753.5</v>
      </c>
      <c r="H126" s="228">
        <v>10.7</v>
      </c>
      <c r="I126" s="229">
        <v>1.4200000000000001E-2</v>
      </c>
      <c r="J126" s="228">
        <v>760.45</v>
      </c>
      <c r="K126" s="228">
        <v>750.6</v>
      </c>
      <c r="L126" s="228">
        <v>9.85</v>
      </c>
      <c r="M126" s="229">
        <v>1.3100000000000001E-2</v>
      </c>
      <c r="N126" s="228">
        <v>764.2</v>
      </c>
      <c r="O126" s="228">
        <v>753.5</v>
      </c>
      <c r="P126" s="228">
        <v>10.7</v>
      </c>
      <c r="Q126" s="229">
        <v>1.4200000000000001E-2</v>
      </c>
      <c r="R126" s="228">
        <v>764.8</v>
      </c>
      <c r="S126" s="228">
        <v>754.8</v>
      </c>
      <c r="T126" s="228">
        <v>10</v>
      </c>
      <c r="U126" s="229">
        <v>1.32E-2</v>
      </c>
      <c r="V126" s="228">
        <v>763.6</v>
      </c>
      <c r="W126" s="228">
        <v>0</v>
      </c>
      <c r="X126" s="228">
        <v>763.6</v>
      </c>
      <c r="Y126" s="229">
        <v>0</v>
      </c>
      <c r="Z126" s="228">
        <v>3.75</v>
      </c>
      <c r="AA126" s="228">
        <v>2.9</v>
      </c>
      <c r="AB126" s="228">
        <v>0.85</v>
      </c>
      <c r="AC126" s="229">
        <v>4.8999999999999998E-3</v>
      </c>
      <c r="AD126" s="228">
        <v>3.75</v>
      </c>
      <c r="AE126" s="228">
        <v>2.9</v>
      </c>
      <c r="AF126" s="228">
        <v>0.85</v>
      </c>
      <c r="AG126" s="229">
        <v>4.8999999999999998E-3</v>
      </c>
      <c r="AH126" s="228">
        <v>4.3499999999999996</v>
      </c>
      <c r="AI126" s="228">
        <v>4.2</v>
      </c>
      <c r="AJ126" s="228">
        <v>0.15</v>
      </c>
      <c r="AK126" s="229">
        <v>5.7000000000000002E-3</v>
      </c>
      <c r="AL126" s="228">
        <v>3.15</v>
      </c>
      <c r="AM126" s="228">
        <v>0</v>
      </c>
      <c r="AN126" s="228">
        <v>3.15</v>
      </c>
      <c r="AO126" s="229">
        <v>4.1000000000000003E-3</v>
      </c>
      <c r="AP126" s="228">
        <v>757.99</v>
      </c>
      <c r="AQ126" s="228">
        <v>759.22</v>
      </c>
      <c r="AR126" s="228">
        <v>0</v>
      </c>
      <c r="AS126" s="228">
        <v>170</v>
      </c>
      <c r="AT126" s="228">
        <v>160</v>
      </c>
      <c r="AU126" s="228">
        <v>10</v>
      </c>
      <c r="AV126" s="229">
        <v>6.3799999999999996E-2</v>
      </c>
      <c r="AW126" s="228">
        <v>166</v>
      </c>
      <c r="AX126" s="228">
        <v>157</v>
      </c>
      <c r="AY126" s="228">
        <v>8</v>
      </c>
      <c r="AZ126" s="229">
        <v>5.2499999999999998E-2</v>
      </c>
      <c r="BA126" s="228">
        <v>4</v>
      </c>
      <c r="BB126" s="228">
        <v>2</v>
      </c>
      <c r="BC126" s="228">
        <v>2</v>
      </c>
      <c r="BD126" s="229">
        <v>0.76</v>
      </c>
      <c r="BE126" s="228">
        <v>0</v>
      </c>
      <c r="BF126" s="228">
        <v>0</v>
      </c>
      <c r="BG126" s="228">
        <v>0</v>
      </c>
      <c r="BH126" s="229">
        <v>0</v>
      </c>
      <c r="BI126" s="228">
        <v>354</v>
      </c>
      <c r="BJ126" s="228">
        <v>264</v>
      </c>
      <c r="BK126" s="228">
        <v>90</v>
      </c>
      <c r="BL126" s="229">
        <v>0.34060000000000001</v>
      </c>
      <c r="BM126" s="228">
        <v>149</v>
      </c>
      <c r="BN126" s="228">
        <v>87</v>
      </c>
      <c r="BO126" s="228">
        <v>62</v>
      </c>
      <c r="BP126" s="229">
        <v>0.71440000000000003</v>
      </c>
      <c r="BQ126" s="228">
        <v>673</v>
      </c>
      <c r="BR126" s="228">
        <v>511</v>
      </c>
      <c r="BS126" s="228">
        <v>162</v>
      </c>
      <c r="BT126" s="229">
        <v>0.31780000000000003</v>
      </c>
      <c r="BU126" s="230">
        <v>722590</v>
      </c>
      <c r="BV126" s="230">
        <v>586661</v>
      </c>
      <c r="BW126" s="230">
        <v>135929</v>
      </c>
      <c r="BX126" s="229">
        <v>0.23169999999999999</v>
      </c>
      <c r="BY126" s="230">
        <v>2534</v>
      </c>
      <c r="BZ126" s="230">
        <v>2512</v>
      </c>
      <c r="CA126" s="228">
        <v>21</v>
      </c>
      <c r="CB126" s="229">
        <v>8.5000000000000006E-3</v>
      </c>
      <c r="CC126" s="230">
        <v>2529</v>
      </c>
      <c r="CD126" s="230">
        <v>2507</v>
      </c>
      <c r="CE126" s="228">
        <v>22</v>
      </c>
      <c r="CF126" s="229">
        <v>8.6E-3</v>
      </c>
      <c r="CG126" s="228">
        <v>5</v>
      </c>
      <c r="CH126" s="228">
        <v>5</v>
      </c>
      <c r="CI126" s="228">
        <v>0</v>
      </c>
      <c r="CJ126" s="229">
        <v>-7.1400000000000005E-2</v>
      </c>
      <c r="CK126" s="228">
        <v>0</v>
      </c>
      <c r="CL126" s="228">
        <v>0</v>
      </c>
      <c r="CM126" s="228">
        <v>0</v>
      </c>
      <c r="CN126" s="229">
        <v>0</v>
      </c>
      <c r="CO126" s="228">
        <v>237</v>
      </c>
      <c r="CP126" s="228">
        <v>191</v>
      </c>
      <c r="CQ126" s="228">
        <v>46</v>
      </c>
      <c r="CR126" s="229">
        <v>0.2392</v>
      </c>
      <c r="CS126" s="228">
        <v>164</v>
      </c>
      <c r="CT126" s="228">
        <v>111</v>
      </c>
      <c r="CU126" s="228">
        <v>53</v>
      </c>
      <c r="CV126" s="229">
        <v>0.47970000000000002</v>
      </c>
      <c r="CW126" s="230">
        <v>2934</v>
      </c>
      <c r="CX126" s="230">
        <v>2813</v>
      </c>
      <c r="CY126" s="228">
        <v>120</v>
      </c>
      <c r="CZ126" s="229">
        <v>4.2700000000000002E-2</v>
      </c>
      <c r="DA126" s="228">
        <v>19.59</v>
      </c>
      <c r="DB126" s="228">
        <v>19.3</v>
      </c>
      <c r="DC126" s="228">
        <v>0.28999999999999998</v>
      </c>
      <c r="DD126" s="228">
        <v>0.28999999999999998</v>
      </c>
      <c r="DE126" s="228">
        <v>24.6</v>
      </c>
      <c r="DF126" s="228">
        <v>24.6</v>
      </c>
      <c r="DG126" s="228">
        <v>-5.01</v>
      </c>
      <c r="DH126" s="228">
        <v>0</v>
      </c>
      <c r="DI126" s="228">
        <v>19.36</v>
      </c>
      <c r="DJ126" s="228">
        <v>19.25</v>
      </c>
      <c r="DK126" s="228">
        <v>0.11</v>
      </c>
      <c r="DL126" s="228">
        <v>0.11</v>
      </c>
      <c r="DM126" s="228">
        <v>20.149999999999999</v>
      </c>
      <c r="DN126" s="228">
        <v>19.440000000000001</v>
      </c>
      <c r="DO126" s="228">
        <v>0.71</v>
      </c>
      <c r="DP126" s="228">
        <v>0.71</v>
      </c>
      <c r="DQ126" s="228">
        <v>0.69</v>
      </c>
      <c r="DR126" s="228">
        <v>0.57999999999999996</v>
      </c>
      <c r="DS126" s="228">
        <v>0.11</v>
      </c>
      <c r="DT126" s="229">
        <v>0.18970000000000001</v>
      </c>
      <c r="DU126" s="228">
        <v>820</v>
      </c>
      <c r="DV126" s="228">
        <v>750</v>
      </c>
      <c r="DW126" s="228">
        <v>0.42</v>
      </c>
      <c r="DX126" s="228">
        <v>0.33</v>
      </c>
      <c r="DY126" s="228">
        <v>0.09</v>
      </c>
      <c r="DZ126" s="229">
        <v>0.2727</v>
      </c>
      <c r="EA126" s="229">
        <v>2E-3</v>
      </c>
      <c r="EB126" s="230">
        <v>67200</v>
      </c>
      <c r="EC126" s="229">
        <v>8.0000000000000004E-4</v>
      </c>
      <c r="ED126" s="229">
        <v>2E-3</v>
      </c>
      <c r="EE126" s="228">
        <v>1.23</v>
      </c>
      <c r="EF126" s="229">
        <v>1.6000000000000001E-3</v>
      </c>
      <c r="EG126" s="230">
        <v>321973</v>
      </c>
      <c r="EH126" s="230">
        <v>349565</v>
      </c>
      <c r="EI126" s="229">
        <v>-7.8899999999999998E-2</v>
      </c>
      <c r="EJ126" s="229">
        <v>0.4456</v>
      </c>
      <c r="EK126" s="228">
        <v>365.14</v>
      </c>
      <c r="EL126" s="228">
        <v>143.08000000000001</v>
      </c>
      <c r="EM126" s="228">
        <v>168.37</v>
      </c>
      <c r="EN126" s="228">
        <v>87.65</v>
      </c>
      <c r="EO126" s="228">
        <v>676.59</v>
      </c>
      <c r="EP126" s="228">
        <v>509.98</v>
      </c>
      <c r="EQ126" s="228">
        <v>166.62</v>
      </c>
      <c r="ER126" s="229">
        <v>0.32669999999999999</v>
      </c>
      <c r="ES126" s="228">
        <v>242.39</v>
      </c>
      <c r="ET126" s="228">
        <v>154.69999999999999</v>
      </c>
      <c r="EU126" s="231">
        <v>2533.5100000000002</v>
      </c>
      <c r="EV126" s="231">
        <v>79442217</v>
      </c>
      <c r="EW126" s="231">
        <v>2930.6</v>
      </c>
      <c r="EX126" s="231">
        <v>2774.65</v>
      </c>
      <c r="EY126" s="228">
        <v>155.94999999999999</v>
      </c>
      <c r="EZ126" s="229">
        <v>5.62E-2</v>
      </c>
      <c r="FA126" s="229">
        <v>0.48320000000000002</v>
      </c>
      <c r="FB126" s="227" t="s">
        <v>555</v>
      </c>
      <c r="FC126">
        <f t="shared" si="1"/>
        <v>5</v>
      </c>
    </row>
    <row r="127" spans="1:159" ht="17.25" thickBot="1" x14ac:dyDescent="0.3">
      <c r="A127" s="226">
        <v>46023</v>
      </c>
      <c r="B127" s="227" t="s">
        <v>162</v>
      </c>
      <c r="C127" s="227" t="s">
        <v>255</v>
      </c>
      <c r="D127" s="228">
        <v>50</v>
      </c>
      <c r="E127" s="228">
        <v>26</v>
      </c>
      <c r="F127" s="231">
        <v>16792</v>
      </c>
      <c r="G127" s="231">
        <v>16808</v>
      </c>
      <c r="H127" s="228">
        <v>-16</v>
      </c>
      <c r="I127" s="229">
        <v>-1E-3</v>
      </c>
      <c r="J127" s="231">
        <v>16708</v>
      </c>
      <c r="K127" s="231">
        <v>16697</v>
      </c>
      <c r="L127" s="228">
        <v>11</v>
      </c>
      <c r="M127" s="229">
        <v>6.9999999999999999E-4</v>
      </c>
      <c r="N127" s="231">
        <v>16792</v>
      </c>
      <c r="O127" s="231">
        <v>16808</v>
      </c>
      <c r="P127" s="228">
        <v>-16</v>
      </c>
      <c r="Q127" s="229">
        <v>-1E-3</v>
      </c>
      <c r="R127" s="231">
        <v>16887</v>
      </c>
      <c r="S127" s="231">
        <v>16912</v>
      </c>
      <c r="T127" s="228">
        <v>-25</v>
      </c>
      <c r="U127" s="229">
        <v>-1.5E-3</v>
      </c>
      <c r="V127" s="231">
        <v>16985</v>
      </c>
      <c r="W127" s="231">
        <v>17001</v>
      </c>
      <c r="X127" s="228">
        <v>-16</v>
      </c>
      <c r="Y127" s="229">
        <v>-8.9999999999999998E-4</v>
      </c>
      <c r="Z127" s="228">
        <v>84</v>
      </c>
      <c r="AA127" s="228">
        <v>111</v>
      </c>
      <c r="AB127" s="228">
        <v>-27</v>
      </c>
      <c r="AC127" s="229">
        <v>5.0000000000000001E-3</v>
      </c>
      <c r="AD127" s="228">
        <v>84</v>
      </c>
      <c r="AE127" s="228">
        <v>111</v>
      </c>
      <c r="AF127" s="228">
        <v>-27</v>
      </c>
      <c r="AG127" s="229">
        <v>5.0000000000000001E-3</v>
      </c>
      <c r="AH127" s="228">
        <v>179</v>
      </c>
      <c r="AI127" s="228">
        <v>215</v>
      </c>
      <c r="AJ127" s="228">
        <v>-36</v>
      </c>
      <c r="AK127" s="229">
        <v>1.0699999999999999E-2</v>
      </c>
      <c r="AL127" s="228">
        <v>277</v>
      </c>
      <c r="AM127" s="228">
        <v>304</v>
      </c>
      <c r="AN127" s="228">
        <v>-27</v>
      </c>
      <c r="AO127" s="229">
        <v>1.66E-2</v>
      </c>
      <c r="AP127" s="231">
        <v>16789.599999999999</v>
      </c>
      <c r="AQ127" s="231">
        <v>16890.39</v>
      </c>
      <c r="AR127" s="228">
        <v>0</v>
      </c>
      <c r="AS127" s="228">
        <v>517</v>
      </c>
      <c r="AT127" s="228">
        <v>532</v>
      </c>
      <c r="AU127" s="228">
        <v>-15</v>
      </c>
      <c r="AV127" s="229">
        <v>-2.81E-2</v>
      </c>
      <c r="AW127" s="228">
        <v>503</v>
      </c>
      <c r="AX127" s="228">
        <v>521</v>
      </c>
      <c r="AY127" s="228">
        <v>-18</v>
      </c>
      <c r="AZ127" s="229">
        <v>-3.3700000000000001E-2</v>
      </c>
      <c r="BA127" s="228">
        <v>11</v>
      </c>
      <c r="BB127" s="228">
        <v>9</v>
      </c>
      <c r="BC127" s="228">
        <v>2</v>
      </c>
      <c r="BD127" s="229">
        <v>0.2404</v>
      </c>
      <c r="BE127" s="228">
        <v>3</v>
      </c>
      <c r="BF127" s="228">
        <v>2</v>
      </c>
      <c r="BG127" s="228">
        <v>1</v>
      </c>
      <c r="BH127" s="229">
        <v>0.2069</v>
      </c>
      <c r="BI127" s="230">
        <v>3042</v>
      </c>
      <c r="BJ127" s="230">
        <v>3029</v>
      </c>
      <c r="BK127" s="228">
        <v>13</v>
      </c>
      <c r="BL127" s="229">
        <v>4.4000000000000003E-3</v>
      </c>
      <c r="BM127" s="230">
        <v>2066</v>
      </c>
      <c r="BN127" s="230">
        <v>1943</v>
      </c>
      <c r="BO127" s="228">
        <v>122</v>
      </c>
      <c r="BP127" s="229">
        <v>6.3E-2</v>
      </c>
      <c r="BQ127" s="230">
        <v>5625</v>
      </c>
      <c r="BR127" s="230">
        <v>5504</v>
      </c>
      <c r="BS127" s="228">
        <v>121</v>
      </c>
      <c r="BT127" s="229">
        <v>2.1999999999999999E-2</v>
      </c>
      <c r="BU127" s="230">
        <v>180130</v>
      </c>
      <c r="BV127" s="230">
        <v>321922</v>
      </c>
      <c r="BW127" s="230">
        <v>-141792</v>
      </c>
      <c r="BX127" s="229">
        <v>-0.4405</v>
      </c>
      <c r="BY127" s="230">
        <v>4927</v>
      </c>
      <c r="BZ127" s="230">
        <v>4953</v>
      </c>
      <c r="CA127" s="228">
        <v>-26</v>
      </c>
      <c r="CB127" s="229">
        <v>-5.3E-3</v>
      </c>
      <c r="CC127" s="230">
        <v>4866</v>
      </c>
      <c r="CD127" s="230">
        <v>4897</v>
      </c>
      <c r="CE127" s="228">
        <v>-31</v>
      </c>
      <c r="CF127" s="229">
        <v>-6.1999999999999998E-3</v>
      </c>
      <c r="CG127" s="228">
        <v>57</v>
      </c>
      <c r="CH127" s="228">
        <v>55</v>
      </c>
      <c r="CI127" s="228">
        <v>2</v>
      </c>
      <c r="CJ127" s="229">
        <v>3.95E-2</v>
      </c>
      <c r="CK127" s="228">
        <v>3</v>
      </c>
      <c r="CL127" s="228">
        <v>1</v>
      </c>
      <c r="CM127" s="228">
        <v>2</v>
      </c>
      <c r="CN127" s="229">
        <v>1.5333000000000001</v>
      </c>
      <c r="CO127" s="230">
        <v>1308</v>
      </c>
      <c r="CP127" s="230">
        <v>1096</v>
      </c>
      <c r="CQ127" s="228">
        <v>212</v>
      </c>
      <c r="CR127" s="229">
        <v>0.19389999999999999</v>
      </c>
      <c r="CS127" s="230">
        <v>1192</v>
      </c>
      <c r="CT127" s="230">
        <v>1024</v>
      </c>
      <c r="CU127" s="228">
        <v>169</v>
      </c>
      <c r="CV127" s="229">
        <v>0.16470000000000001</v>
      </c>
      <c r="CW127" s="230">
        <v>7427</v>
      </c>
      <c r="CX127" s="230">
        <v>7073</v>
      </c>
      <c r="CY127" s="228">
        <v>355</v>
      </c>
      <c r="CZ127" s="229">
        <v>5.0099999999999999E-2</v>
      </c>
      <c r="DA127" s="228">
        <v>16.95</v>
      </c>
      <c r="DB127" s="228">
        <v>17.989999999999998</v>
      </c>
      <c r="DC127" s="228">
        <v>-1.04</v>
      </c>
      <c r="DD127" s="228">
        <v>-1.04</v>
      </c>
      <c r="DE127" s="228">
        <v>24.15</v>
      </c>
      <c r="DF127" s="228">
        <v>24.21</v>
      </c>
      <c r="DG127" s="228">
        <v>-7.2</v>
      </c>
      <c r="DH127" s="228">
        <v>-0.06</v>
      </c>
      <c r="DI127" s="228">
        <v>16.57</v>
      </c>
      <c r="DJ127" s="228">
        <v>17.37</v>
      </c>
      <c r="DK127" s="228">
        <v>-0.8</v>
      </c>
      <c r="DL127" s="228">
        <v>-0.8</v>
      </c>
      <c r="DM127" s="228">
        <v>17.510000000000002</v>
      </c>
      <c r="DN127" s="228">
        <v>18.95</v>
      </c>
      <c r="DO127" s="228">
        <v>-1.44</v>
      </c>
      <c r="DP127" s="228">
        <v>-1.44</v>
      </c>
      <c r="DQ127" s="228">
        <v>0.91</v>
      </c>
      <c r="DR127" s="228">
        <v>0.93</v>
      </c>
      <c r="DS127" s="228">
        <v>-0.02</v>
      </c>
      <c r="DT127" s="229">
        <v>-2.1499999999999998E-2</v>
      </c>
      <c r="DU127" s="231">
        <v>17000</v>
      </c>
      <c r="DV127" s="231">
        <v>16000</v>
      </c>
      <c r="DW127" s="228">
        <v>0.68</v>
      </c>
      <c r="DX127" s="228">
        <v>0.64</v>
      </c>
      <c r="DY127" s="228">
        <v>0.04</v>
      </c>
      <c r="DZ127" s="229">
        <v>6.25E-2</v>
      </c>
      <c r="EA127" s="229">
        <v>1.23E-2</v>
      </c>
      <c r="EB127" s="230">
        <v>33650</v>
      </c>
      <c r="EC127" s="229">
        <v>5.7000000000000002E-3</v>
      </c>
      <c r="ED127" s="229">
        <v>1.23E-2</v>
      </c>
      <c r="EE127" s="228">
        <v>100.79</v>
      </c>
      <c r="EF127" s="229">
        <v>6.0000000000000001E-3</v>
      </c>
      <c r="EG127" s="230">
        <v>80514</v>
      </c>
      <c r="EH127" s="230">
        <v>199463</v>
      </c>
      <c r="EI127" s="229">
        <v>-0.59630000000000005</v>
      </c>
      <c r="EJ127" s="229">
        <v>0.44700000000000001</v>
      </c>
      <c r="EK127" s="231">
        <v>3145.56</v>
      </c>
      <c r="EL127" s="231">
        <v>2034.33</v>
      </c>
      <c r="EM127" s="228">
        <v>516.97</v>
      </c>
      <c r="EN127" s="228">
        <v>252.98</v>
      </c>
      <c r="EO127" s="231">
        <v>5696.86</v>
      </c>
      <c r="EP127" s="231">
        <v>5560.94</v>
      </c>
      <c r="EQ127" s="228">
        <v>135.91999999999999</v>
      </c>
      <c r="ER127" s="229">
        <v>2.4400000000000002E-2</v>
      </c>
      <c r="ES127" s="231">
        <v>1338.33</v>
      </c>
      <c r="ET127" s="231">
        <v>1137.18</v>
      </c>
      <c r="EU127" s="231">
        <v>4927.05</v>
      </c>
      <c r="EV127" s="231">
        <v>17687048</v>
      </c>
      <c r="EW127" s="231">
        <v>7402.55</v>
      </c>
      <c r="EX127" s="231">
        <v>7052.41</v>
      </c>
      <c r="EY127" s="228">
        <v>350.14</v>
      </c>
      <c r="EZ127" s="229">
        <v>4.9599999999999998E-2</v>
      </c>
      <c r="FA127" s="229">
        <v>0.25009999999999999</v>
      </c>
      <c r="FB127" s="227" t="s">
        <v>568</v>
      </c>
      <c r="FC127">
        <f t="shared" si="1"/>
        <v>61</v>
      </c>
    </row>
    <row r="128" spans="1:159" ht="17.25" thickBot="1" x14ac:dyDescent="0.3">
      <c r="A128" s="226">
        <v>46023</v>
      </c>
      <c r="B128" s="227" t="s">
        <v>170</v>
      </c>
      <c r="C128" s="227" t="s">
        <v>603</v>
      </c>
      <c r="D128" s="228">
        <v>525</v>
      </c>
      <c r="E128" s="228">
        <v>26</v>
      </c>
      <c r="F128" s="231">
        <v>1053.8</v>
      </c>
      <c r="G128" s="231">
        <v>1050.7</v>
      </c>
      <c r="H128" s="228">
        <v>3.1</v>
      </c>
      <c r="I128" s="229">
        <v>3.0000000000000001E-3</v>
      </c>
      <c r="J128" s="231">
        <v>1049.4000000000001</v>
      </c>
      <c r="K128" s="231">
        <v>1045.0999999999999</v>
      </c>
      <c r="L128" s="228">
        <v>4.3</v>
      </c>
      <c r="M128" s="229">
        <v>4.1000000000000003E-3</v>
      </c>
      <c r="N128" s="231">
        <v>1053.8</v>
      </c>
      <c r="O128" s="231">
        <v>1050.7</v>
      </c>
      <c r="P128" s="228">
        <v>3.1</v>
      </c>
      <c r="Q128" s="229">
        <v>3.0000000000000001E-3</v>
      </c>
      <c r="R128" s="231">
        <v>1058.9000000000001</v>
      </c>
      <c r="S128" s="231">
        <v>1056.5999999999999</v>
      </c>
      <c r="T128" s="228">
        <v>2.2999999999999998</v>
      </c>
      <c r="U128" s="229">
        <v>2.2000000000000001E-3</v>
      </c>
      <c r="V128" s="231">
        <v>1059.5999999999999</v>
      </c>
      <c r="W128" s="231">
        <v>1064.3</v>
      </c>
      <c r="X128" s="228">
        <v>-4.7</v>
      </c>
      <c r="Y128" s="229">
        <v>-4.4000000000000003E-3</v>
      </c>
      <c r="Z128" s="228">
        <v>4.4000000000000004</v>
      </c>
      <c r="AA128" s="228">
        <v>5.6</v>
      </c>
      <c r="AB128" s="228">
        <v>-1.2</v>
      </c>
      <c r="AC128" s="229">
        <v>4.1999999999999997E-3</v>
      </c>
      <c r="AD128" s="228">
        <v>4.4000000000000004</v>
      </c>
      <c r="AE128" s="228">
        <v>5.6</v>
      </c>
      <c r="AF128" s="228">
        <v>-1.2</v>
      </c>
      <c r="AG128" s="229">
        <v>4.1999999999999997E-3</v>
      </c>
      <c r="AH128" s="228">
        <v>9.5</v>
      </c>
      <c r="AI128" s="228">
        <v>11.5</v>
      </c>
      <c r="AJ128" s="228">
        <v>-2</v>
      </c>
      <c r="AK128" s="229">
        <v>9.1000000000000004E-3</v>
      </c>
      <c r="AL128" s="228">
        <v>10.199999999999999</v>
      </c>
      <c r="AM128" s="228">
        <v>19.2</v>
      </c>
      <c r="AN128" s="228">
        <v>-9</v>
      </c>
      <c r="AO128" s="229">
        <v>9.7000000000000003E-3</v>
      </c>
      <c r="AP128" s="231">
        <v>1051.99</v>
      </c>
      <c r="AQ128" s="231">
        <v>1057.83</v>
      </c>
      <c r="AR128" s="228">
        <v>0</v>
      </c>
      <c r="AS128" s="228">
        <v>123</v>
      </c>
      <c r="AT128" s="228">
        <v>186</v>
      </c>
      <c r="AU128" s="228">
        <v>-63</v>
      </c>
      <c r="AV128" s="229">
        <v>-0.33929999999999999</v>
      </c>
      <c r="AW128" s="228">
        <v>118</v>
      </c>
      <c r="AX128" s="228">
        <v>182</v>
      </c>
      <c r="AY128" s="228">
        <v>-63</v>
      </c>
      <c r="AZ128" s="229">
        <v>-0.34899999999999998</v>
      </c>
      <c r="BA128" s="228">
        <v>3</v>
      </c>
      <c r="BB128" s="228">
        <v>4</v>
      </c>
      <c r="BC128" s="228">
        <v>-1</v>
      </c>
      <c r="BD128" s="229">
        <v>-0.28570000000000001</v>
      </c>
      <c r="BE128" s="228">
        <v>2</v>
      </c>
      <c r="BF128" s="228">
        <v>0</v>
      </c>
      <c r="BG128" s="228">
        <v>1</v>
      </c>
      <c r="BH128" s="229">
        <v>4.3333000000000004</v>
      </c>
      <c r="BI128" s="228">
        <v>218</v>
      </c>
      <c r="BJ128" s="228">
        <v>268</v>
      </c>
      <c r="BK128" s="228">
        <v>-50</v>
      </c>
      <c r="BL128" s="229">
        <v>-0.18779999999999999</v>
      </c>
      <c r="BM128" s="228">
        <v>81</v>
      </c>
      <c r="BN128" s="228">
        <v>148</v>
      </c>
      <c r="BO128" s="228">
        <v>-66</v>
      </c>
      <c r="BP128" s="229">
        <v>-0.44929999999999998</v>
      </c>
      <c r="BQ128" s="228">
        <v>422</v>
      </c>
      <c r="BR128" s="228">
        <v>602</v>
      </c>
      <c r="BS128" s="228">
        <v>-180</v>
      </c>
      <c r="BT128" s="229">
        <v>-0.29880000000000001</v>
      </c>
      <c r="BU128" s="230">
        <v>1239995</v>
      </c>
      <c r="BV128" s="230">
        <v>1472090</v>
      </c>
      <c r="BW128" s="230">
        <v>-232095</v>
      </c>
      <c r="BX128" s="229">
        <v>-0.15770000000000001</v>
      </c>
      <c r="BY128" s="230">
        <v>2308</v>
      </c>
      <c r="BZ128" s="230">
        <v>2325</v>
      </c>
      <c r="CA128" s="228">
        <v>-17</v>
      </c>
      <c r="CB128" s="229">
        <v>-7.1999999999999998E-3</v>
      </c>
      <c r="CC128" s="230">
        <v>2273</v>
      </c>
      <c r="CD128" s="230">
        <v>2291</v>
      </c>
      <c r="CE128" s="228">
        <v>-18</v>
      </c>
      <c r="CF128" s="229">
        <v>-7.7999999999999996E-3</v>
      </c>
      <c r="CG128" s="228">
        <v>34</v>
      </c>
      <c r="CH128" s="228">
        <v>34</v>
      </c>
      <c r="CI128" s="228">
        <v>0</v>
      </c>
      <c r="CJ128" s="229">
        <v>4.8999999999999998E-3</v>
      </c>
      <c r="CK128" s="228">
        <v>1</v>
      </c>
      <c r="CL128" s="228">
        <v>0</v>
      </c>
      <c r="CM128" s="228">
        <v>1</v>
      </c>
      <c r="CN128" s="229">
        <v>3.8</v>
      </c>
      <c r="CO128" s="228">
        <v>235</v>
      </c>
      <c r="CP128" s="228">
        <v>211</v>
      </c>
      <c r="CQ128" s="228">
        <v>24</v>
      </c>
      <c r="CR128" s="229">
        <v>0.11260000000000001</v>
      </c>
      <c r="CS128" s="228">
        <v>199</v>
      </c>
      <c r="CT128" s="228">
        <v>187</v>
      </c>
      <c r="CU128" s="228">
        <v>13</v>
      </c>
      <c r="CV128" s="229">
        <v>6.8199999999999997E-2</v>
      </c>
      <c r="CW128" s="230">
        <v>2742</v>
      </c>
      <c r="CX128" s="230">
        <v>2722</v>
      </c>
      <c r="CY128" s="228">
        <v>20</v>
      </c>
      <c r="CZ128" s="229">
        <v>7.3000000000000001E-3</v>
      </c>
      <c r="DA128" s="228">
        <v>22.7</v>
      </c>
      <c r="DB128" s="228">
        <v>23.66</v>
      </c>
      <c r="DC128" s="228">
        <v>-0.96</v>
      </c>
      <c r="DD128" s="228">
        <v>-0.96</v>
      </c>
      <c r="DE128" s="228">
        <v>38.72</v>
      </c>
      <c r="DF128" s="228">
        <v>38.82</v>
      </c>
      <c r="DG128" s="228">
        <v>-16.02</v>
      </c>
      <c r="DH128" s="228">
        <v>-0.1</v>
      </c>
      <c r="DI128" s="228">
        <v>22.54</v>
      </c>
      <c r="DJ128" s="228">
        <v>23.55</v>
      </c>
      <c r="DK128" s="228">
        <v>-1.01</v>
      </c>
      <c r="DL128" s="228">
        <v>-1.01</v>
      </c>
      <c r="DM128" s="228">
        <v>23.13</v>
      </c>
      <c r="DN128" s="228">
        <v>23.87</v>
      </c>
      <c r="DO128" s="228">
        <v>-0.74</v>
      </c>
      <c r="DP128" s="228">
        <v>-0.74</v>
      </c>
      <c r="DQ128" s="228">
        <v>0.85</v>
      </c>
      <c r="DR128" s="228">
        <v>0.89</v>
      </c>
      <c r="DS128" s="228">
        <v>-0.04</v>
      </c>
      <c r="DT128" s="229">
        <v>-4.4900000000000002E-2</v>
      </c>
      <c r="DU128" s="231">
        <v>1060</v>
      </c>
      <c r="DV128" s="231">
        <v>1040</v>
      </c>
      <c r="DW128" s="228">
        <v>0.37</v>
      </c>
      <c r="DX128" s="228">
        <v>0.55000000000000004</v>
      </c>
      <c r="DY128" s="228">
        <v>-0.18</v>
      </c>
      <c r="DZ128" s="229">
        <v>-0.32729999999999998</v>
      </c>
      <c r="EA128" s="229">
        <v>1.52E-2</v>
      </c>
      <c r="EB128" s="230">
        <v>321300</v>
      </c>
      <c r="EC128" s="229">
        <v>4.7999999999999996E-3</v>
      </c>
      <c r="ED128" s="229">
        <v>1.52E-2</v>
      </c>
      <c r="EE128" s="228">
        <v>5.84</v>
      </c>
      <c r="EF128" s="229">
        <v>5.5999999999999999E-3</v>
      </c>
      <c r="EG128" s="230">
        <v>712183</v>
      </c>
      <c r="EH128" s="230">
        <v>788087</v>
      </c>
      <c r="EI128" s="229">
        <v>-9.6299999999999997E-2</v>
      </c>
      <c r="EJ128" s="229">
        <v>0.57430000000000003</v>
      </c>
      <c r="EK128" s="228">
        <v>226.31</v>
      </c>
      <c r="EL128" s="228">
        <v>80.81</v>
      </c>
      <c r="EM128" s="228">
        <v>122.65</v>
      </c>
      <c r="EN128" s="228">
        <v>180.58</v>
      </c>
      <c r="EO128" s="228">
        <v>429.77</v>
      </c>
      <c r="EP128" s="228">
        <v>612.79999999999995</v>
      </c>
      <c r="EQ128" s="228">
        <v>-183.03</v>
      </c>
      <c r="ER128" s="229">
        <v>-0.29870000000000002</v>
      </c>
      <c r="ES128" s="228">
        <v>246.29</v>
      </c>
      <c r="ET128" s="228">
        <v>199.96</v>
      </c>
      <c r="EU128" s="231">
        <v>2308.1999999999998</v>
      </c>
      <c r="EV128" s="231">
        <v>111218809</v>
      </c>
      <c r="EW128" s="231">
        <v>2754.45</v>
      </c>
      <c r="EX128" s="231">
        <v>2727.18</v>
      </c>
      <c r="EY128" s="228">
        <v>27.27</v>
      </c>
      <c r="EZ128" s="229">
        <v>0.01</v>
      </c>
      <c r="FA128" s="229">
        <v>0.23400000000000001</v>
      </c>
      <c r="FB128" s="227" t="s">
        <v>556</v>
      </c>
      <c r="FC128">
        <f t="shared" si="1"/>
        <v>35</v>
      </c>
    </row>
    <row r="129" spans="1:159" ht="17.25" thickBot="1" x14ac:dyDescent="0.3">
      <c r="A129" s="226">
        <v>46023</v>
      </c>
      <c r="B129" s="227" t="s">
        <v>215</v>
      </c>
      <c r="C129" s="227" t="s">
        <v>673</v>
      </c>
      <c r="D129" s="228">
        <v>200</v>
      </c>
      <c r="E129" s="228">
        <v>26</v>
      </c>
      <c r="F129" s="231">
        <v>2493.5</v>
      </c>
      <c r="G129" s="231">
        <v>2504.9</v>
      </c>
      <c r="H129" s="228">
        <v>-11.4</v>
      </c>
      <c r="I129" s="229">
        <v>-4.5999999999999999E-3</v>
      </c>
      <c r="J129" s="231">
        <v>2476.6999999999998</v>
      </c>
      <c r="K129" s="231">
        <v>2490.1999999999998</v>
      </c>
      <c r="L129" s="228">
        <v>-13.5</v>
      </c>
      <c r="M129" s="229">
        <v>-5.4000000000000003E-3</v>
      </c>
      <c r="N129" s="231">
        <v>2493.5</v>
      </c>
      <c r="O129" s="231">
        <v>2504.9</v>
      </c>
      <c r="P129" s="228">
        <v>-11.4</v>
      </c>
      <c r="Q129" s="229">
        <v>-4.5999999999999999E-3</v>
      </c>
      <c r="R129" s="231">
        <v>2511.5</v>
      </c>
      <c r="S129" s="231">
        <v>2519.1</v>
      </c>
      <c r="T129" s="228">
        <v>-7.6</v>
      </c>
      <c r="U129" s="229">
        <v>-3.0000000000000001E-3</v>
      </c>
      <c r="V129" s="231">
        <v>2523.3000000000002</v>
      </c>
      <c r="W129" s="231">
        <v>2533.9</v>
      </c>
      <c r="X129" s="228">
        <v>-10.6</v>
      </c>
      <c r="Y129" s="229">
        <v>-4.1999999999999997E-3</v>
      </c>
      <c r="Z129" s="228">
        <v>16.8</v>
      </c>
      <c r="AA129" s="228">
        <v>14.7</v>
      </c>
      <c r="AB129" s="228">
        <v>2.1</v>
      </c>
      <c r="AC129" s="229">
        <v>6.7999999999999996E-3</v>
      </c>
      <c r="AD129" s="228">
        <v>16.8</v>
      </c>
      <c r="AE129" s="228">
        <v>14.7</v>
      </c>
      <c r="AF129" s="228">
        <v>2.1</v>
      </c>
      <c r="AG129" s="229">
        <v>6.7999999999999996E-3</v>
      </c>
      <c r="AH129" s="228">
        <v>34.799999999999997</v>
      </c>
      <c r="AI129" s="228">
        <v>28.9</v>
      </c>
      <c r="AJ129" s="228">
        <v>5.9</v>
      </c>
      <c r="AK129" s="229">
        <v>1.41E-2</v>
      </c>
      <c r="AL129" s="228">
        <v>46.6</v>
      </c>
      <c r="AM129" s="228">
        <v>43.7</v>
      </c>
      <c r="AN129" s="228">
        <v>2.9</v>
      </c>
      <c r="AO129" s="229">
        <v>1.8800000000000001E-2</v>
      </c>
      <c r="AP129" s="231">
        <v>2484.73</v>
      </c>
      <c r="AQ129" s="231">
        <v>2496.48</v>
      </c>
      <c r="AR129" s="228">
        <v>0</v>
      </c>
      <c r="AS129" s="228">
        <v>154</v>
      </c>
      <c r="AT129" s="228">
        <v>206</v>
      </c>
      <c r="AU129" s="228">
        <v>-52</v>
      </c>
      <c r="AV129" s="229">
        <v>-0.25330000000000003</v>
      </c>
      <c r="AW129" s="228">
        <v>137</v>
      </c>
      <c r="AX129" s="228">
        <v>198</v>
      </c>
      <c r="AY129" s="228">
        <v>-61</v>
      </c>
      <c r="AZ129" s="229">
        <v>-0.30659999999999998</v>
      </c>
      <c r="BA129" s="228">
        <v>13</v>
      </c>
      <c r="BB129" s="228">
        <v>8</v>
      </c>
      <c r="BC129" s="228">
        <v>6</v>
      </c>
      <c r="BD129" s="229">
        <v>0.73080000000000001</v>
      </c>
      <c r="BE129" s="228">
        <v>3</v>
      </c>
      <c r="BF129" s="228">
        <v>0</v>
      </c>
      <c r="BG129" s="228">
        <v>3</v>
      </c>
      <c r="BH129" s="229">
        <v>5.6</v>
      </c>
      <c r="BI129" s="228">
        <v>610</v>
      </c>
      <c r="BJ129" s="230">
        <v>1077</v>
      </c>
      <c r="BK129" s="228">
        <v>-466</v>
      </c>
      <c r="BL129" s="229">
        <v>-0.43309999999999998</v>
      </c>
      <c r="BM129" s="228">
        <v>240</v>
      </c>
      <c r="BN129" s="228">
        <v>386</v>
      </c>
      <c r="BO129" s="228">
        <v>-146</v>
      </c>
      <c r="BP129" s="229">
        <v>-0.37769999999999998</v>
      </c>
      <c r="BQ129" s="230">
        <v>1005</v>
      </c>
      <c r="BR129" s="230">
        <v>1670</v>
      </c>
      <c r="BS129" s="228">
        <v>-665</v>
      </c>
      <c r="BT129" s="229">
        <v>-0.39810000000000001</v>
      </c>
      <c r="BU129" s="230">
        <v>872607</v>
      </c>
      <c r="BV129" s="230">
        <v>977692</v>
      </c>
      <c r="BW129" s="230">
        <v>-105085</v>
      </c>
      <c r="BX129" s="229">
        <v>-0.1075</v>
      </c>
      <c r="BY129" s="230">
        <v>1295</v>
      </c>
      <c r="BZ129" s="230">
        <v>1293</v>
      </c>
      <c r="CA129" s="228">
        <v>2</v>
      </c>
      <c r="CB129" s="229">
        <v>1.6999999999999999E-3</v>
      </c>
      <c r="CC129" s="230">
        <v>1231</v>
      </c>
      <c r="CD129" s="230">
        <v>1235</v>
      </c>
      <c r="CE129" s="228">
        <v>-4</v>
      </c>
      <c r="CF129" s="229">
        <v>-2.8999999999999998E-3</v>
      </c>
      <c r="CG129" s="228">
        <v>62</v>
      </c>
      <c r="CH129" s="228">
        <v>58</v>
      </c>
      <c r="CI129" s="228">
        <v>4</v>
      </c>
      <c r="CJ129" s="229">
        <v>7.5999999999999998E-2</v>
      </c>
      <c r="CK129" s="228">
        <v>2</v>
      </c>
      <c r="CL129" s="228">
        <v>0</v>
      </c>
      <c r="CM129" s="228">
        <v>1</v>
      </c>
      <c r="CN129" s="229">
        <v>2.7</v>
      </c>
      <c r="CO129" s="228">
        <v>929</v>
      </c>
      <c r="CP129" s="228">
        <v>878</v>
      </c>
      <c r="CQ129" s="228">
        <v>51</v>
      </c>
      <c r="CR129" s="229">
        <v>5.79E-2</v>
      </c>
      <c r="CS129" s="228">
        <v>456</v>
      </c>
      <c r="CT129" s="228">
        <v>449</v>
      </c>
      <c r="CU129" s="228">
        <v>7</v>
      </c>
      <c r="CV129" s="229">
        <v>1.4800000000000001E-2</v>
      </c>
      <c r="CW129" s="230">
        <v>2680</v>
      </c>
      <c r="CX129" s="230">
        <v>2621</v>
      </c>
      <c r="CY129" s="228">
        <v>60</v>
      </c>
      <c r="CZ129" s="229">
        <v>2.2800000000000001E-2</v>
      </c>
      <c r="DA129" s="228">
        <v>32.729999999999997</v>
      </c>
      <c r="DB129" s="228">
        <v>33.17</v>
      </c>
      <c r="DC129" s="228">
        <v>-0.44</v>
      </c>
      <c r="DD129" s="228">
        <v>-0.44</v>
      </c>
      <c r="DE129" s="228">
        <v>54.77</v>
      </c>
      <c r="DF129" s="228">
        <v>54.9</v>
      </c>
      <c r="DG129" s="228">
        <v>-22.04</v>
      </c>
      <c r="DH129" s="228">
        <v>-0.13</v>
      </c>
      <c r="DI129" s="228">
        <v>33.049999999999997</v>
      </c>
      <c r="DJ129" s="228">
        <v>33.28</v>
      </c>
      <c r="DK129" s="228">
        <v>-0.23</v>
      </c>
      <c r="DL129" s="228">
        <v>-0.23</v>
      </c>
      <c r="DM129" s="228">
        <v>31.92</v>
      </c>
      <c r="DN129" s="228">
        <v>32.869999999999997</v>
      </c>
      <c r="DO129" s="228">
        <v>-0.95</v>
      </c>
      <c r="DP129" s="228">
        <v>-0.95</v>
      </c>
      <c r="DQ129" s="228">
        <v>0.49</v>
      </c>
      <c r="DR129" s="228">
        <v>0.51</v>
      </c>
      <c r="DS129" s="228">
        <v>-0.02</v>
      </c>
      <c r="DT129" s="229">
        <v>-3.9199999999999999E-2</v>
      </c>
      <c r="DU129" s="231">
        <v>2600</v>
      </c>
      <c r="DV129" s="231">
        <v>2400</v>
      </c>
      <c r="DW129" s="228">
        <v>0.39</v>
      </c>
      <c r="DX129" s="228">
        <v>0.36</v>
      </c>
      <c r="DY129" s="228">
        <v>0.03</v>
      </c>
      <c r="DZ129" s="229">
        <v>8.3299999999999999E-2</v>
      </c>
      <c r="EA129" s="229">
        <v>4.9399999999999999E-2</v>
      </c>
      <c r="EB129" s="230">
        <v>233600</v>
      </c>
      <c r="EC129" s="229">
        <v>7.1999999999999998E-3</v>
      </c>
      <c r="ED129" s="229">
        <v>4.9399999999999999E-2</v>
      </c>
      <c r="EE129" s="228">
        <v>11.75</v>
      </c>
      <c r="EF129" s="229">
        <v>4.7000000000000002E-3</v>
      </c>
      <c r="EG129" s="230">
        <v>252137</v>
      </c>
      <c r="EH129" s="230">
        <v>225918</v>
      </c>
      <c r="EI129" s="229">
        <v>0.11609999999999999</v>
      </c>
      <c r="EJ129" s="229">
        <v>0.28889999999999999</v>
      </c>
      <c r="EK129" s="228">
        <v>654.88</v>
      </c>
      <c r="EL129" s="228">
        <v>238.75</v>
      </c>
      <c r="EM129" s="228">
        <v>153.65</v>
      </c>
      <c r="EN129" s="228">
        <v>190.93</v>
      </c>
      <c r="EO129" s="231">
        <v>1047.28</v>
      </c>
      <c r="EP129" s="231">
        <v>1743.86</v>
      </c>
      <c r="EQ129" s="228">
        <v>-696.58</v>
      </c>
      <c r="ER129" s="229">
        <v>-0.39939999999999998</v>
      </c>
      <c r="ES129" s="231">
        <v>1016</v>
      </c>
      <c r="ET129" s="228">
        <v>453.09</v>
      </c>
      <c r="EU129" s="231">
        <v>1295.44</v>
      </c>
      <c r="EV129" s="231">
        <v>11364224</v>
      </c>
      <c r="EW129" s="231">
        <v>2764.53</v>
      </c>
      <c r="EX129" s="231">
        <v>2709.11</v>
      </c>
      <c r="EY129" s="228">
        <v>55.42</v>
      </c>
      <c r="EZ129" s="229">
        <v>2.0500000000000001E-2</v>
      </c>
      <c r="FA129" s="229">
        <v>0.94589999999999996</v>
      </c>
      <c r="FB129" s="227" t="s">
        <v>567</v>
      </c>
      <c r="FC129">
        <f t="shared" si="1"/>
        <v>64</v>
      </c>
    </row>
    <row r="130" spans="1:159" ht="17.25" thickBot="1" x14ac:dyDescent="0.3">
      <c r="A130" s="226">
        <v>46023</v>
      </c>
      <c r="B130" s="227" t="s">
        <v>175</v>
      </c>
      <c r="C130" s="227" t="s">
        <v>517</v>
      </c>
      <c r="D130" s="228">
        <v>125</v>
      </c>
      <c r="E130" s="228">
        <v>26</v>
      </c>
      <c r="F130" s="231">
        <v>11063</v>
      </c>
      <c r="G130" s="231">
        <v>11195</v>
      </c>
      <c r="H130" s="228">
        <v>-132</v>
      </c>
      <c r="I130" s="229">
        <v>-1.18E-2</v>
      </c>
      <c r="J130" s="231">
        <v>10989</v>
      </c>
      <c r="K130" s="231">
        <v>11136</v>
      </c>
      <c r="L130" s="228">
        <v>-147</v>
      </c>
      <c r="M130" s="229">
        <v>-1.32E-2</v>
      </c>
      <c r="N130" s="231">
        <v>11063</v>
      </c>
      <c r="O130" s="231">
        <v>11195</v>
      </c>
      <c r="P130" s="228">
        <v>-132</v>
      </c>
      <c r="Q130" s="229">
        <v>-1.18E-2</v>
      </c>
      <c r="R130" s="231">
        <v>11129</v>
      </c>
      <c r="S130" s="231">
        <v>11260</v>
      </c>
      <c r="T130" s="228">
        <v>-131</v>
      </c>
      <c r="U130" s="229">
        <v>-1.1599999999999999E-2</v>
      </c>
      <c r="V130" s="231">
        <v>11186</v>
      </c>
      <c r="W130" s="231">
        <v>11331</v>
      </c>
      <c r="X130" s="228">
        <v>-145</v>
      </c>
      <c r="Y130" s="229">
        <v>-1.2800000000000001E-2</v>
      </c>
      <c r="Z130" s="228">
        <v>74</v>
      </c>
      <c r="AA130" s="228">
        <v>59</v>
      </c>
      <c r="AB130" s="228">
        <v>15</v>
      </c>
      <c r="AC130" s="229">
        <v>6.7000000000000002E-3</v>
      </c>
      <c r="AD130" s="228">
        <v>74</v>
      </c>
      <c r="AE130" s="228">
        <v>59</v>
      </c>
      <c r="AF130" s="228">
        <v>15</v>
      </c>
      <c r="AG130" s="229">
        <v>6.7000000000000002E-3</v>
      </c>
      <c r="AH130" s="228">
        <v>140</v>
      </c>
      <c r="AI130" s="228">
        <v>124</v>
      </c>
      <c r="AJ130" s="228">
        <v>16</v>
      </c>
      <c r="AK130" s="229">
        <v>1.2699999999999999E-2</v>
      </c>
      <c r="AL130" s="228">
        <v>197</v>
      </c>
      <c r="AM130" s="228">
        <v>195</v>
      </c>
      <c r="AN130" s="228">
        <v>2</v>
      </c>
      <c r="AO130" s="229">
        <v>1.7899999999999999E-2</v>
      </c>
      <c r="AP130" s="231">
        <v>11077.52</v>
      </c>
      <c r="AQ130" s="231">
        <v>11139.84</v>
      </c>
      <c r="AR130" s="228">
        <v>0</v>
      </c>
      <c r="AS130" s="228">
        <v>556</v>
      </c>
      <c r="AT130" s="228">
        <v>990</v>
      </c>
      <c r="AU130" s="228">
        <v>-435</v>
      </c>
      <c r="AV130" s="229">
        <v>-0.439</v>
      </c>
      <c r="AW130" s="228">
        <v>532</v>
      </c>
      <c r="AX130" s="228">
        <v>943</v>
      </c>
      <c r="AY130" s="228">
        <v>-411</v>
      </c>
      <c r="AZ130" s="229">
        <v>-0.43630000000000002</v>
      </c>
      <c r="BA130" s="228">
        <v>20</v>
      </c>
      <c r="BB130" s="228">
        <v>44</v>
      </c>
      <c r="BC130" s="228">
        <v>-24</v>
      </c>
      <c r="BD130" s="229">
        <v>-0.54520000000000002</v>
      </c>
      <c r="BE130" s="228">
        <v>4</v>
      </c>
      <c r="BF130" s="228">
        <v>3</v>
      </c>
      <c r="BG130" s="228">
        <v>1</v>
      </c>
      <c r="BH130" s="229">
        <v>0.35</v>
      </c>
      <c r="BI130" s="230">
        <v>2460</v>
      </c>
      <c r="BJ130" s="230">
        <v>6289</v>
      </c>
      <c r="BK130" s="230">
        <v>-3829</v>
      </c>
      <c r="BL130" s="229">
        <v>-0.6089</v>
      </c>
      <c r="BM130" s="230">
        <v>2162</v>
      </c>
      <c r="BN130" s="230">
        <v>2863</v>
      </c>
      <c r="BO130" s="228">
        <v>-701</v>
      </c>
      <c r="BP130" s="229">
        <v>-0.24490000000000001</v>
      </c>
      <c r="BQ130" s="230">
        <v>5177</v>
      </c>
      <c r="BR130" s="230">
        <v>10143</v>
      </c>
      <c r="BS130" s="230">
        <v>-4965</v>
      </c>
      <c r="BT130" s="229">
        <v>-0.48949999999999999</v>
      </c>
      <c r="BU130" s="230">
        <v>283322</v>
      </c>
      <c r="BV130" s="230">
        <v>467973</v>
      </c>
      <c r="BW130" s="230">
        <v>-184651</v>
      </c>
      <c r="BX130" s="229">
        <v>-0.39460000000000001</v>
      </c>
      <c r="BY130" s="230">
        <v>3199</v>
      </c>
      <c r="BZ130" s="230">
        <v>3130</v>
      </c>
      <c r="CA130" s="228">
        <v>69</v>
      </c>
      <c r="CB130" s="229">
        <v>2.1999999999999999E-2</v>
      </c>
      <c r="CC130" s="230">
        <v>3091</v>
      </c>
      <c r="CD130" s="230">
        <v>3024</v>
      </c>
      <c r="CE130" s="228">
        <v>67</v>
      </c>
      <c r="CF130" s="229">
        <v>2.2200000000000001E-2</v>
      </c>
      <c r="CG130" s="228">
        <v>104</v>
      </c>
      <c r="CH130" s="228">
        <v>104</v>
      </c>
      <c r="CI130" s="228">
        <v>0</v>
      </c>
      <c r="CJ130" s="229">
        <v>-4.0000000000000001E-3</v>
      </c>
      <c r="CK130" s="228">
        <v>4</v>
      </c>
      <c r="CL130" s="228">
        <v>2</v>
      </c>
      <c r="CM130" s="228">
        <v>2</v>
      </c>
      <c r="CN130" s="229">
        <v>1.3077000000000001</v>
      </c>
      <c r="CO130" s="230">
        <v>2075</v>
      </c>
      <c r="CP130" s="230">
        <v>1884</v>
      </c>
      <c r="CQ130" s="228">
        <v>191</v>
      </c>
      <c r="CR130" s="229">
        <v>0.10150000000000001</v>
      </c>
      <c r="CS130" s="230">
        <v>1379</v>
      </c>
      <c r="CT130" s="230">
        <v>1292</v>
      </c>
      <c r="CU130" s="228">
        <v>87</v>
      </c>
      <c r="CV130" s="229">
        <v>6.7299999999999999E-2</v>
      </c>
      <c r="CW130" s="230">
        <v>6652</v>
      </c>
      <c r="CX130" s="230">
        <v>6305</v>
      </c>
      <c r="CY130" s="228">
        <v>347</v>
      </c>
      <c r="CZ130" s="229">
        <v>5.5E-2</v>
      </c>
      <c r="DA130" s="228">
        <v>32.07</v>
      </c>
      <c r="DB130" s="228">
        <v>31.38</v>
      </c>
      <c r="DC130" s="228">
        <v>0.69</v>
      </c>
      <c r="DD130" s="228">
        <v>0.69</v>
      </c>
      <c r="DE130" s="228">
        <v>44.9</v>
      </c>
      <c r="DF130" s="228">
        <v>44.98</v>
      </c>
      <c r="DG130" s="228">
        <v>-12.83</v>
      </c>
      <c r="DH130" s="228">
        <v>-0.08</v>
      </c>
      <c r="DI130" s="228">
        <v>31.41</v>
      </c>
      <c r="DJ130" s="228">
        <v>30.9</v>
      </c>
      <c r="DK130" s="228">
        <v>0.51</v>
      </c>
      <c r="DL130" s="228">
        <v>0.51</v>
      </c>
      <c r="DM130" s="228">
        <v>32.83</v>
      </c>
      <c r="DN130" s="228">
        <v>32.43</v>
      </c>
      <c r="DO130" s="228">
        <v>0.4</v>
      </c>
      <c r="DP130" s="228">
        <v>0.4</v>
      </c>
      <c r="DQ130" s="228">
        <v>0.66</v>
      </c>
      <c r="DR130" s="228">
        <v>0.69</v>
      </c>
      <c r="DS130" s="228">
        <v>-0.03</v>
      </c>
      <c r="DT130" s="229">
        <v>-4.3499999999999997E-2</v>
      </c>
      <c r="DU130" s="231">
        <v>12000</v>
      </c>
      <c r="DV130" s="231">
        <v>10000</v>
      </c>
      <c r="DW130" s="228">
        <v>0.88</v>
      </c>
      <c r="DX130" s="228">
        <v>0.46</v>
      </c>
      <c r="DY130" s="228">
        <v>0.42</v>
      </c>
      <c r="DZ130" s="229">
        <v>0.91300000000000003</v>
      </c>
      <c r="EA130" s="229">
        <v>3.3700000000000001E-2</v>
      </c>
      <c r="EB130" s="230">
        <v>95625</v>
      </c>
      <c r="EC130" s="229">
        <v>6.0000000000000001E-3</v>
      </c>
      <c r="ED130" s="229">
        <v>3.3700000000000001E-2</v>
      </c>
      <c r="EE130" s="228">
        <v>62.32</v>
      </c>
      <c r="EF130" s="229">
        <v>5.5999999999999999E-3</v>
      </c>
      <c r="EG130" s="230">
        <v>110303</v>
      </c>
      <c r="EH130" s="230">
        <v>139779</v>
      </c>
      <c r="EI130" s="229">
        <v>-0.2109</v>
      </c>
      <c r="EJ130" s="229">
        <v>0.38929999999999998</v>
      </c>
      <c r="EK130" s="231">
        <v>2616.8000000000002</v>
      </c>
      <c r="EL130" s="231">
        <v>2089.7199999999998</v>
      </c>
      <c r="EM130" s="228">
        <v>556.39</v>
      </c>
      <c r="EN130" s="228">
        <v>142.24</v>
      </c>
      <c r="EO130" s="231">
        <v>5262.9</v>
      </c>
      <c r="EP130" s="231">
        <v>10531.68</v>
      </c>
      <c r="EQ130" s="231">
        <v>-5268.78</v>
      </c>
      <c r="ER130" s="229">
        <v>-0.50029999999999997</v>
      </c>
      <c r="ES130" s="231">
        <v>2139.1999999999998</v>
      </c>
      <c r="ET130" s="231">
        <v>1291.71</v>
      </c>
      <c r="EU130" s="231">
        <v>3199.39</v>
      </c>
      <c r="EV130" s="231">
        <v>38177110</v>
      </c>
      <c r="EW130" s="231">
        <v>6630.3</v>
      </c>
      <c r="EX130" s="231">
        <v>6321.91</v>
      </c>
      <c r="EY130" s="228">
        <v>308.39</v>
      </c>
      <c r="EZ130" s="229">
        <v>4.8800000000000003E-2</v>
      </c>
      <c r="FA130" s="229">
        <v>0.1575</v>
      </c>
      <c r="FB130" s="227" t="s">
        <v>567</v>
      </c>
      <c r="FC130">
        <f t="shared" si="1"/>
        <v>108</v>
      </c>
    </row>
    <row r="131" spans="1:159" ht="17.25" thickBot="1" x14ac:dyDescent="0.3">
      <c r="A131" s="226">
        <v>46023</v>
      </c>
      <c r="B131" s="227" t="s">
        <v>175</v>
      </c>
      <c r="C131" s="227" t="s">
        <v>257</v>
      </c>
      <c r="D131" s="228">
        <v>400</v>
      </c>
      <c r="E131" s="228">
        <v>26</v>
      </c>
      <c r="F131" s="231">
        <v>1682.2</v>
      </c>
      <c r="G131" s="231">
        <v>1683.1</v>
      </c>
      <c r="H131" s="228">
        <v>-0.9</v>
      </c>
      <c r="I131" s="229">
        <v>-5.0000000000000001E-4</v>
      </c>
      <c r="J131" s="231">
        <v>1674</v>
      </c>
      <c r="K131" s="231">
        <v>1671.8</v>
      </c>
      <c r="L131" s="228">
        <v>2.2000000000000002</v>
      </c>
      <c r="M131" s="229">
        <v>1.2999999999999999E-3</v>
      </c>
      <c r="N131" s="231">
        <v>1682.2</v>
      </c>
      <c r="O131" s="231">
        <v>1683.1</v>
      </c>
      <c r="P131" s="228">
        <v>-0.9</v>
      </c>
      <c r="Q131" s="229">
        <v>-5.0000000000000001E-4</v>
      </c>
      <c r="R131" s="231">
        <v>1691.3</v>
      </c>
      <c r="S131" s="231">
        <v>1696.8</v>
      </c>
      <c r="T131" s="228">
        <v>-5.5</v>
      </c>
      <c r="U131" s="229">
        <v>-3.2000000000000002E-3</v>
      </c>
      <c r="V131" s="231">
        <v>1690.6</v>
      </c>
      <c r="W131" s="231">
        <v>1690.6</v>
      </c>
      <c r="X131" s="228">
        <v>0</v>
      </c>
      <c r="Y131" s="229">
        <v>0</v>
      </c>
      <c r="Z131" s="228">
        <v>8.1999999999999993</v>
      </c>
      <c r="AA131" s="228">
        <v>11.3</v>
      </c>
      <c r="AB131" s="228">
        <v>-3.1</v>
      </c>
      <c r="AC131" s="229">
        <v>4.8999999999999998E-3</v>
      </c>
      <c r="AD131" s="228">
        <v>8.1999999999999993</v>
      </c>
      <c r="AE131" s="228">
        <v>11.3</v>
      </c>
      <c r="AF131" s="228">
        <v>-3.1</v>
      </c>
      <c r="AG131" s="229">
        <v>4.8999999999999998E-3</v>
      </c>
      <c r="AH131" s="228">
        <v>17.3</v>
      </c>
      <c r="AI131" s="228">
        <v>25</v>
      </c>
      <c r="AJ131" s="228">
        <v>-7.7</v>
      </c>
      <c r="AK131" s="229">
        <v>1.03E-2</v>
      </c>
      <c r="AL131" s="228">
        <v>16.600000000000001</v>
      </c>
      <c r="AM131" s="228">
        <v>18.8</v>
      </c>
      <c r="AN131" s="228">
        <v>-2.2000000000000002</v>
      </c>
      <c r="AO131" s="229">
        <v>9.9000000000000008E-3</v>
      </c>
      <c r="AP131" s="231">
        <v>1687.57</v>
      </c>
      <c r="AQ131" s="231">
        <v>1694.67</v>
      </c>
      <c r="AR131" s="228">
        <v>0</v>
      </c>
      <c r="AS131" s="228">
        <v>79</v>
      </c>
      <c r="AT131" s="228">
        <v>201</v>
      </c>
      <c r="AU131" s="228">
        <v>-122</v>
      </c>
      <c r="AV131" s="229">
        <v>-0.60670000000000002</v>
      </c>
      <c r="AW131" s="228">
        <v>78</v>
      </c>
      <c r="AX131" s="228">
        <v>200</v>
      </c>
      <c r="AY131" s="228">
        <v>-122</v>
      </c>
      <c r="AZ131" s="229">
        <v>-0.60950000000000004</v>
      </c>
      <c r="BA131" s="228">
        <v>1</v>
      </c>
      <c r="BB131" s="228">
        <v>1</v>
      </c>
      <c r="BC131" s="228">
        <v>0</v>
      </c>
      <c r="BD131" s="229">
        <v>-6.25E-2</v>
      </c>
      <c r="BE131" s="228">
        <v>0</v>
      </c>
      <c r="BF131" s="228">
        <v>0</v>
      </c>
      <c r="BG131" s="228">
        <v>0</v>
      </c>
      <c r="BH131" s="229">
        <v>-1</v>
      </c>
      <c r="BI131" s="228">
        <v>66</v>
      </c>
      <c r="BJ131" s="228">
        <v>109</v>
      </c>
      <c r="BK131" s="228">
        <v>-43</v>
      </c>
      <c r="BL131" s="229">
        <v>-0.39100000000000001</v>
      </c>
      <c r="BM131" s="228">
        <v>39</v>
      </c>
      <c r="BN131" s="228">
        <v>106</v>
      </c>
      <c r="BO131" s="228">
        <v>-66</v>
      </c>
      <c r="BP131" s="229">
        <v>-0.62609999999999999</v>
      </c>
      <c r="BQ131" s="228">
        <v>185</v>
      </c>
      <c r="BR131" s="228">
        <v>415</v>
      </c>
      <c r="BS131" s="228">
        <v>-231</v>
      </c>
      <c r="BT131" s="229">
        <v>-0.55510000000000004</v>
      </c>
      <c r="BU131" s="230">
        <v>324590</v>
      </c>
      <c r="BV131" s="230">
        <v>701786</v>
      </c>
      <c r="BW131" s="230">
        <v>-377196</v>
      </c>
      <c r="BX131" s="229">
        <v>-0.53749999999999998</v>
      </c>
      <c r="BY131" s="230">
        <v>1430</v>
      </c>
      <c r="BZ131" s="230">
        <v>1436</v>
      </c>
      <c r="CA131" s="228">
        <v>-6</v>
      </c>
      <c r="CB131" s="229">
        <v>-3.8999999999999998E-3</v>
      </c>
      <c r="CC131" s="230">
        <v>1427</v>
      </c>
      <c r="CD131" s="230">
        <v>1433</v>
      </c>
      <c r="CE131" s="228">
        <v>-6</v>
      </c>
      <c r="CF131" s="229">
        <v>-3.8999999999999998E-3</v>
      </c>
      <c r="CG131" s="228">
        <v>3</v>
      </c>
      <c r="CH131" s="228">
        <v>3</v>
      </c>
      <c r="CI131" s="228">
        <v>0</v>
      </c>
      <c r="CJ131" s="229">
        <v>-2.4400000000000002E-2</v>
      </c>
      <c r="CK131" s="228">
        <v>0</v>
      </c>
      <c r="CL131" s="228">
        <v>0</v>
      </c>
      <c r="CM131" s="228">
        <v>0</v>
      </c>
      <c r="CN131" s="229">
        <v>0</v>
      </c>
      <c r="CO131" s="228">
        <v>78</v>
      </c>
      <c r="CP131" s="228">
        <v>67</v>
      </c>
      <c r="CQ131" s="228">
        <v>11</v>
      </c>
      <c r="CR131" s="229">
        <v>0.16170000000000001</v>
      </c>
      <c r="CS131" s="228">
        <v>59</v>
      </c>
      <c r="CT131" s="228">
        <v>52</v>
      </c>
      <c r="CU131" s="228">
        <v>6</v>
      </c>
      <c r="CV131" s="229">
        <v>0.1168</v>
      </c>
      <c r="CW131" s="230">
        <v>1567</v>
      </c>
      <c r="CX131" s="230">
        <v>1555</v>
      </c>
      <c r="CY131" s="228">
        <v>11</v>
      </c>
      <c r="CZ131" s="229">
        <v>7.4000000000000003E-3</v>
      </c>
      <c r="DA131" s="228">
        <v>22.97</v>
      </c>
      <c r="DB131" s="228">
        <v>23.42</v>
      </c>
      <c r="DC131" s="228">
        <v>-0.45</v>
      </c>
      <c r="DD131" s="228">
        <v>-0.45</v>
      </c>
      <c r="DE131" s="228">
        <v>29.53</v>
      </c>
      <c r="DF131" s="228">
        <v>29.6</v>
      </c>
      <c r="DG131" s="228">
        <v>-6.56</v>
      </c>
      <c r="DH131" s="228">
        <v>-7.0000000000000007E-2</v>
      </c>
      <c r="DI131" s="228">
        <v>22.79</v>
      </c>
      <c r="DJ131" s="228">
        <v>23.38</v>
      </c>
      <c r="DK131" s="228">
        <v>-0.59</v>
      </c>
      <c r="DL131" s="228">
        <v>-0.59</v>
      </c>
      <c r="DM131" s="228">
        <v>23.27</v>
      </c>
      <c r="DN131" s="228">
        <v>23.47</v>
      </c>
      <c r="DO131" s="228">
        <v>-0.2</v>
      </c>
      <c r="DP131" s="228">
        <v>-0.2</v>
      </c>
      <c r="DQ131" s="228">
        <v>0.75</v>
      </c>
      <c r="DR131" s="228">
        <v>0.78</v>
      </c>
      <c r="DS131" s="228">
        <v>-0.03</v>
      </c>
      <c r="DT131" s="229">
        <v>-3.85E-2</v>
      </c>
      <c r="DU131" s="231">
        <v>1700</v>
      </c>
      <c r="DV131" s="231">
        <v>1600</v>
      </c>
      <c r="DW131" s="228">
        <v>0.6</v>
      </c>
      <c r="DX131" s="228">
        <v>0.97</v>
      </c>
      <c r="DY131" s="228">
        <v>-0.37</v>
      </c>
      <c r="DZ131" s="229">
        <v>-0.38140000000000002</v>
      </c>
      <c r="EA131" s="229">
        <v>1.9E-3</v>
      </c>
      <c r="EB131" s="230">
        <v>16800</v>
      </c>
      <c r="EC131" s="229">
        <v>5.4000000000000003E-3</v>
      </c>
      <c r="ED131" s="229">
        <v>1.9E-3</v>
      </c>
      <c r="EE131" s="228">
        <v>7.1</v>
      </c>
      <c r="EF131" s="229">
        <v>4.1999999999999997E-3</v>
      </c>
      <c r="EG131" s="230">
        <v>184341</v>
      </c>
      <c r="EH131" s="230">
        <v>405650</v>
      </c>
      <c r="EI131" s="229">
        <v>-0.54559999999999997</v>
      </c>
      <c r="EJ131" s="229">
        <v>0.56789999999999996</v>
      </c>
      <c r="EK131" s="228">
        <v>68.83</v>
      </c>
      <c r="EL131" s="228">
        <v>39.06</v>
      </c>
      <c r="EM131" s="228">
        <v>79.25</v>
      </c>
      <c r="EN131" s="228">
        <v>98.92</v>
      </c>
      <c r="EO131" s="228">
        <v>187.14</v>
      </c>
      <c r="EP131" s="228">
        <v>418.56</v>
      </c>
      <c r="EQ131" s="228">
        <v>-231.42</v>
      </c>
      <c r="ER131" s="229">
        <v>-0.55289999999999995</v>
      </c>
      <c r="ES131" s="228">
        <v>80.02</v>
      </c>
      <c r="ET131" s="228">
        <v>56.4</v>
      </c>
      <c r="EU131" s="231">
        <v>1430.02</v>
      </c>
      <c r="EV131" s="231">
        <v>33919851</v>
      </c>
      <c r="EW131" s="231">
        <v>1566.44</v>
      </c>
      <c r="EX131" s="231">
        <v>1555.82</v>
      </c>
      <c r="EY131" s="228">
        <v>10.62</v>
      </c>
      <c r="EZ131" s="229">
        <v>6.7999999999999996E-3</v>
      </c>
      <c r="FA131" s="229">
        <v>0.27460000000000001</v>
      </c>
      <c r="FB131" s="227" t="s">
        <v>568</v>
      </c>
      <c r="FC131">
        <f t="shared" ref="FC131:FC147" si="2">BY131-CC131</f>
        <v>3</v>
      </c>
    </row>
    <row r="132" spans="1:159" ht="17.25" thickBot="1" x14ac:dyDescent="0.3">
      <c r="A132" s="226">
        <v>46023</v>
      </c>
      <c r="B132" s="227" t="s">
        <v>181</v>
      </c>
      <c r="C132" s="227" t="s">
        <v>563</v>
      </c>
      <c r="D132" s="228">
        <v>120</v>
      </c>
      <c r="E132" s="228">
        <v>26</v>
      </c>
      <c r="F132" s="231">
        <v>13899.15</v>
      </c>
      <c r="G132" s="231">
        <v>13841.3</v>
      </c>
      <c r="H132" s="228">
        <v>57.85</v>
      </c>
      <c r="I132" s="229">
        <v>4.1999999999999997E-3</v>
      </c>
      <c r="J132" s="231">
        <v>13843.6</v>
      </c>
      <c r="K132" s="231">
        <v>13777.25</v>
      </c>
      <c r="L132" s="228">
        <v>66.349999999999994</v>
      </c>
      <c r="M132" s="229">
        <v>4.7999999999999996E-3</v>
      </c>
      <c r="N132" s="231">
        <v>13899.15</v>
      </c>
      <c r="O132" s="231">
        <v>13841.3</v>
      </c>
      <c r="P132" s="228">
        <v>57.85</v>
      </c>
      <c r="Q132" s="229">
        <v>4.1999999999999997E-3</v>
      </c>
      <c r="R132" s="231">
        <v>13967.5</v>
      </c>
      <c r="S132" s="231">
        <v>13915.8</v>
      </c>
      <c r="T132" s="228">
        <v>51.7</v>
      </c>
      <c r="U132" s="229">
        <v>3.7000000000000002E-3</v>
      </c>
      <c r="V132" s="231">
        <v>14015</v>
      </c>
      <c r="W132" s="231">
        <v>13950.4</v>
      </c>
      <c r="X132" s="228">
        <v>64.599999999999994</v>
      </c>
      <c r="Y132" s="229">
        <v>4.5999999999999999E-3</v>
      </c>
      <c r="Z132" s="228">
        <v>55.55</v>
      </c>
      <c r="AA132" s="228">
        <v>64.05</v>
      </c>
      <c r="AB132" s="228">
        <v>-8.5</v>
      </c>
      <c r="AC132" s="229">
        <v>4.0000000000000001E-3</v>
      </c>
      <c r="AD132" s="228">
        <v>55.55</v>
      </c>
      <c r="AE132" s="228">
        <v>64.05</v>
      </c>
      <c r="AF132" s="228">
        <v>-8.5</v>
      </c>
      <c r="AG132" s="229">
        <v>4.0000000000000001E-3</v>
      </c>
      <c r="AH132" s="228">
        <v>123.9</v>
      </c>
      <c r="AI132" s="228">
        <v>138.55000000000001</v>
      </c>
      <c r="AJ132" s="228">
        <v>-14.65</v>
      </c>
      <c r="AK132" s="229">
        <v>8.8999999999999999E-3</v>
      </c>
      <c r="AL132" s="228">
        <v>171.4</v>
      </c>
      <c r="AM132" s="228">
        <v>173.15</v>
      </c>
      <c r="AN132" s="228">
        <v>-1.75</v>
      </c>
      <c r="AO132" s="229">
        <v>1.24E-2</v>
      </c>
      <c r="AP132" s="231">
        <v>13858.25</v>
      </c>
      <c r="AQ132" s="231">
        <v>13918.75</v>
      </c>
      <c r="AR132" s="228">
        <v>0</v>
      </c>
      <c r="AS132" s="228">
        <v>622</v>
      </c>
      <c r="AT132" s="230">
        <v>1291</v>
      </c>
      <c r="AU132" s="228">
        <v>-668</v>
      </c>
      <c r="AV132" s="229">
        <v>-0.51780000000000004</v>
      </c>
      <c r="AW132" s="228">
        <v>588</v>
      </c>
      <c r="AX132" s="230">
        <v>1245</v>
      </c>
      <c r="AY132" s="228">
        <v>-657</v>
      </c>
      <c r="AZ132" s="229">
        <v>-0.52749999999999997</v>
      </c>
      <c r="BA132" s="228">
        <v>31</v>
      </c>
      <c r="BB132" s="228">
        <v>37</v>
      </c>
      <c r="BC132" s="228">
        <v>-6</v>
      </c>
      <c r="BD132" s="229">
        <v>-0.1636</v>
      </c>
      <c r="BE132" s="228">
        <v>3</v>
      </c>
      <c r="BF132" s="228">
        <v>9</v>
      </c>
      <c r="BG132" s="228">
        <v>-6</v>
      </c>
      <c r="BH132" s="229">
        <v>-0.62960000000000005</v>
      </c>
      <c r="BI132" s="230">
        <v>13908</v>
      </c>
      <c r="BJ132" s="230">
        <v>19140</v>
      </c>
      <c r="BK132" s="230">
        <v>-5232</v>
      </c>
      <c r="BL132" s="229">
        <v>-0.27339999999999998</v>
      </c>
      <c r="BM132" s="230">
        <v>13622</v>
      </c>
      <c r="BN132" s="230">
        <v>18328</v>
      </c>
      <c r="BO132" s="230">
        <v>-4706</v>
      </c>
      <c r="BP132" s="229">
        <v>-0.25679999999999997</v>
      </c>
      <c r="BQ132" s="230">
        <v>28152</v>
      </c>
      <c r="BR132" s="230">
        <v>38759</v>
      </c>
      <c r="BS132" s="230">
        <v>-10607</v>
      </c>
      <c r="BT132" s="229">
        <v>-0.2737</v>
      </c>
      <c r="BU132" s="228">
        <v>0</v>
      </c>
      <c r="BV132" s="228">
        <v>0</v>
      </c>
      <c r="BW132" s="228">
        <v>0</v>
      </c>
      <c r="BX132" s="229">
        <v>0</v>
      </c>
      <c r="BY132" s="230">
        <v>2796</v>
      </c>
      <c r="BZ132" s="230">
        <v>2762</v>
      </c>
      <c r="CA132" s="228">
        <v>33</v>
      </c>
      <c r="CB132" s="229">
        <v>1.2E-2</v>
      </c>
      <c r="CC132" s="230">
        <v>2714</v>
      </c>
      <c r="CD132" s="230">
        <v>2684</v>
      </c>
      <c r="CE132" s="228">
        <v>30</v>
      </c>
      <c r="CF132" s="229">
        <v>1.12E-2</v>
      </c>
      <c r="CG132" s="228">
        <v>76</v>
      </c>
      <c r="CH132" s="228">
        <v>74</v>
      </c>
      <c r="CI132" s="228">
        <v>2</v>
      </c>
      <c r="CJ132" s="229">
        <v>2.7099999999999999E-2</v>
      </c>
      <c r="CK132" s="228">
        <v>6</v>
      </c>
      <c r="CL132" s="228">
        <v>5</v>
      </c>
      <c r="CM132" s="228">
        <v>1</v>
      </c>
      <c r="CN132" s="229">
        <v>0.23330000000000001</v>
      </c>
      <c r="CO132" s="230">
        <v>5683</v>
      </c>
      <c r="CP132" s="230">
        <v>5071</v>
      </c>
      <c r="CQ132" s="228">
        <v>612</v>
      </c>
      <c r="CR132" s="229">
        <v>0.1206</v>
      </c>
      <c r="CS132" s="230">
        <v>6571</v>
      </c>
      <c r="CT132" s="230">
        <v>5483</v>
      </c>
      <c r="CU132" s="230">
        <v>1088</v>
      </c>
      <c r="CV132" s="229">
        <v>0.19839999999999999</v>
      </c>
      <c r="CW132" s="230">
        <v>15049</v>
      </c>
      <c r="CX132" s="230">
        <v>13316</v>
      </c>
      <c r="CY132" s="230">
        <v>1733</v>
      </c>
      <c r="CZ132" s="229">
        <v>0.13009999999999999</v>
      </c>
      <c r="DA132" s="228">
        <v>14.1</v>
      </c>
      <c r="DB132" s="228">
        <v>14.44</v>
      </c>
      <c r="DC132" s="228">
        <v>-0.34</v>
      </c>
      <c r="DD132" s="228">
        <v>-0.34</v>
      </c>
      <c r="DE132" s="228">
        <v>21.51</v>
      </c>
      <c r="DF132" s="228">
        <v>21.56</v>
      </c>
      <c r="DG132" s="228">
        <v>-7.41</v>
      </c>
      <c r="DH132" s="228">
        <v>-0.05</v>
      </c>
      <c r="DI132" s="228">
        <v>13.36</v>
      </c>
      <c r="DJ132" s="228">
        <v>13.79</v>
      </c>
      <c r="DK132" s="228">
        <v>-0.43</v>
      </c>
      <c r="DL132" s="228">
        <v>-0.43</v>
      </c>
      <c r="DM132" s="228">
        <v>14.85</v>
      </c>
      <c r="DN132" s="228">
        <v>15.12</v>
      </c>
      <c r="DO132" s="228">
        <v>-0.27</v>
      </c>
      <c r="DP132" s="228">
        <v>-0.27</v>
      </c>
      <c r="DQ132" s="228">
        <v>1.1599999999999999</v>
      </c>
      <c r="DR132" s="228">
        <v>1.08</v>
      </c>
      <c r="DS132" s="228">
        <v>0.08</v>
      </c>
      <c r="DT132" s="229">
        <v>7.4099999999999999E-2</v>
      </c>
      <c r="DU132" s="231">
        <v>14000</v>
      </c>
      <c r="DV132" s="231">
        <v>13000</v>
      </c>
      <c r="DW132" s="228">
        <v>0.98</v>
      </c>
      <c r="DX132" s="228">
        <v>0.96</v>
      </c>
      <c r="DY132" s="228">
        <v>0.02</v>
      </c>
      <c r="DZ132" s="229">
        <v>2.0799999999999999E-2</v>
      </c>
      <c r="EA132" s="229">
        <v>2.93E-2</v>
      </c>
      <c r="EB132" s="230">
        <v>56640</v>
      </c>
      <c r="EC132" s="229">
        <v>4.8999999999999998E-3</v>
      </c>
      <c r="ED132" s="229">
        <v>2.93E-2</v>
      </c>
      <c r="EE132" s="228">
        <v>60.5</v>
      </c>
      <c r="EF132" s="229">
        <v>4.4000000000000003E-3</v>
      </c>
      <c r="EG132" s="228">
        <v>0</v>
      </c>
      <c r="EH132" s="228">
        <v>0</v>
      </c>
      <c r="EI132" s="229">
        <v>0</v>
      </c>
      <c r="EJ132" s="229">
        <v>0</v>
      </c>
      <c r="EK132" s="231">
        <v>14239.48</v>
      </c>
      <c r="EL132" s="231">
        <v>13304.4</v>
      </c>
      <c r="EM132" s="228">
        <v>620.79</v>
      </c>
      <c r="EN132" s="228">
        <v>0</v>
      </c>
      <c r="EO132" s="231">
        <v>28164.67</v>
      </c>
      <c r="EP132" s="231">
        <v>38693.870000000003</v>
      </c>
      <c r="EQ132" s="231">
        <v>-10529.19</v>
      </c>
      <c r="ER132" s="229">
        <v>-0.27210000000000001</v>
      </c>
      <c r="ES132" s="231">
        <v>5802.26</v>
      </c>
      <c r="ET132" s="231">
        <v>6314.65</v>
      </c>
      <c r="EU132" s="231">
        <v>2795.99</v>
      </c>
      <c r="EV132" s="228">
        <v>0</v>
      </c>
      <c r="EW132" s="231">
        <v>14912.89</v>
      </c>
      <c r="EX132" s="231">
        <v>13191.13</v>
      </c>
      <c r="EY132" s="231">
        <v>1721.76</v>
      </c>
      <c r="EZ132" s="229">
        <v>0.1305</v>
      </c>
      <c r="FA132" s="229">
        <v>0</v>
      </c>
      <c r="FB132" s="227" t="s">
        <v>555</v>
      </c>
      <c r="FC132">
        <f t="shared" si="2"/>
        <v>82</v>
      </c>
    </row>
    <row r="133" spans="1:159" ht="17.25" thickBot="1" x14ac:dyDescent="0.3">
      <c r="A133" s="226">
        <v>46023</v>
      </c>
      <c r="B133" s="227" t="s">
        <v>162</v>
      </c>
      <c r="C133" s="227" t="s">
        <v>559</v>
      </c>
      <c r="D133" s="228">
        <v>6150</v>
      </c>
      <c r="E133" s="228">
        <v>26</v>
      </c>
      <c r="F133" s="228">
        <v>123.32</v>
      </c>
      <c r="G133" s="228">
        <v>120.58</v>
      </c>
      <c r="H133" s="228">
        <v>2.74</v>
      </c>
      <c r="I133" s="229">
        <v>2.2700000000000001E-2</v>
      </c>
      <c r="J133" s="228">
        <v>122.52</v>
      </c>
      <c r="K133" s="228">
        <v>119.94</v>
      </c>
      <c r="L133" s="228">
        <v>2.58</v>
      </c>
      <c r="M133" s="229">
        <v>2.1499999999999998E-2</v>
      </c>
      <c r="N133" s="228">
        <v>123.32</v>
      </c>
      <c r="O133" s="228">
        <v>120.58</v>
      </c>
      <c r="P133" s="228">
        <v>2.74</v>
      </c>
      <c r="Q133" s="229">
        <v>2.2700000000000001E-2</v>
      </c>
      <c r="R133" s="228">
        <v>124.06</v>
      </c>
      <c r="S133" s="228">
        <v>121.37</v>
      </c>
      <c r="T133" s="228">
        <v>2.69</v>
      </c>
      <c r="U133" s="229">
        <v>2.2200000000000001E-2</v>
      </c>
      <c r="V133" s="228">
        <v>124.78</v>
      </c>
      <c r="W133" s="228">
        <v>121.55</v>
      </c>
      <c r="X133" s="228">
        <v>3.23</v>
      </c>
      <c r="Y133" s="229">
        <v>2.6599999999999999E-2</v>
      </c>
      <c r="Z133" s="228">
        <v>0.8</v>
      </c>
      <c r="AA133" s="228">
        <v>0.64</v>
      </c>
      <c r="AB133" s="228">
        <v>0.16</v>
      </c>
      <c r="AC133" s="229">
        <v>6.4999999999999997E-3</v>
      </c>
      <c r="AD133" s="228">
        <v>0.8</v>
      </c>
      <c r="AE133" s="228">
        <v>0.64</v>
      </c>
      <c r="AF133" s="228">
        <v>0.16</v>
      </c>
      <c r="AG133" s="229">
        <v>6.4999999999999997E-3</v>
      </c>
      <c r="AH133" s="228">
        <v>1.54</v>
      </c>
      <c r="AI133" s="228">
        <v>1.43</v>
      </c>
      <c r="AJ133" s="228">
        <v>0.11</v>
      </c>
      <c r="AK133" s="229">
        <v>1.26E-2</v>
      </c>
      <c r="AL133" s="228">
        <v>2.2599999999999998</v>
      </c>
      <c r="AM133" s="228">
        <v>1.61</v>
      </c>
      <c r="AN133" s="228">
        <v>0.65</v>
      </c>
      <c r="AO133" s="229">
        <v>1.84E-2</v>
      </c>
      <c r="AP133" s="228">
        <v>122.18</v>
      </c>
      <c r="AQ133" s="228">
        <v>123</v>
      </c>
      <c r="AR133" s="228">
        <v>0</v>
      </c>
      <c r="AS133" s="228">
        <v>301</v>
      </c>
      <c r="AT133" s="228">
        <v>196</v>
      </c>
      <c r="AU133" s="228">
        <v>105</v>
      </c>
      <c r="AV133" s="229">
        <v>0.53939999999999999</v>
      </c>
      <c r="AW133" s="228">
        <v>282</v>
      </c>
      <c r="AX133" s="228">
        <v>189</v>
      </c>
      <c r="AY133" s="228">
        <v>93</v>
      </c>
      <c r="AZ133" s="229">
        <v>0.49299999999999999</v>
      </c>
      <c r="BA133" s="228">
        <v>16</v>
      </c>
      <c r="BB133" s="228">
        <v>6</v>
      </c>
      <c r="BC133" s="228">
        <v>9</v>
      </c>
      <c r="BD133" s="229">
        <v>1.5122</v>
      </c>
      <c r="BE133" s="228">
        <v>3</v>
      </c>
      <c r="BF133" s="228">
        <v>0</v>
      </c>
      <c r="BG133" s="228">
        <v>3</v>
      </c>
      <c r="BH133" s="229">
        <v>9.5</v>
      </c>
      <c r="BI133" s="228">
        <v>772</v>
      </c>
      <c r="BJ133" s="228">
        <v>357</v>
      </c>
      <c r="BK133" s="228">
        <v>415</v>
      </c>
      <c r="BL133" s="229">
        <v>1.1606000000000001</v>
      </c>
      <c r="BM133" s="228">
        <v>253</v>
      </c>
      <c r="BN133" s="228">
        <v>128</v>
      </c>
      <c r="BO133" s="228">
        <v>126</v>
      </c>
      <c r="BP133" s="229">
        <v>0.98160000000000003</v>
      </c>
      <c r="BQ133" s="230">
        <v>1327</v>
      </c>
      <c r="BR133" s="228">
        <v>681</v>
      </c>
      <c r="BS133" s="228">
        <v>646</v>
      </c>
      <c r="BT133" s="229">
        <v>0.94850000000000001</v>
      </c>
      <c r="BU133" s="230">
        <v>13617746</v>
      </c>
      <c r="BV133" s="230">
        <v>5914145</v>
      </c>
      <c r="BW133" s="230">
        <v>7703601</v>
      </c>
      <c r="BX133" s="229">
        <v>1.3026</v>
      </c>
      <c r="BY133" s="230">
        <v>1931</v>
      </c>
      <c r="BZ133" s="230">
        <v>1891</v>
      </c>
      <c r="CA133" s="228">
        <v>41</v>
      </c>
      <c r="CB133" s="229">
        <v>2.1499999999999998E-2</v>
      </c>
      <c r="CC133" s="230">
        <v>1900</v>
      </c>
      <c r="CD133" s="230">
        <v>1862</v>
      </c>
      <c r="CE133" s="228">
        <v>38</v>
      </c>
      <c r="CF133" s="229">
        <v>2.0400000000000001E-2</v>
      </c>
      <c r="CG133" s="228">
        <v>28</v>
      </c>
      <c r="CH133" s="228">
        <v>28</v>
      </c>
      <c r="CI133" s="228">
        <v>0</v>
      </c>
      <c r="CJ133" s="229">
        <v>8.0999999999999996E-3</v>
      </c>
      <c r="CK133" s="228">
        <v>3</v>
      </c>
      <c r="CL133" s="228">
        <v>0</v>
      </c>
      <c r="CM133" s="228">
        <v>2</v>
      </c>
      <c r="CN133" s="229">
        <v>7.5</v>
      </c>
      <c r="CO133" s="228">
        <v>409</v>
      </c>
      <c r="CP133" s="228">
        <v>382</v>
      </c>
      <c r="CQ133" s="228">
        <v>27</v>
      </c>
      <c r="CR133" s="229">
        <v>6.9599999999999995E-2</v>
      </c>
      <c r="CS133" s="228">
        <v>299</v>
      </c>
      <c r="CT133" s="228">
        <v>233</v>
      </c>
      <c r="CU133" s="228">
        <v>66</v>
      </c>
      <c r="CV133" s="229">
        <v>0.28470000000000001</v>
      </c>
      <c r="CW133" s="230">
        <v>2640</v>
      </c>
      <c r="CX133" s="230">
        <v>2506</v>
      </c>
      <c r="CY133" s="228">
        <v>134</v>
      </c>
      <c r="CZ133" s="229">
        <v>5.33E-2</v>
      </c>
      <c r="DA133" s="228">
        <v>27.63</v>
      </c>
      <c r="DB133" s="228">
        <v>28.36</v>
      </c>
      <c r="DC133" s="228">
        <v>-0.73</v>
      </c>
      <c r="DD133" s="228">
        <v>-0.73</v>
      </c>
      <c r="DE133" s="228">
        <v>38.51</v>
      </c>
      <c r="DF133" s="228">
        <v>38.479999999999997</v>
      </c>
      <c r="DG133" s="228">
        <v>-10.88</v>
      </c>
      <c r="DH133" s="228">
        <v>0.03</v>
      </c>
      <c r="DI133" s="228">
        <v>27.41</v>
      </c>
      <c r="DJ133" s="228">
        <v>28.34</v>
      </c>
      <c r="DK133" s="228">
        <v>-0.93</v>
      </c>
      <c r="DL133" s="228">
        <v>-0.93</v>
      </c>
      <c r="DM133" s="228">
        <v>28.3</v>
      </c>
      <c r="DN133" s="228">
        <v>28.43</v>
      </c>
      <c r="DO133" s="228">
        <v>-0.13</v>
      </c>
      <c r="DP133" s="228">
        <v>-0.13</v>
      </c>
      <c r="DQ133" s="228">
        <v>0.73</v>
      </c>
      <c r="DR133" s="228">
        <v>0.61</v>
      </c>
      <c r="DS133" s="228">
        <v>0.12</v>
      </c>
      <c r="DT133" s="229">
        <v>0.19670000000000001</v>
      </c>
      <c r="DU133" s="228">
        <v>130</v>
      </c>
      <c r="DV133" s="228">
        <v>120</v>
      </c>
      <c r="DW133" s="228">
        <v>0.33</v>
      </c>
      <c r="DX133" s="228">
        <v>0.36</v>
      </c>
      <c r="DY133" s="228">
        <v>-0.03</v>
      </c>
      <c r="DZ133" s="229">
        <v>-8.3299999999999999E-2</v>
      </c>
      <c r="EA133" s="229">
        <v>1.6E-2</v>
      </c>
      <c r="EB133" s="230">
        <v>2300100</v>
      </c>
      <c r="EC133" s="229">
        <v>6.0000000000000001E-3</v>
      </c>
      <c r="ED133" s="229">
        <v>1.6E-2</v>
      </c>
      <c r="EE133" s="228">
        <v>0.82</v>
      </c>
      <c r="EF133" s="229">
        <v>6.7000000000000002E-3</v>
      </c>
      <c r="EG133" s="230">
        <v>5866465</v>
      </c>
      <c r="EH133" s="230">
        <v>3072985</v>
      </c>
      <c r="EI133" s="229">
        <v>0.90900000000000003</v>
      </c>
      <c r="EJ133" s="229">
        <v>0.43080000000000002</v>
      </c>
      <c r="EK133" s="228">
        <v>800.55</v>
      </c>
      <c r="EL133" s="228">
        <v>246.3</v>
      </c>
      <c r="EM133" s="228">
        <v>298.45999999999998</v>
      </c>
      <c r="EN133" s="228">
        <v>112.44</v>
      </c>
      <c r="EO133" s="231">
        <v>1345.32</v>
      </c>
      <c r="EP133" s="228">
        <v>682.33</v>
      </c>
      <c r="EQ133" s="228">
        <v>662.99</v>
      </c>
      <c r="ER133" s="229">
        <v>0.97170000000000001</v>
      </c>
      <c r="ES133" s="228">
        <v>414.61</v>
      </c>
      <c r="ET133" s="228">
        <v>281.14</v>
      </c>
      <c r="EU133" s="231">
        <v>1931.36</v>
      </c>
      <c r="EV133" s="231">
        <v>606151620</v>
      </c>
      <c r="EW133" s="231">
        <v>2627.11</v>
      </c>
      <c r="EX133" s="231">
        <v>2453.5300000000002</v>
      </c>
      <c r="EY133" s="228">
        <v>173.58</v>
      </c>
      <c r="EZ133" s="229">
        <v>7.0699999999999999E-2</v>
      </c>
      <c r="FA133" s="229">
        <v>0.35310000000000002</v>
      </c>
      <c r="FB133" s="227" t="s">
        <v>555</v>
      </c>
      <c r="FC133">
        <f t="shared" si="2"/>
        <v>31</v>
      </c>
    </row>
    <row r="134" spans="1:159" ht="17.25" thickBot="1" x14ac:dyDescent="0.3">
      <c r="A134" s="226">
        <v>46023</v>
      </c>
      <c r="B134" s="227" t="s">
        <v>221</v>
      </c>
      <c r="C134" s="227" t="s">
        <v>487</v>
      </c>
      <c r="D134" s="228">
        <v>275</v>
      </c>
      <c r="E134" s="228">
        <v>26</v>
      </c>
      <c r="F134" s="231">
        <v>2838.6</v>
      </c>
      <c r="G134" s="231">
        <v>2802.6</v>
      </c>
      <c r="H134" s="228">
        <v>36</v>
      </c>
      <c r="I134" s="229">
        <v>1.2800000000000001E-2</v>
      </c>
      <c r="J134" s="231">
        <v>2828.6</v>
      </c>
      <c r="K134" s="231">
        <v>2791.2</v>
      </c>
      <c r="L134" s="228">
        <v>37.4</v>
      </c>
      <c r="M134" s="229">
        <v>1.34E-2</v>
      </c>
      <c r="N134" s="231">
        <v>2838.6</v>
      </c>
      <c r="O134" s="231">
        <v>2802.6</v>
      </c>
      <c r="P134" s="228">
        <v>36</v>
      </c>
      <c r="Q134" s="229">
        <v>1.2800000000000001E-2</v>
      </c>
      <c r="R134" s="231">
        <v>2853.5</v>
      </c>
      <c r="S134" s="231">
        <v>2821.1</v>
      </c>
      <c r="T134" s="228">
        <v>32.4</v>
      </c>
      <c r="U134" s="229">
        <v>1.15E-2</v>
      </c>
      <c r="V134" s="228">
        <v>0</v>
      </c>
      <c r="W134" s="228">
        <v>0</v>
      </c>
      <c r="X134" s="228">
        <v>0</v>
      </c>
      <c r="Y134" s="229">
        <v>0</v>
      </c>
      <c r="Z134" s="228">
        <v>10</v>
      </c>
      <c r="AA134" s="228">
        <v>11.4</v>
      </c>
      <c r="AB134" s="228">
        <v>-1.4</v>
      </c>
      <c r="AC134" s="229">
        <v>3.5000000000000001E-3</v>
      </c>
      <c r="AD134" s="228">
        <v>10</v>
      </c>
      <c r="AE134" s="228">
        <v>11.4</v>
      </c>
      <c r="AF134" s="228">
        <v>-1.4</v>
      </c>
      <c r="AG134" s="229">
        <v>3.5000000000000001E-3</v>
      </c>
      <c r="AH134" s="228">
        <v>24.9</v>
      </c>
      <c r="AI134" s="228">
        <v>29.9</v>
      </c>
      <c r="AJ134" s="228">
        <v>-5</v>
      </c>
      <c r="AK134" s="229">
        <v>8.8000000000000005E-3</v>
      </c>
      <c r="AL134" s="228">
        <v>0</v>
      </c>
      <c r="AM134" s="228">
        <v>0</v>
      </c>
      <c r="AN134" s="228">
        <v>0</v>
      </c>
      <c r="AO134" s="229">
        <v>0</v>
      </c>
      <c r="AP134" s="231">
        <v>2831.33</v>
      </c>
      <c r="AQ134" s="231">
        <v>2844.18</v>
      </c>
      <c r="AR134" s="228">
        <v>0</v>
      </c>
      <c r="AS134" s="228">
        <v>78</v>
      </c>
      <c r="AT134" s="228">
        <v>109</v>
      </c>
      <c r="AU134" s="228">
        <v>-31</v>
      </c>
      <c r="AV134" s="229">
        <v>-0.2853</v>
      </c>
      <c r="AW134" s="228">
        <v>76</v>
      </c>
      <c r="AX134" s="228">
        <v>107</v>
      </c>
      <c r="AY134" s="228">
        <v>-32</v>
      </c>
      <c r="AZ134" s="229">
        <v>-0.29509999999999997</v>
      </c>
      <c r="BA134" s="228">
        <v>2</v>
      </c>
      <c r="BB134" s="228">
        <v>1</v>
      </c>
      <c r="BC134" s="228">
        <v>1</v>
      </c>
      <c r="BD134" s="229">
        <v>0.42109999999999997</v>
      </c>
      <c r="BE134" s="228">
        <v>0</v>
      </c>
      <c r="BF134" s="228">
        <v>0</v>
      </c>
      <c r="BG134" s="228">
        <v>0</v>
      </c>
      <c r="BH134" s="229">
        <v>0</v>
      </c>
      <c r="BI134" s="228">
        <v>160</v>
      </c>
      <c r="BJ134" s="228">
        <v>178</v>
      </c>
      <c r="BK134" s="228">
        <v>-18</v>
      </c>
      <c r="BL134" s="229">
        <v>-0.1022</v>
      </c>
      <c r="BM134" s="228">
        <v>45</v>
      </c>
      <c r="BN134" s="228">
        <v>60</v>
      </c>
      <c r="BO134" s="228">
        <v>-15</v>
      </c>
      <c r="BP134" s="229">
        <v>-0.25580000000000003</v>
      </c>
      <c r="BQ134" s="228">
        <v>282</v>
      </c>
      <c r="BR134" s="228">
        <v>347</v>
      </c>
      <c r="BS134" s="228">
        <v>-65</v>
      </c>
      <c r="BT134" s="229">
        <v>-0.18629999999999999</v>
      </c>
      <c r="BU134" s="230">
        <v>98359</v>
      </c>
      <c r="BV134" s="230">
        <v>139617</v>
      </c>
      <c r="BW134" s="230">
        <v>-41258</v>
      </c>
      <c r="BX134" s="229">
        <v>-0.29549999999999998</v>
      </c>
      <c r="BY134" s="230">
        <v>1521</v>
      </c>
      <c r="BZ134" s="230">
        <v>1534</v>
      </c>
      <c r="CA134" s="228">
        <v>-13</v>
      </c>
      <c r="CB134" s="229">
        <v>-8.3000000000000001E-3</v>
      </c>
      <c r="CC134" s="230">
        <v>1510</v>
      </c>
      <c r="CD134" s="230">
        <v>1524</v>
      </c>
      <c r="CE134" s="228">
        <v>-13</v>
      </c>
      <c r="CF134" s="229">
        <v>-8.6999999999999994E-3</v>
      </c>
      <c r="CG134" s="228">
        <v>11</v>
      </c>
      <c r="CH134" s="228">
        <v>10</v>
      </c>
      <c r="CI134" s="228">
        <v>0</v>
      </c>
      <c r="CJ134" s="229">
        <v>4.65E-2</v>
      </c>
      <c r="CK134" s="228">
        <v>0</v>
      </c>
      <c r="CL134" s="228">
        <v>0</v>
      </c>
      <c r="CM134" s="228">
        <v>0</v>
      </c>
      <c r="CN134" s="229">
        <v>0</v>
      </c>
      <c r="CO134" s="228">
        <v>205</v>
      </c>
      <c r="CP134" s="228">
        <v>197</v>
      </c>
      <c r="CQ134" s="228">
        <v>8</v>
      </c>
      <c r="CR134" s="229">
        <v>3.9899999999999998E-2</v>
      </c>
      <c r="CS134" s="228">
        <v>137</v>
      </c>
      <c r="CT134" s="228">
        <v>134</v>
      </c>
      <c r="CU134" s="228">
        <v>4</v>
      </c>
      <c r="CV134" s="229">
        <v>2.8000000000000001E-2</v>
      </c>
      <c r="CW134" s="230">
        <v>1864</v>
      </c>
      <c r="CX134" s="230">
        <v>1865</v>
      </c>
      <c r="CY134" s="228">
        <v>-1</v>
      </c>
      <c r="CZ134" s="229">
        <v>-5.9999999999999995E-4</v>
      </c>
      <c r="DA134" s="228">
        <v>29.93</v>
      </c>
      <c r="DB134" s="228">
        <v>30.78</v>
      </c>
      <c r="DC134" s="228">
        <v>-0.85</v>
      </c>
      <c r="DD134" s="228">
        <v>-0.85</v>
      </c>
      <c r="DE134" s="228">
        <v>35.42</v>
      </c>
      <c r="DF134" s="228">
        <v>35.46</v>
      </c>
      <c r="DG134" s="228">
        <v>-5.49</v>
      </c>
      <c r="DH134" s="228">
        <v>-0.04</v>
      </c>
      <c r="DI134" s="228">
        <v>29.68</v>
      </c>
      <c r="DJ134" s="228">
        <v>30.71</v>
      </c>
      <c r="DK134" s="228">
        <v>-1.03</v>
      </c>
      <c r="DL134" s="228">
        <v>-1.03</v>
      </c>
      <c r="DM134" s="228">
        <v>30.84</v>
      </c>
      <c r="DN134" s="228">
        <v>30.99</v>
      </c>
      <c r="DO134" s="228">
        <v>-0.15</v>
      </c>
      <c r="DP134" s="228">
        <v>-0.15</v>
      </c>
      <c r="DQ134" s="228">
        <v>0.67</v>
      </c>
      <c r="DR134" s="228">
        <v>0.68</v>
      </c>
      <c r="DS134" s="228">
        <v>-0.01</v>
      </c>
      <c r="DT134" s="229">
        <v>-1.47E-2</v>
      </c>
      <c r="DU134" s="231">
        <v>3000</v>
      </c>
      <c r="DV134" s="231">
        <v>2600</v>
      </c>
      <c r="DW134" s="228">
        <v>0.28000000000000003</v>
      </c>
      <c r="DX134" s="228">
        <v>0.34</v>
      </c>
      <c r="DY134" s="228">
        <v>-0.06</v>
      </c>
      <c r="DZ134" s="229">
        <v>-0.17649999999999999</v>
      </c>
      <c r="EA134" s="229">
        <v>6.8999999999999999E-3</v>
      </c>
      <c r="EB134" s="230">
        <v>35475</v>
      </c>
      <c r="EC134" s="229">
        <v>5.1999999999999998E-3</v>
      </c>
      <c r="ED134" s="229">
        <v>6.8999999999999999E-3</v>
      </c>
      <c r="EE134" s="228">
        <v>12.85</v>
      </c>
      <c r="EF134" s="229">
        <v>4.4999999999999997E-3</v>
      </c>
      <c r="EG134" s="230">
        <v>30792</v>
      </c>
      <c r="EH134" s="230">
        <v>73894</v>
      </c>
      <c r="EI134" s="229">
        <v>-0.58330000000000004</v>
      </c>
      <c r="EJ134" s="229">
        <v>0.31309999999999999</v>
      </c>
      <c r="EK134" s="228">
        <v>168.56</v>
      </c>
      <c r="EL134" s="228">
        <v>43.03</v>
      </c>
      <c r="EM134" s="228">
        <v>77.64</v>
      </c>
      <c r="EN134" s="228">
        <v>83.36</v>
      </c>
      <c r="EO134" s="228">
        <v>289.24</v>
      </c>
      <c r="EP134" s="228">
        <v>353.25</v>
      </c>
      <c r="EQ134" s="228">
        <v>-64.010000000000005</v>
      </c>
      <c r="ER134" s="229">
        <v>-0.1812</v>
      </c>
      <c r="ES134" s="228">
        <v>214.85</v>
      </c>
      <c r="ET134" s="228">
        <v>130.79</v>
      </c>
      <c r="EU134" s="231">
        <v>1520.85</v>
      </c>
      <c r="EV134" s="231">
        <v>17093933</v>
      </c>
      <c r="EW134" s="231">
        <v>1866.49</v>
      </c>
      <c r="EX134" s="231">
        <v>1847.4</v>
      </c>
      <c r="EY134" s="228">
        <v>19.09</v>
      </c>
      <c r="EZ134" s="229">
        <v>1.03E-2</v>
      </c>
      <c r="FA134" s="229">
        <v>0.3841</v>
      </c>
      <c r="FB134" s="227" t="s">
        <v>556</v>
      </c>
      <c r="FC134">
        <f t="shared" si="2"/>
        <v>11</v>
      </c>
    </row>
    <row r="135" spans="1:159" ht="17.25" thickBot="1" x14ac:dyDescent="0.3">
      <c r="A135" s="226">
        <v>46023</v>
      </c>
      <c r="B135" s="227" t="s">
        <v>175</v>
      </c>
      <c r="C135" s="227" t="s">
        <v>262</v>
      </c>
      <c r="D135" s="228">
        <v>275</v>
      </c>
      <c r="E135" s="228">
        <v>26</v>
      </c>
      <c r="F135" s="231">
        <v>3857.2</v>
      </c>
      <c r="G135" s="231">
        <v>3834.4</v>
      </c>
      <c r="H135" s="228">
        <v>22.8</v>
      </c>
      <c r="I135" s="229">
        <v>5.8999999999999999E-3</v>
      </c>
      <c r="J135" s="231">
        <v>3839</v>
      </c>
      <c r="K135" s="231">
        <v>3811.7</v>
      </c>
      <c r="L135" s="228">
        <v>27.3</v>
      </c>
      <c r="M135" s="229">
        <v>7.1999999999999998E-3</v>
      </c>
      <c r="N135" s="231">
        <v>3857.2</v>
      </c>
      <c r="O135" s="231">
        <v>3834.4</v>
      </c>
      <c r="P135" s="228">
        <v>22.8</v>
      </c>
      <c r="Q135" s="229">
        <v>5.8999999999999999E-3</v>
      </c>
      <c r="R135" s="231">
        <v>3870.5</v>
      </c>
      <c r="S135" s="231">
        <v>3849.6</v>
      </c>
      <c r="T135" s="228">
        <v>20.9</v>
      </c>
      <c r="U135" s="229">
        <v>5.4000000000000003E-3</v>
      </c>
      <c r="V135" s="231">
        <v>3891</v>
      </c>
      <c r="W135" s="228">
        <v>0</v>
      </c>
      <c r="X135" s="231">
        <v>3891</v>
      </c>
      <c r="Y135" s="229">
        <v>0</v>
      </c>
      <c r="Z135" s="228">
        <v>18.2</v>
      </c>
      <c r="AA135" s="228">
        <v>22.7</v>
      </c>
      <c r="AB135" s="228">
        <v>-4.5</v>
      </c>
      <c r="AC135" s="229">
        <v>4.7000000000000002E-3</v>
      </c>
      <c r="AD135" s="228">
        <v>18.2</v>
      </c>
      <c r="AE135" s="228">
        <v>22.7</v>
      </c>
      <c r="AF135" s="228">
        <v>-4.5</v>
      </c>
      <c r="AG135" s="229">
        <v>4.7000000000000002E-3</v>
      </c>
      <c r="AH135" s="228">
        <v>31.5</v>
      </c>
      <c r="AI135" s="228">
        <v>37.9</v>
      </c>
      <c r="AJ135" s="228">
        <v>-6.4</v>
      </c>
      <c r="AK135" s="229">
        <v>8.2000000000000007E-3</v>
      </c>
      <c r="AL135" s="228">
        <v>52</v>
      </c>
      <c r="AM135" s="228">
        <v>0</v>
      </c>
      <c r="AN135" s="228">
        <v>52</v>
      </c>
      <c r="AO135" s="229">
        <v>1.35E-2</v>
      </c>
      <c r="AP135" s="231">
        <v>3834.2</v>
      </c>
      <c r="AQ135" s="231">
        <v>3852.36</v>
      </c>
      <c r="AR135" s="228">
        <v>0</v>
      </c>
      <c r="AS135" s="228">
        <v>190</v>
      </c>
      <c r="AT135" s="228">
        <v>377</v>
      </c>
      <c r="AU135" s="228">
        <v>-187</v>
      </c>
      <c r="AV135" s="229">
        <v>-0.49609999999999999</v>
      </c>
      <c r="AW135" s="228">
        <v>184</v>
      </c>
      <c r="AX135" s="228">
        <v>366</v>
      </c>
      <c r="AY135" s="228">
        <v>-182</v>
      </c>
      <c r="AZ135" s="229">
        <v>-0.49680000000000002</v>
      </c>
      <c r="BA135" s="228">
        <v>6</v>
      </c>
      <c r="BB135" s="228">
        <v>11</v>
      </c>
      <c r="BC135" s="228">
        <v>-5</v>
      </c>
      <c r="BD135" s="229">
        <v>-0.48110000000000003</v>
      </c>
      <c r="BE135" s="228">
        <v>0</v>
      </c>
      <c r="BF135" s="228">
        <v>0</v>
      </c>
      <c r="BG135" s="228">
        <v>0</v>
      </c>
      <c r="BH135" s="229">
        <v>0</v>
      </c>
      <c r="BI135" s="228">
        <v>675</v>
      </c>
      <c r="BJ135" s="230">
        <v>1364</v>
      </c>
      <c r="BK135" s="228">
        <v>-689</v>
      </c>
      <c r="BL135" s="229">
        <v>-0.50509999999999999</v>
      </c>
      <c r="BM135" s="228">
        <v>443</v>
      </c>
      <c r="BN135" s="228">
        <v>862</v>
      </c>
      <c r="BO135" s="228">
        <v>-419</v>
      </c>
      <c r="BP135" s="229">
        <v>-0.48580000000000001</v>
      </c>
      <c r="BQ135" s="230">
        <v>1308</v>
      </c>
      <c r="BR135" s="230">
        <v>2603</v>
      </c>
      <c r="BS135" s="230">
        <v>-1295</v>
      </c>
      <c r="BT135" s="229">
        <v>-0.49740000000000001</v>
      </c>
      <c r="BU135" s="230">
        <v>212163</v>
      </c>
      <c r="BV135" s="230">
        <v>349100</v>
      </c>
      <c r="BW135" s="230">
        <v>-136937</v>
      </c>
      <c r="BX135" s="229">
        <v>-0.39229999999999998</v>
      </c>
      <c r="BY135" s="230">
        <v>1372</v>
      </c>
      <c r="BZ135" s="230">
        <v>1370</v>
      </c>
      <c r="CA135" s="228">
        <v>3</v>
      </c>
      <c r="CB135" s="229">
        <v>1.9E-3</v>
      </c>
      <c r="CC135" s="230">
        <v>1340</v>
      </c>
      <c r="CD135" s="230">
        <v>1339</v>
      </c>
      <c r="CE135" s="228">
        <v>1</v>
      </c>
      <c r="CF135" s="229">
        <v>1.1000000000000001E-3</v>
      </c>
      <c r="CG135" s="228">
        <v>32</v>
      </c>
      <c r="CH135" s="228">
        <v>31</v>
      </c>
      <c r="CI135" s="228">
        <v>1</v>
      </c>
      <c r="CJ135" s="229">
        <v>3.0599999999999999E-2</v>
      </c>
      <c r="CK135" s="228">
        <v>0</v>
      </c>
      <c r="CL135" s="228">
        <v>0</v>
      </c>
      <c r="CM135" s="228">
        <v>0</v>
      </c>
      <c r="CN135" s="229">
        <v>0</v>
      </c>
      <c r="CO135" s="228">
        <v>664</v>
      </c>
      <c r="CP135" s="228">
        <v>667</v>
      </c>
      <c r="CQ135" s="228">
        <v>-2</v>
      </c>
      <c r="CR135" s="229">
        <v>-3.7000000000000002E-3</v>
      </c>
      <c r="CS135" s="228">
        <v>411</v>
      </c>
      <c r="CT135" s="228">
        <v>398</v>
      </c>
      <c r="CU135" s="228">
        <v>13</v>
      </c>
      <c r="CV135" s="229">
        <v>3.2500000000000001E-2</v>
      </c>
      <c r="CW135" s="230">
        <v>2448</v>
      </c>
      <c r="CX135" s="230">
        <v>2435</v>
      </c>
      <c r="CY135" s="228">
        <v>13</v>
      </c>
      <c r="CZ135" s="229">
        <v>5.4000000000000003E-3</v>
      </c>
      <c r="DA135" s="228">
        <v>24.09</v>
      </c>
      <c r="DB135" s="228">
        <v>24.5</v>
      </c>
      <c r="DC135" s="228">
        <v>-0.41</v>
      </c>
      <c r="DD135" s="228">
        <v>-0.41</v>
      </c>
      <c r="DE135" s="228">
        <v>35.61</v>
      </c>
      <c r="DF135" s="228">
        <v>35.69</v>
      </c>
      <c r="DG135" s="228">
        <v>-11.52</v>
      </c>
      <c r="DH135" s="228">
        <v>-0.08</v>
      </c>
      <c r="DI135" s="228">
        <v>23.64</v>
      </c>
      <c r="DJ135" s="228">
        <v>24.01</v>
      </c>
      <c r="DK135" s="228">
        <v>-0.37</v>
      </c>
      <c r="DL135" s="228">
        <v>-0.37</v>
      </c>
      <c r="DM135" s="228">
        <v>24.76</v>
      </c>
      <c r="DN135" s="228">
        <v>25.28</v>
      </c>
      <c r="DO135" s="228">
        <v>-0.52</v>
      </c>
      <c r="DP135" s="228">
        <v>-0.52</v>
      </c>
      <c r="DQ135" s="228">
        <v>0.62</v>
      </c>
      <c r="DR135" s="228">
        <v>0.6</v>
      </c>
      <c r="DS135" s="228">
        <v>0.02</v>
      </c>
      <c r="DT135" s="229">
        <v>3.3300000000000003E-2</v>
      </c>
      <c r="DU135" s="231">
        <v>3800</v>
      </c>
      <c r="DV135" s="231">
        <v>3700</v>
      </c>
      <c r="DW135" s="228">
        <v>0.66</v>
      </c>
      <c r="DX135" s="228">
        <v>0.63</v>
      </c>
      <c r="DY135" s="228">
        <v>0.03</v>
      </c>
      <c r="DZ135" s="229">
        <v>4.7600000000000003E-2</v>
      </c>
      <c r="EA135" s="229">
        <v>2.35E-2</v>
      </c>
      <c r="EB135" s="230">
        <v>80850</v>
      </c>
      <c r="EC135" s="229">
        <v>3.3999999999999998E-3</v>
      </c>
      <c r="ED135" s="229">
        <v>2.35E-2</v>
      </c>
      <c r="EE135" s="228">
        <v>18.16</v>
      </c>
      <c r="EF135" s="229">
        <v>4.7000000000000002E-3</v>
      </c>
      <c r="EG135" s="230">
        <v>83655</v>
      </c>
      <c r="EH135" s="230">
        <v>153411</v>
      </c>
      <c r="EI135" s="229">
        <v>-0.45469999999999999</v>
      </c>
      <c r="EJ135" s="229">
        <v>0.39429999999999998</v>
      </c>
      <c r="EK135" s="228">
        <v>701.19</v>
      </c>
      <c r="EL135" s="228">
        <v>432.79</v>
      </c>
      <c r="EM135" s="228">
        <v>188.98</v>
      </c>
      <c r="EN135" s="228">
        <v>94.4</v>
      </c>
      <c r="EO135" s="231">
        <v>1322.96</v>
      </c>
      <c r="EP135" s="231">
        <v>2633.26</v>
      </c>
      <c r="EQ135" s="231">
        <v>-1310.31</v>
      </c>
      <c r="ER135" s="229">
        <v>-0.49759999999999999</v>
      </c>
      <c r="ES135" s="228">
        <v>672.15</v>
      </c>
      <c r="ET135" s="228">
        <v>392.84</v>
      </c>
      <c r="EU135" s="231">
        <v>1372.48</v>
      </c>
      <c r="EV135" s="231">
        <v>14790848</v>
      </c>
      <c r="EW135" s="231">
        <v>2437.4699999999998</v>
      </c>
      <c r="EX135" s="231">
        <v>2417.3000000000002</v>
      </c>
      <c r="EY135" s="228">
        <v>20.170000000000002</v>
      </c>
      <c r="EZ135" s="229">
        <v>8.3000000000000001E-3</v>
      </c>
      <c r="FA135" s="229">
        <v>0.42899999999999999</v>
      </c>
      <c r="FB135" s="227" t="s">
        <v>555</v>
      </c>
      <c r="FC135">
        <f t="shared" si="2"/>
        <v>32</v>
      </c>
    </row>
    <row r="136" spans="1:159" ht="17.25" thickBot="1" x14ac:dyDescent="0.3">
      <c r="A136" s="226">
        <v>46023</v>
      </c>
      <c r="B136" s="227" t="s">
        <v>227</v>
      </c>
      <c r="C136" s="227" t="s">
        <v>263</v>
      </c>
      <c r="D136" s="228">
        <v>3750</v>
      </c>
      <c r="E136" s="228">
        <v>26</v>
      </c>
      <c r="F136" s="228">
        <v>316.14999999999998</v>
      </c>
      <c r="G136" s="228">
        <v>316.14999999999998</v>
      </c>
      <c r="H136" s="228">
        <v>0</v>
      </c>
      <c r="I136" s="229">
        <v>0</v>
      </c>
      <c r="J136" s="228">
        <v>314.60000000000002</v>
      </c>
      <c r="K136" s="228">
        <v>314.3</v>
      </c>
      <c r="L136" s="228">
        <v>0.3</v>
      </c>
      <c r="M136" s="229">
        <v>1E-3</v>
      </c>
      <c r="N136" s="228">
        <v>316.14999999999998</v>
      </c>
      <c r="O136" s="228">
        <v>316.14999999999998</v>
      </c>
      <c r="P136" s="228">
        <v>0</v>
      </c>
      <c r="Q136" s="229">
        <v>0</v>
      </c>
      <c r="R136" s="228">
        <v>314.64999999999998</v>
      </c>
      <c r="S136" s="228">
        <v>314.75</v>
      </c>
      <c r="T136" s="228">
        <v>-0.1</v>
      </c>
      <c r="U136" s="229">
        <v>-2.9999999999999997E-4</v>
      </c>
      <c r="V136" s="228">
        <v>316.3</v>
      </c>
      <c r="W136" s="228">
        <v>315.75</v>
      </c>
      <c r="X136" s="228">
        <v>0.55000000000000004</v>
      </c>
      <c r="Y136" s="229">
        <v>1.6999999999999999E-3</v>
      </c>
      <c r="Z136" s="228">
        <v>1.55</v>
      </c>
      <c r="AA136" s="228">
        <v>1.85</v>
      </c>
      <c r="AB136" s="228">
        <v>-0.3</v>
      </c>
      <c r="AC136" s="229">
        <v>4.8999999999999998E-3</v>
      </c>
      <c r="AD136" s="228">
        <v>1.55</v>
      </c>
      <c r="AE136" s="228">
        <v>1.85</v>
      </c>
      <c r="AF136" s="228">
        <v>-0.3</v>
      </c>
      <c r="AG136" s="229">
        <v>4.8999999999999998E-3</v>
      </c>
      <c r="AH136" s="228">
        <v>0.05</v>
      </c>
      <c r="AI136" s="228">
        <v>0.45</v>
      </c>
      <c r="AJ136" s="228">
        <v>-0.4</v>
      </c>
      <c r="AK136" s="229">
        <v>2.0000000000000001E-4</v>
      </c>
      <c r="AL136" s="228">
        <v>1.7</v>
      </c>
      <c r="AM136" s="228">
        <v>1.45</v>
      </c>
      <c r="AN136" s="228">
        <v>0.25</v>
      </c>
      <c r="AO136" s="229">
        <v>5.4000000000000003E-3</v>
      </c>
      <c r="AP136" s="228">
        <v>315.24</v>
      </c>
      <c r="AQ136" s="228">
        <v>314.08999999999997</v>
      </c>
      <c r="AR136" s="228">
        <v>0</v>
      </c>
      <c r="AS136" s="228">
        <v>318</v>
      </c>
      <c r="AT136" s="228">
        <v>653</v>
      </c>
      <c r="AU136" s="228">
        <v>-336</v>
      </c>
      <c r="AV136" s="229">
        <v>-0.51339999999999997</v>
      </c>
      <c r="AW136" s="228">
        <v>294</v>
      </c>
      <c r="AX136" s="228">
        <v>597</v>
      </c>
      <c r="AY136" s="228">
        <v>-303</v>
      </c>
      <c r="AZ136" s="229">
        <v>-0.50719999999999998</v>
      </c>
      <c r="BA136" s="228">
        <v>21</v>
      </c>
      <c r="BB136" s="228">
        <v>54</v>
      </c>
      <c r="BC136" s="228">
        <v>-33</v>
      </c>
      <c r="BD136" s="229">
        <v>-0.60529999999999995</v>
      </c>
      <c r="BE136" s="228">
        <v>2</v>
      </c>
      <c r="BF136" s="228">
        <v>2</v>
      </c>
      <c r="BG136" s="228">
        <v>0</v>
      </c>
      <c r="BH136" s="229">
        <v>0.1176</v>
      </c>
      <c r="BI136" s="228">
        <v>748</v>
      </c>
      <c r="BJ136" s="230">
        <v>2749</v>
      </c>
      <c r="BK136" s="230">
        <v>-2001</v>
      </c>
      <c r="BL136" s="229">
        <v>-0.7278</v>
      </c>
      <c r="BM136" s="228">
        <v>384</v>
      </c>
      <c r="BN136" s="228">
        <v>999</v>
      </c>
      <c r="BO136" s="228">
        <v>-615</v>
      </c>
      <c r="BP136" s="229">
        <v>-0.61599999999999999</v>
      </c>
      <c r="BQ136" s="230">
        <v>1450</v>
      </c>
      <c r="BR136" s="230">
        <v>4401</v>
      </c>
      <c r="BS136" s="230">
        <v>-2951</v>
      </c>
      <c r="BT136" s="229">
        <v>-0.67059999999999997</v>
      </c>
      <c r="BU136" s="230">
        <v>7432098</v>
      </c>
      <c r="BV136" s="230">
        <v>12781993</v>
      </c>
      <c r="BW136" s="230">
        <v>-5349895</v>
      </c>
      <c r="BX136" s="229">
        <v>-0.41849999999999998</v>
      </c>
      <c r="BY136" s="230">
        <v>1626</v>
      </c>
      <c r="BZ136" s="230">
        <v>1663</v>
      </c>
      <c r="CA136" s="228">
        <v>-37</v>
      </c>
      <c r="CB136" s="229">
        <v>-2.2200000000000001E-2</v>
      </c>
      <c r="CC136" s="230">
        <v>1523</v>
      </c>
      <c r="CD136" s="230">
        <v>1563</v>
      </c>
      <c r="CE136" s="228">
        <v>-40</v>
      </c>
      <c r="CF136" s="229">
        <v>-2.5600000000000001E-2</v>
      </c>
      <c r="CG136" s="228">
        <v>101</v>
      </c>
      <c r="CH136" s="228">
        <v>99</v>
      </c>
      <c r="CI136" s="228">
        <v>2</v>
      </c>
      <c r="CJ136" s="229">
        <v>2.1600000000000001E-2</v>
      </c>
      <c r="CK136" s="228">
        <v>3</v>
      </c>
      <c r="CL136" s="228">
        <v>2</v>
      </c>
      <c r="CM136" s="228">
        <v>1</v>
      </c>
      <c r="CN136" s="229">
        <v>0.69230000000000003</v>
      </c>
      <c r="CO136" s="230">
        <v>1015</v>
      </c>
      <c r="CP136" s="230">
        <v>1002</v>
      </c>
      <c r="CQ136" s="228">
        <v>13</v>
      </c>
      <c r="CR136" s="229">
        <v>1.34E-2</v>
      </c>
      <c r="CS136" s="228">
        <v>761</v>
      </c>
      <c r="CT136" s="228">
        <v>786</v>
      </c>
      <c r="CU136" s="228">
        <v>-25</v>
      </c>
      <c r="CV136" s="229">
        <v>-3.1399999999999997E-2</v>
      </c>
      <c r="CW136" s="230">
        <v>3402</v>
      </c>
      <c r="CX136" s="230">
        <v>3451</v>
      </c>
      <c r="CY136" s="228">
        <v>-48</v>
      </c>
      <c r="CZ136" s="229">
        <v>-1.3899999999999999E-2</v>
      </c>
      <c r="DA136" s="228">
        <v>33.090000000000003</v>
      </c>
      <c r="DB136" s="228">
        <v>34.159999999999997</v>
      </c>
      <c r="DC136" s="228">
        <v>-1.07</v>
      </c>
      <c r="DD136" s="228">
        <v>-1.07</v>
      </c>
      <c r="DE136" s="228">
        <v>46.31</v>
      </c>
      <c r="DF136" s="228">
        <v>46.43</v>
      </c>
      <c r="DG136" s="228">
        <v>-13.22</v>
      </c>
      <c r="DH136" s="228">
        <v>-0.12</v>
      </c>
      <c r="DI136" s="228">
        <v>33.08</v>
      </c>
      <c r="DJ136" s="228">
        <v>34.130000000000003</v>
      </c>
      <c r="DK136" s="228">
        <v>-1.05</v>
      </c>
      <c r="DL136" s="228">
        <v>-1.05</v>
      </c>
      <c r="DM136" s="228">
        <v>33.11</v>
      </c>
      <c r="DN136" s="228">
        <v>34.25</v>
      </c>
      <c r="DO136" s="228">
        <v>-1.1399999999999999</v>
      </c>
      <c r="DP136" s="228">
        <v>-1.1399999999999999</v>
      </c>
      <c r="DQ136" s="228">
        <v>0.75</v>
      </c>
      <c r="DR136" s="228">
        <v>0.78</v>
      </c>
      <c r="DS136" s="228">
        <v>-0.03</v>
      </c>
      <c r="DT136" s="229">
        <v>-3.85E-2</v>
      </c>
      <c r="DU136" s="228">
        <v>340</v>
      </c>
      <c r="DV136" s="228">
        <v>320</v>
      </c>
      <c r="DW136" s="228">
        <v>0.51</v>
      </c>
      <c r="DX136" s="228">
        <v>0.36</v>
      </c>
      <c r="DY136" s="228">
        <v>0.15</v>
      </c>
      <c r="DZ136" s="229">
        <v>0.41670000000000001</v>
      </c>
      <c r="EA136" s="229">
        <v>6.3600000000000004E-2</v>
      </c>
      <c r="EB136" s="230">
        <v>3172500</v>
      </c>
      <c r="EC136" s="229">
        <v>-4.7000000000000002E-3</v>
      </c>
      <c r="ED136" s="229">
        <v>6.3600000000000004E-2</v>
      </c>
      <c r="EE136" s="228">
        <v>-1.1499999999999999</v>
      </c>
      <c r="EF136" s="229">
        <v>-3.5999999999999999E-3</v>
      </c>
      <c r="EG136" s="230">
        <v>2805962</v>
      </c>
      <c r="EH136" s="230">
        <v>5283561</v>
      </c>
      <c r="EI136" s="229">
        <v>-0.46889999999999998</v>
      </c>
      <c r="EJ136" s="229">
        <v>0.3775</v>
      </c>
      <c r="EK136" s="228">
        <v>794.73</v>
      </c>
      <c r="EL136" s="228">
        <v>377.16</v>
      </c>
      <c r="EM136" s="228">
        <v>316.98</v>
      </c>
      <c r="EN136" s="228">
        <v>113.05</v>
      </c>
      <c r="EO136" s="231">
        <v>1488.87</v>
      </c>
      <c r="EP136" s="231">
        <v>4582.1499999999996</v>
      </c>
      <c r="EQ136" s="231">
        <v>-3093.28</v>
      </c>
      <c r="ER136" s="229">
        <v>-0.67510000000000003</v>
      </c>
      <c r="ES136" s="231">
        <v>1037.68</v>
      </c>
      <c r="ET136" s="228">
        <v>709.99</v>
      </c>
      <c r="EU136" s="231">
        <v>1625.88</v>
      </c>
      <c r="EV136" s="231">
        <v>134225816</v>
      </c>
      <c r="EW136" s="231">
        <v>3373.55</v>
      </c>
      <c r="EX136" s="231">
        <v>3418.95</v>
      </c>
      <c r="EY136" s="228">
        <v>-45.4</v>
      </c>
      <c r="EZ136" s="229">
        <v>-1.3299999999999999E-2</v>
      </c>
      <c r="FA136" s="229">
        <v>0.80179999999999996</v>
      </c>
      <c r="FB136" s="227" t="s">
        <v>237</v>
      </c>
      <c r="FC136">
        <f t="shared" si="2"/>
        <v>103</v>
      </c>
    </row>
    <row r="137" spans="1:159" ht="17.25" thickBot="1" x14ac:dyDescent="0.3">
      <c r="A137" s="226">
        <v>46023</v>
      </c>
      <c r="B137" s="227" t="s">
        <v>615</v>
      </c>
      <c r="C137" s="227" t="s">
        <v>264</v>
      </c>
      <c r="D137" s="228">
        <v>375</v>
      </c>
      <c r="E137" s="228">
        <v>26</v>
      </c>
      <c r="F137" s="231">
        <v>1347.4</v>
      </c>
      <c r="G137" s="231">
        <v>1341.5</v>
      </c>
      <c r="H137" s="228">
        <v>5.9</v>
      </c>
      <c r="I137" s="229">
        <v>4.4000000000000003E-3</v>
      </c>
      <c r="J137" s="231">
        <v>1340.9</v>
      </c>
      <c r="K137" s="231">
        <v>1333.6</v>
      </c>
      <c r="L137" s="228">
        <v>7.3</v>
      </c>
      <c r="M137" s="229">
        <v>5.4999999999999997E-3</v>
      </c>
      <c r="N137" s="231">
        <v>1347.4</v>
      </c>
      <c r="O137" s="231">
        <v>1341.5</v>
      </c>
      <c r="P137" s="228">
        <v>5.9</v>
      </c>
      <c r="Q137" s="229">
        <v>4.4000000000000003E-3</v>
      </c>
      <c r="R137" s="231">
        <v>1355.5</v>
      </c>
      <c r="S137" s="231">
        <v>1349.7</v>
      </c>
      <c r="T137" s="228">
        <v>5.8</v>
      </c>
      <c r="U137" s="229">
        <v>4.3E-3</v>
      </c>
      <c r="V137" s="231">
        <v>1360</v>
      </c>
      <c r="W137" s="231">
        <v>1356</v>
      </c>
      <c r="X137" s="228">
        <v>4</v>
      </c>
      <c r="Y137" s="229">
        <v>2.8999999999999998E-3</v>
      </c>
      <c r="Z137" s="228">
        <v>6.5</v>
      </c>
      <c r="AA137" s="228">
        <v>7.9</v>
      </c>
      <c r="AB137" s="228">
        <v>-1.4</v>
      </c>
      <c r="AC137" s="229">
        <v>4.7999999999999996E-3</v>
      </c>
      <c r="AD137" s="228">
        <v>6.5</v>
      </c>
      <c r="AE137" s="228">
        <v>7.9</v>
      </c>
      <c r="AF137" s="228">
        <v>-1.4</v>
      </c>
      <c r="AG137" s="229">
        <v>4.7999999999999996E-3</v>
      </c>
      <c r="AH137" s="228">
        <v>14.6</v>
      </c>
      <c r="AI137" s="228">
        <v>16.100000000000001</v>
      </c>
      <c r="AJ137" s="228">
        <v>-1.5</v>
      </c>
      <c r="AK137" s="229">
        <v>1.09E-2</v>
      </c>
      <c r="AL137" s="228">
        <v>19.100000000000001</v>
      </c>
      <c r="AM137" s="228">
        <v>22.4</v>
      </c>
      <c r="AN137" s="228">
        <v>-3.3</v>
      </c>
      <c r="AO137" s="229">
        <v>1.4200000000000001E-2</v>
      </c>
      <c r="AP137" s="231">
        <v>1343.62</v>
      </c>
      <c r="AQ137" s="231">
        <v>1352.72</v>
      </c>
      <c r="AR137" s="228">
        <v>0</v>
      </c>
      <c r="AS137" s="228">
        <v>52</v>
      </c>
      <c r="AT137" s="228">
        <v>92</v>
      </c>
      <c r="AU137" s="228">
        <v>-39</v>
      </c>
      <c r="AV137" s="229">
        <v>-0.43</v>
      </c>
      <c r="AW137" s="228">
        <v>50</v>
      </c>
      <c r="AX137" s="228">
        <v>88</v>
      </c>
      <c r="AY137" s="228">
        <v>-38</v>
      </c>
      <c r="AZ137" s="229">
        <v>-0.43219999999999997</v>
      </c>
      <c r="BA137" s="228">
        <v>2</v>
      </c>
      <c r="BB137" s="228">
        <v>3</v>
      </c>
      <c r="BC137" s="228">
        <v>-1</v>
      </c>
      <c r="BD137" s="229">
        <v>-0.43940000000000001</v>
      </c>
      <c r="BE137" s="228">
        <v>0</v>
      </c>
      <c r="BF137" s="228">
        <v>0</v>
      </c>
      <c r="BG137" s="228">
        <v>0</v>
      </c>
      <c r="BH137" s="229">
        <v>4</v>
      </c>
      <c r="BI137" s="228">
        <v>95</v>
      </c>
      <c r="BJ137" s="228">
        <v>159</v>
      </c>
      <c r="BK137" s="228">
        <v>-64</v>
      </c>
      <c r="BL137" s="229">
        <v>-0.40339999999999998</v>
      </c>
      <c r="BM137" s="228">
        <v>80</v>
      </c>
      <c r="BN137" s="228">
        <v>110</v>
      </c>
      <c r="BO137" s="228">
        <v>-29</v>
      </c>
      <c r="BP137" s="229">
        <v>-0.26800000000000002</v>
      </c>
      <c r="BQ137" s="228">
        <v>228</v>
      </c>
      <c r="BR137" s="228">
        <v>361</v>
      </c>
      <c r="BS137" s="228">
        <v>-133</v>
      </c>
      <c r="BT137" s="229">
        <v>-0.36890000000000001</v>
      </c>
      <c r="BU137" s="230">
        <v>257320</v>
      </c>
      <c r="BV137" s="230">
        <v>825879</v>
      </c>
      <c r="BW137" s="230">
        <v>-568559</v>
      </c>
      <c r="BX137" s="229">
        <v>-0.68840000000000001</v>
      </c>
      <c r="BY137" s="230">
        <v>1070</v>
      </c>
      <c r="BZ137" s="230">
        <v>1069</v>
      </c>
      <c r="CA137" s="228">
        <v>2</v>
      </c>
      <c r="CB137" s="229">
        <v>1.6999999999999999E-3</v>
      </c>
      <c r="CC137" s="230">
        <v>1063</v>
      </c>
      <c r="CD137" s="230">
        <v>1061</v>
      </c>
      <c r="CE137" s="228">
        <v>2</v>
      </c>
      <c r="CF137" s="229">
        <v>1.6000000000000001E-3</v>
      </c>
      <c r="CG137" s="228">
        <v>7</v>
      </c>
      <c r="CH137" s="228">
        <v>7</v>
      </c>
      <c r="CI137" s="228">
        <v>0</v>
      </c>
      <c r="CJ137" s="229">
        <v>-7.1000000000000004E-3</v>
      </c>
      <c r="CK137" s="228">
        <v>0</v>
      </c>
      <c r="CL137" s="228">
        <v>0</v>
      </c>
      <c r="CM137" s="228">
        <v>0</v>
      </c>
      <c r="CN137" s="229">
        <v>2</v>
      </c>
      <c r="CO137" s="228">
        <v>198</v>
      </c>
      <c r="CP137" s="228">
        <v>186</v>
      </c>
      <c r="CQ137" s="228">
        <v>11</v>
      </c>
      <c r="CR137" s="229">
        <v>6.0499999999999998E-2</v>
      </c>
      <c r="CS137" s="228">
        <v>158</v>
      </c>
      <c r="CT137" s="228">
        <v>131</v>
      </c>
      <c r="CU137" s="228">
        <v>27</v>
      </c>
      <c r="CV137" s="229">
        <v>0.2082</v>
      </c>
      <c r="CW137" s="230">
        <v>1426</v>
      </c>
      <c r="CX137" s="230">
        <v>1386</v>
      </c>
      <c r="CY137" s="228">
        <v>40</v>
      </c>
      <c r="CZ137" s="229">
        <v>2.9100000000000001E-2</v>
      </c>
      <c r="DA137" s="228">
        <v>25.6</v>
      </c>
      <c r="DB137" s="228">
        <v>26.89</v>
      </c>
      <c r="DC137" s="228">
        <v>-1.29</v>
      </c>
      <c r="DD137" s="228">
        <v>-1.29</v>
      </c>
      <c r="DE137" s="228">
        <v>35.71</v>
      </c>
      <c r="DF137" s="228">
        <v>35.79</v>
      </c>
      <c r="DG137" s="228">
        <v>-10.11</v>
      </c>
      <c r="DH137" s="228">
        <v>-0.08</v>
      </c>
      <c r="DI137" s="228">
        <v>25.42</v>
      </c>
      <c r="DJ137" s="228">
        <v>26.35</v>
      </c>
      <c r="DK137" s="228">
        <v>-0.93</v>
      </c>
      <c r="DL137" s="228">
        <v>-0.93</v>
      </c>
      <c r="DM137" s="228">
        <v>25.81</v>
      </c>
      <c r="DN137" s="228">
        <v>27.69</v>
      </c>
      <c r="DO137" s="228">
        <v>-1.88</v>
      </c>
      <c r="DP137" s="228">
        <v>-1.88</v>
      </c>
      <c r="DQ137" s="228">
        <v>0.8</v>
      </c>
      <c r="DR137" s="228">
        <v>0.7</v>
      </c>
      <c r="DS137" s="228">
        <v>0.1</v>
      </c>
      <c r="DT137" s="229">
        <v>0.1429</v>
      </c>
      <c r="DU137" s="231">
        <v>1380</v>
      </c>
      <c r="DV137" s="231">
        <v>1280</v>
      </c>
      <c r="DW137" s="228">
        <v>0.85</v>
      </c>
      <c r="DX137" s="228">
        <v>0.69</v>
      </c>
      <c r="DY137" s="228">
        <v>0.16</v>
      </c>
      <c r="DZ137" s="229">
        <v>0.2319</v>
      </c>
      <c r="EA137" s="229">
        <v>6.7999999999999996E-3</v>
      </c>
      <c r="EB137" s="230">
        <v>53250</v>
      </c>
      <c r="EC137" s="229">
        <v>6.0000000000000001E-3</v>
      </c>
      <c r="ED137" s="229">
        <v>6.7999999999999996E-3</v>
      </c>
      <c r="EE137" s="228">
        <v>9.1</v>
      </c>
      <c r="EF137" s="229">
        <v>6.7999999999999996E-3</v>
      </c>
      <c r="EG137" s="230">
        <v>113240</v>
      </c>
      <c r="EH137" s="230">
        <v>594151</v>
      </c>
      <c r="EI137" s="229">
        <v>-0.80940000000000001</v>
      </c>
      <c r="EJ137" s="229">
        <v>0.44009999999999999</v>
      </c>
      <c r="EK137" s="228">
        <v>100.19</v>
      </c>
      <c r="EL137" s="228">
        <v>77.209999999999994</v>
      </c>
      <c r="EM137" s="228">
        <v>52.11</v>
      </c>
      <c r="EN137" s="228">
        <v>72.7</v>
      </c>
      <c r="EO137" s="228">
        <v>229.52</v>
      </c>
      <c r="EP137" s="228">
        <v>365.36</v>
      </c>
      <c r="EQ137" s="228">
        <v>-135.84</v>
      </c>
      <c r="ER137" s="229">
        <v>-0.37180000000000002</v>
      </c>
      <c r="ES137" s="228">
        <v>209.27</v>
      </c>
      <c r="ET137" s="228">
        <v>151.94999999999999</v>
      </c>
      <c r="EU137" s="231">
        <v>1070.3699999999999</v>
      </c>
      <c r="EV137" s="231">
        <v>45110207</v>
      </c>
      <c r="EW137" s="231">
        <v>1431.58</v>
      </c>
      <c r="EX137" s="231">
        <v>1387.19</v>
      </c>
      <c r="EY137" s="228">
        <v>44.39</v>
      </c>
      <c r="EZ137" s="229">
        <v>3.2000000000000001E-2</v>
      </c>
      <c r="FA137" s="229">
        <v>0.23469999999999999</v>
      </c>
      <c r="FB137" s="227" t="s">
        <v>555</v>
      </c>
      <c r="FC137">
        <f t="shared" si="2"/>
        <v>7</v>
      </c>
    </row>
    <row r="138" spans="1:159" ht="17.25" thickBot="1" x14ac:dyDescent="0.3">
      <c r="A138" s="226">
        <v>46023</v>
      </c>
      <c r="B138" s="227" t="s">
        <v>206</v>
      </c>
      <c r="C138" s="227" t="s">
        <v>550</v>
      </c>
      <c r="D138" s="228">
        <v>6500</v>
      </c>
      <c r="E138" s="228">
        <v>26</v>
      </c>
      <c r="F138" s="228">
        <v>122.81</v>
      </c>
      <c r="G138" s="228">
        <v>122.25</v>
      </c>
      <c r="H138" s="228">
        <v>0.56000000000000005</v>
      </c>
      <c r="I138" s="229">
        <v>4.5999999999999999E-3</v>
      </c>
      <c r="J138" s="228">
        <v>122.1</v>
      </c>
      <c r="K138" s="228">
        <v>121.77</v>
      </c>
      <c r="L138" s="228">
        <v>0.33</v>
      </c>
      <c r="M138" s="229">
        <v>2.7000000000000001E-3</v>
      </c>
      <c r="N138" s="228">
        <v>122.81</v>
      </c>
      <c r="O138" s="228">
        <v>122.25</v>
      </c>
      <c r="P138" s="228">
        <v>0.56000000000000005</v>
      </c>
      <c r="Q138" s="229">
        <v>4.5999999999999999E-3</v>
      </c>
      <c r="R138" s="228">
        <v>123.39</v>
      </c>
      <c r="S138" s="228">
        <v>122.91</v>
      </c>
      <c r="T138" s="228">
        <v>0.48</v>
      </c>
      <c r="U138" s="229">
        <v>3.8999999999999998E-3</v>
      </c>
      <c r="V138" s="228">
        <v>123.4</v>
      </c>
      <c r="W138" s="228">
        <v>123.58</v>
      </c>
      <c r="X138" s="228">
        <v>-0.18</v>
      </c>
      <c r="Y138" s="229">
        <v>-1.5E-3</v>
      </c>
      <c r="Z138" s="228">
        <v>0.71</v>
      </c>
      <c r="AA138" s="228">
        <v>0.48</v>
      </c>
      <c r="AB138" s="228">
        <v>0.23</v>
      </c>
      <c r="AC138" s="229">
        <v>5.7999999999999996E-3</v>
      </c>
      <c r="AD138" s="228">
        <v>0.71</v>
      </c>
      <c r="AE138" s="228">
        <v>0.48</v>
      </c>
      <c r="AF138" s="228">
        <v>0.23</v>
      </c>
      <c r="AG138" s="229">
        <v>5.7999999999999996E-3</v>
      </c>
      <c r="AH138" s="228">
        <v>1.29</v>
      </c>
      <c r="AI138" s="228">
        <v>1.1399999999999999</v>
      </c>
      <c r="AJ138" s="228">
        <v>0.15</v>
      </c>
      <c r="AK138" s="229">
        <v>1.06E-2</v>
      </c>
      <c r="AL138" s="228">
        <v>1.3</v>
      </c>
      <c r="AM138" s="228">
        <v>1.81</v>
      </c>
      <c r="AN138" s="228">
        <v>-0.51</v>
      </c>
      <c r="AO138" s="229">
        <v>1.06E-2</v>
      </c>
      <c r="AP138" s="228">
        <v>122.85</v>
      </c>
      <c r="AQ138" s="228">
        <v>123.42</v>
      </c>
      <c r="AR138" s="228">
        <v>0</v>
      </c>
      <c r="AS138" s="228">
        <v>107</v>
      </c>
      <c r="AT138" s="228">
        <v>116</v>
      </c>
      <c r="AU138" s="228">
        <v>-8</v>
      </c>
      <c r="AV138" s="229">
        <v>-7.3200000000000001E-2</v>
      </c>
      <c r="AW138" s="228">
        <v>103</v>
      </c>
      <c r="AX138" s="228">
        <v>109</v>
      </c>
      <c r="AY138" s="228">
        <v>-6</v>
      </c>
      <c r="AZ138" s="229">
        <v>-5.7799999999999997E-2</v>
      </c>
      <c r="BA138" s="228">
        <v>4</v>
      </c>
      <c r="BB138" s="228">
        <v>6</v>
      </c>
      <c r="BC138" s="228">
        <v>-2</v>
      </c>
      <c r="BD138" s="229">
        <v>-0.32</v>
      </c>
      <c r="BE138" s="228">
        <v>0</v>
      </c>
      <c r="BF138" s="228">
        <v>0</v>
      </c>
      <c r="BG138" s="228">
        <v>0</v>
      </c>
      <c r="BH138" s="229">
        <v>-0.5</v>
      </c>
      <c r="BI138" s="228">
        <v>238</v>
      </c>
      <c r="BJ138" s="228">
        <v>219</v>
      </c>
      <c r="BK138" s="228">
        <v>19</v>
      </c>
      <c r="BL138" s="229">
        <v>8.6400000000000005E-2</v>
      </c>
      <c r="BM138" s="228">
        <v>84</v>
      </c>
      <c r="BN138" s="228">
        <v>82</v>
      </c>
      <c r="BO138" s="228">
        <v>2</v>
      </c>
      <c r="BP138" s="229">
        <v>2.53E-2</v>
      </c>
      <c r="BQ138" s="228">
        <v>429</v>
      </c>
      <c r="BR138" s="228">
        <v>416</v>
      </c>
      <c r="BS138" s="228">
        <v>13</v>
      </c>
      <c r="BT138" s="229">
        <v>3.0099999999999998E-2</v>
      </c>
      <c r="BU138" s="230">
        <v>9417613</v>
      </c>
      <c r="BV138" s="230">
        <v>6603944</v>
      </c>
      <c r="BW138" s="230">
        <v>2813669</v>
      </c>
      <c r="BX138" s="229">
        <v>0.42609999999999998</v>
      </c>
      <c r="BY138" s="230">
        <v>1178</v>
      </c>
      <c r="BZ138" s="230">
        <v>1175</v>
      </c>
      <c r="CA138" s="228">
        <v>3</v>
      </c>
      <c r="CB138" s="229">
        <v>2.8E-3</v>
      </c>
      <c r="CC138" s="230">
        <v>1156</v>
      </c>
      <c r="CD138" s="230">
        <v>1154</v>
      </c>
      <c r="CE138" s="228">
        <v>2</v>
      </c>
      <c r="CF138" s="229">
        <v>1.4E-3</v>
      </c>
      <c r="CG138" s="228">
        <v>22</v>
      </c>
      <c r="CH138" s="228">
        <v>20</v>
      </c>
      <c r="CI138" s="228">
        <v>1</v>
      </c>
      <c r="CJ138" s="229">
        <v>7.1400000000000005E-2</v>
      </c>
      <c r="CK138" s="228">
        <v>1</v>
      </c>
      <c r="CL138" s="228">
        <v>0</v>
      </c>
      <c r="CM138" s="228">
        <v>0</v>
      </c>
      <c r="CN138" s="229">
        <v>0.5</v>
      </c>
      <c r="CO138" s="228">
        <v>492</v>
      </c>
      <c r="CP138" s="228">
        <v>462</v>
      </c>
      <c r="CQ138" s="228">
        <v>30</v>
      </c>
      <c r="CR138" s="229">
        <v>6.4899999999999999E-2</v>
      </c>
      <c r="CS138" s="228">
        <v>250</v>
      </c>
      <c r="CT138" s="228">
        <v>240</v>
      </c>
      <c r="CU138" s="228">
        <v>10</v>
      </c>
      <c r="CV138" s="229">
        <v>4.2299999999999997E-2</v>
      </c>
      <c r="CW138" s="230">
        <v>1920</v>
      </c>
      <c r="CX138" s="230">
        <v>1877</v>
      </c>
      <c r="CY138" s="228">
        <v>43</v>
      </c>
      <c r="CZ138" s="229">
        <v>2.3099999999999999E-2</v>
      </c>
      <c r="DA138" s="228">
        <v>32.450000000000003</v>
      </c>
      <c r="DB138" s="228">
        <v>32.81</v>
      </c>
      <c r="DC138" s="228">
        <v>-0.36</v>
      </c>
      <c r="DD138" s="228">
        <v>-0.36</v>
      </c>
      <c r="DE138" s="228">
        <v>50.82</v>
      </c>
      <c r="DF138" s="228">
        <v>50.95</v>
      </c>
      <c r="DG138" s="228">
        <v>-18.37</v>
      </c>
      <c r="DH138" s="228">
        <v>-0.13</v>
      </c>
      <c r="DI138" s="228">
        <v>32.39</v>
      </c>
      <c r="DJ138" s="228">
        <v>32.840000000000003</v>
      </c>
      <c r="DK138" s="228">
        <v>-0.45</v>
      </c>
      <c r="DL138" s="228">
        <v>-0.45</v>
      </c>
      <c r="DM138" s="228">
        <v>32.619999999999997</v>
      </c>
      <c r="DN138" s="228">
        <v>32.729999999999997</v>
      </c>
      <c r="DO138" s="228">
        <v>-0.11</v>
      </c>
      <c r="DP138" s="228">
        <v>-0.11</v>
      </c>
      <c r="DQ138" s="228">
        <v>0.51</v>
      </c>
      <c r="DR138" s="228">
        <v>0.52</v>
      </c>
      <c r="DS138" s="228">
        <v>-0.01</v>
      </c>
      <c r="DT138" s="229">
        <v>-1.9199999999999998E-2</v>
      </c>
      <c r="DU138" s="228">
        <v>130</v>
      </c>
      <c r="DV138" s="228">
        <v>115</v>
      </c>
      <c r="DW138" s="228">
        <v>0.35</v>
      </c>
      <c r="DX138" s="228">
        <v>0.37</v>
      </c>
      <c r="DY138" s="228">
        <v>-0.02</v>
      </c>
      <c r="DZ138" s="229">
        <v>-5.4100000000000002E-2</v>
      </c>
      <c r="EA138" s="229">
        <v>1.89E-2</v>
      </c>
      <c r="EB138" s="230">
        <v>1677000</v>
      </c>
      <c r="EC138" s="229">
        <v>4.7000000000000002E-3</v>
      </c>
      <c r="ED138" s="229">
        <v>1.89E-2</v>
      </c>
      <c r="EE138" s="228">
        <v>0.56999999999999995</v>
      </c>
      <c r="EF138" s="229">
        <v>4.5999999999999999E-3</v>
      </c>
      <c r="EG138" s="230">
        <v>2505465</v>
      </c>
      <c r="EH138" s="230">
        <v>2527136</v>
      </c>
      <c r="EI138" s="229">
        <v>-8.6E-3</v>
      </c>
      <c r="EJ138" s="229">
        <v>0.26600000000000001</v>
      </c>
      <c r="EK138" s="228">
        <v>251.39</v>
      </c>
      <c r="EL138" s="228">
        <v>81.680000000000007</v>
      </c>
      <c r="EM138" s="228">
        <v>107.18</v>
      </c>
      <c r="EN138" s="228">
        <v>97.37</v>
      </c>
      <c r="EO138" s="228">
        <v>440.25</v>
      </c>
      <c r="EP138" s="228">
        <v>427.78</v>
      </c>
      <c r="EQ138" s="228">
        <v>12.47</v>
      </c>
      <c r="ER138" s="229">
        <v>2.92E-2</v>
      </c>
      <c r="ES138" s="228">
        <v>510.15</v>
      </c>
      <c r="ET138" s="228">
        <v>235.24</v>
      </c>
      <c r="EU138" s="231">
        <v>1178.0999999999999</v>
      </c>
      <c r="EV138" s="231">
        <v>154894704</v>
      </c>
      <c r="EW138" s="231">
        <v>1923.5</v>
      </c>
      <c r="EX138" s="231">
        <v>1873.93</v>
      </c>
      <c r="EY138" s="228">
        <v>49.57</v>
      </c>
      <c r="EZ138" s="229">
        <v>2.6499999999999999E-2</v>
      </c>
      <c r="FA138" s="229">
        <v>1.0094000000000001</v>
      </c>
      <c r="FB138" s="227" t="s">
        <v>555</v>
      </c>
      <c r="FC138">
        <f t="shared" si="2"/>
        <v>22</v>
      </c>
    </row>
    <row r="139" spans="1:159" ht="17.25" thickBot="1" x14ac:dyDescent="0.3">
      <c r="A139" s="226">
        <v>46023</v>
      </c>
      <c r="B139" s="227" t="s">
        <v>168</v>
      </c>
      <c r="C139" s="227" t="s">
        <v>265</v>
      </c>
      <c r="D139" s="228">
        <v>500</v>
      </c>
      <c r="E139" s="228">
        <v>26</v>
      </c>
      <c r="F139" s="231">
        <v>1300.5</v>
      </c>
      <c r="G139" s="231">
        <v>1293.7</v>
      </c>
      <c r="H139" s="228">
        <v>6.8</v>
      </c>
      <c r="I139" s="229">
        <v>5.3E-3</v>
      </c>
      <c r="J139" s="231">
        <v>1295</v>
      </c>
      <c r="K139" s="231">
        <v>1288</v>
      </c>
      <c r="L139" s="228">
        <v>7</v>
      </c>
      <c r="M139" s="229">
        <v>5.4000000000000003E-3</v>
      </c>
      <c r="N139" s="231">
        <v>1300.5</v>
      </c>
      <c r="O139" s="231">
        <v>1293.7</v>
      </c>
      <c r="P139" s="228">
        <v>6.8</v>
      </c>
      <c r="Q139" s="229">
        <v>5.3E-3</v>
      </c>
      <c r="R139" s="231">
        <v>1302.4000000000001</v>
      </c>
      <c r="S139" s="231">
        <v>1294.8</v>
      </c>
      <c r="T139" s="228">
        <v>7.6</v>
      </c>
      <c r="U139" s="229">
        <v>5.8999999999999999E-3</v>
      </c>
      <c r="V139" s="231">
        <v>1310.4000000000001</v>
      </c>
      <c r="W139" s="231">
        <v>1303.2</v>
      </c>
      <c r="X139" s="228">
        <v>7.2</v>
      </c>
      <c r="Y139" s="229">
        <v>5.4999999999999997E-3</v>
      </c>
      <c r="Z139" s="228">
        <v>5.5</v>
      </c>
      <c r="AA139" s="228">
        <v>5.7</v>
      </c>
      <c r="AB139" s="228">
        <v>-0.2</v>
      </c>
      <c r="AC139" s="229">
        <v>4.1999999999999997E-3</v>
      </c>
      <c r="AD139" s="228">
        <v>5.5</v>
      </c>
      <c r="AE139" s="228">
        <v>5.7</v>
      </c>
      <c r="AF139" s="228">
        <v>-0.2</v>
      </c>
      <c r="AG139" s="229">
        <v>4.1999999999999997E-3</v>
      </c>
      <c r="AH139" s="228">
        <v>7.4</v>
      </c>
      <c r="AI139" s="228">
        <v>6.8</v>
      </c>
      <c r="AJ139" s="228">
        <v>0.6</v>
      </c>
      <c r="AK139" s="229">
        <v>5.7000000000000002E-3</v>
      </c>
      <c r="AL139" s="228">
        <v>15.4</v>
      </c>
      <c r="AM139" s="228">
        <v>15.2</v>
      </c>
      <c r="AN139" s="228">
        <v>0.2</v>
      </c>
      <c r="AO139" s="229">
        <v>1.1900000000000001E-2</v>
      </c>
      <c r="AP139" s="231">
        <v>1297.23</v>
      </c>
      <c r="AQ139" s="231">
        <v>1298</v>
      </c>
      <c r="AR139" s="228">
        <v>0</v>
      </c>
      <c r="AS139" s="228">
        <v>138</v>
      </c>
      <c r="AT139" s="228">
        <v>210</v>
      </c>
      <c r="AU139" s="228">
        <v>-73</v>
      </c>
      <c r="AV139" s="229">
        <v>-0.34470000000000001</v>
      </c>
      <c r="AW139" s="228">
        <v>131</v>
      </c>
      <c r="AX139" s="228">
        <v>201</v>
      </c>
      <c r="AY139" s="228">
        <v>-70</v>
      </c>
      <c r="AZ139" s="229">
        <v>-0.3488</v>
      </c>
      <c r="BA139" s="228">
        <v>5</v>
      </c>
      <c r="BB139" s="228">
        <v>8</v>
      </c>
      <c r="BC139" s="228">
        <v>-3</v>
      </c>
      <c r="BD139" s="229">
        <v>-0.40160000000000001</v>
      </c>
      <c r="BE139" s="228">
        <v>2</v>
      </c>
      <c r="BF139" s="228">
        <v>1</v>
      </c>
      <c r="BG139" s="228">
        <v>1</v>
      </c>
      <c r="BH139" s="229">
        <v>0.82350000000000001</v>
      </c>
      <c r="BI139" s="228">
        <v>352</v>
      </c>
      <c r="BJ139" s="228">
        <v>407</v>
      </c>
      <c r="BK139" s="228">
        <v>-56</v>
      </c>
      <c r="BL139" s="229">
        <v>-0.13719999999999999</v>
      </c>
      <c r="BM139" s="228">
        <v>120</v>
      </c>
      <c r="BN139" s="228">
        <v>161</v>
      </c>
      <c r="BO139" s="228">
        <v>-41</v>
      </c>
      <c r="BP139" s="229">
        <v>-0.25480000000000003</v>
      </c>
      <c r="BQ139" s="228">
        <v>609</v>
      </c>
      <c r="BR139" s="228">
        <v>779</v>
      </c>
      <c r="BS139" s="228">
        <v>-169</v>
      </c>
      <c r="BT139" s="229">
        <v>-0.21759999999999999</v>
      </c>
      <c r="BU139" s="230">
        <v>949219</v>
      </c>
      <c r="BV139" s="230">
        <v>801634</v>
      </c>
      <c r="BW139" s="230">
        <v>147585</v>
      </c>
      <c r="BX139" s="229">
        <v>0.18410000000000001</v>
      </c>
      <c r="BY139" s="230">
        <v>2130</v>
      </c>
      <c r="BZ139" s="230">
        <v>2151</v>
      </c>
      <c r="CA139" s="228">
        <v>-20</v>
      </c>
      <c r="CB139" s="229">
        <v>-9.4999999999999998E-3</v>
      </c>
      <c r="CC139" s="230">
        <v>2109</v>
      </c>
      <c r="CD139" s="230">
        <v>2131</v>
      </c>
      <c r="CE139" s="228">
        <v>-22</v>
      </c>
      <c r="CF139" s="229">
        <v>-1.0200000000000001E-2</v>
      </c>
      <c r="CG139" s="228">
        <v>19</v>
      </c>
      <c r="CH139" s="228">
        <v>19</v>
      </c>
      <c r="CI139" s="228">
        <v>0</v>
      </c>
      <c r="CJ139" s="229">
        <v>1.04E-2</v>
      </c>
      <c r="CK139" s="228">
        <v>2</v>
      </c>
      <c r="CL139" s="228">
        <v>1</v>
      </c>
      <c r="CM139" s="228">
        <v>1</v>
      </c>
      <c r="CN139" s="229">
        <v>1.0625</v>
      </c>
      <c r="CO139" s="228">
        <v>245</v>
      </c>
      <c r="CP139" s="228">
        <v>207</v>
      </c>
      <c r="CQ139" s="228">
        <v>38</v>
      </c>
      <c r="CR139" s="229">
        <v>0.18149999999999999</v>
      </c>
      <c r="CS139" s="228">
        <v>130</v>
      </c>
      <c r="CT139" s="228">
        <v>119</v>
      </c>
      <c r="CU139" s="228">
        <v>12</v>
      </c>
      <c r="CV139" s="229">
        <v>9.8699999999999996E-2</v>
      </c>
      <c r="CW139" s="230">
        <v>2506</v>
      </c>
      <c r="CX139" s="230">
        <v>2477</v>
      </c>
      <c r="CY139" s="228">
        <v>29</v>
      </c>
      <c r="CZ139" s="229">
        <v>1.17E-2</v>
      </c>
      <c r="DA139" s="228">
        <v>16.690000000000001</v>
      </c>
      <c r="DB139" s="228">
        <v>16.84</v>
      </c>
      <c r="DC139" s="228">
        <v>-0.15</v>
      </c>
      <c r="DD139" s="228">
        <v>-0.15</v>
      </c>
      <c r="DE139" s="228">
        <v>22.62</v>
      </c>
      <c r="DF139" s="228">
        <v>22.66</v>
      </c>
      <c r="DG139" s="228">
        <v>-5.93</v>
      </c>
      <c r="DH139" s="228">
        <v>-0.04</v>
      </c>
      <c r="DI139" s="228">
        <v>16.440000000000001</v>
      </c>
      <c r="DJ139" s="228">
        <v>16.7</v>
      </c>
      <c r="DK139" s="228">
        <v>-0.26</v>
      </c>
      <c r="DL139" s="228">
        <v>-0.26</v>
      </c>
      <c r="DM139" s="228">
        <v>17.45</v>
      </c>
      <c r="DN139" s="228">
        <v>17.18</v>
      </c>
      <c r="DO139" s="228">
        <v>0.27</v>
      </c>
      <c r="DP139" s="228">
        <v>0.27</v>
      </c>
      <c r="DQ139" s="228">
        <v>0.53</v>
      </c>
      <c r="DR139" s="228">
        <v>0.56999999999999995</v>
      </c>
      <c r="DS139" s="228">
        <v>-0.04</v>
      </c>
      <c r="DT139" s="229">
        <v>-7.0199999999999999E-2</v>
      </c>
      <c r="DU139" s="231">
        <v>1300</v>
      </c>
      <c r="DV139" s="231">
        <v>1200</v>
      </c>
      <c r="DW139" s="228">
        <v>0.34</v>
      </c>
      <c r="DX139" s="228">
        <v>0.4</v>
      </c>
      <c r="DY139" s="228">
        <v>-0.06</v>
      </c>
      <c r="DZ139" s="229">
        <v>-0.15</v>
      </c>
      <c r="EA139" s="229">
        <v>9.9000000000000008E-3</v>
      </c>
      <c r="EB139" s="230">
        <v>152500</v>
      </c>
      <c r="EC139" s="229">
        <v>1.5E-3</v>
      </c>
      <c r="ED139" s="229">
        <v>9.9000000000000008E-3</v>
      </c>
      <c r="EE139" s="228">
        <v>0.77</v>
      </c>
      <c r="EF139" s="229">
        <v>5.9999999999999995E-4</v>
      </c>
      <c r="EG139" s="230">
        <v>571341</v>
      </c>
      <c r="EH139" s="230">
        <v>485281</v>
      </c>
      <c r="EI139" s="229">
        <v>0.17730000000000001</v>
      </c>
      <c r="EJ139" s="229">
        <v>0.60189999999999999</v>
      </c>
      <c r="EK139" s="228">
        <v>360.75</v>
      </c>
      <c r="EL139" s="228">
        <v>117.61</v>
      </c>
      <c r="EM139" s="228">
        <v>137.52000000000001</v>
      </c>
      <c r="EN139" s="228">
        <v>122.98</v>
      </c>
      <c r="EO139" s="228">
        <v>615.88</v>
      </c>
      <c r="EP139" s="228">
        <v>782.01</v>
      </c>
      <c r="EQ139" s="228">
        <v>-166.13</v>
      </c>
      <c r="ER139" s="229">
        <v>-0.21240000000000001</v>
      </c>
      <c r="ES139" s="228">
        <v>250.44</v>
      </c>
      <c r="ET139" s="228">
        <v>123.74</v>
      </c>
      <c r="EU139" s="231">
        <v>2130.2600000000002</v>
      </c>
      <c r="EV139" s="231">
        <v>71801274</v>
      </c>
      <c r="EW139" s="231">
        <v>2504.4499999999998</v>
      </c>
      <c r="EX139" s="231">
        <v>2462.75</v>
      </c>
      <c r="EY139" s="228">
        <v>41.7</v>
      </c>
      <c r="EZ139" s="229">
        <v>1.6899999999999998E-2</v>
      </c>
      <c r="FA139" s="229">
        <v>0.26829999999999998</v>
      </c>
      <c r="FB139" s="227" t="s">
        <v>556</v>
      </c>
      <c r="FC139">
        <f t="shared" si="2"/>
        <v>21</v>
      </c>
    </row>
    <row r="140" spans="1:159" ht="17.25" thickBot="1" x14ac:dyDescent="0.3">
      <c r="A140" s="226">
        <v>46023</v>
      </c>
      <c r="B140" s="227" t="s">
        <v>161</v>
      </c>
      <c r="C140" s="227" t="s">
        <v>585</v>
      </c>
      <c r="D140" s="228">
        <v>6400</v>
      </c>
      <c r="E140" s="228">
        <v>26</v>
      </c>
      <c r="F140" s="228">
        <v>80.06</v>
      </c>
      <c r="G140" s="228">
        <v>79.47</v>
      </c>
      <c r="H140" s="228">
        <v>0.59</v>
      </c>
      <c r="I140" s="229">
        <v>7.4000000000000003E-3</v>
      </c>
      <c r="J140" s="228">
        <v>79.56</v>
      </c>
      <c r="K140" s="228">
        <v>79.22</v>
      </c>
      <c r="L140" s="228">
        <v>0.34</v>
      </c>
      <c r="M140" s="229">
        <v>4.3E-3</v>
      </c>
      <c r="N140" s="228">
        <v>80.06</v>
      </c>
      <c r="O140" s="228">
        <v>79.47</v>
      </c>
      <c r="P140" s="228">
        <v>0.59</v>
      </c>
      <c r="Q140" s="229">
        <v>7.4000000000000003E-3</v>
      </c>
      <c r="R140" s="228">
        <v>79.489999999999995</v>
      </c>
      <c r="S140" s="228">
        <v>78.900000000000006</v>
      </c>
      <c r="T140" s="228">
        <v>0.59</v>
      </c>
      <c r="U140" s="229">
        <v>7.4999999999999997E-3</v>
      </c>
      <c r="V140" s="228">
        <v>79.72</v>
      </c>
      <c r="W140" s="228">
        <v>79.349999999999994</v>
      </c>
      <c r="X140" s="228">
        <v>0.37</v>
      </c>
      <c r="Y140" s="229">
        <v>4.7000000000000002E-3</v>
      </c>
      <c r="Z140" s="228">
        <v>0.5</v>
      </c>
      <c r="AA140" s="228">
        <v>0.25</v>
      </c>
      <c r="AB140" s="228">
        <v>0.25</v>
      </c>
      <c r="AC140" s="229">
        <v>6.3E-3</v>
      </c>
      <c r="AD140" s="228">
        <v>0.5</v>
      </c>
      <c r="AE140" s="228">
        <v>0.25</v>
      </c>
      <c r="AF140" s="228">
        <v>0.25</v>
      </c>
      <c r="AG140" s="229">
        <v>6.3E-3</v>
      </c>
      <c r="AH140" s="228">
        <v>-7.0000000000000007E-2</v>
      </c>
      <c r="AI140" s="228">
        <v>-0.32</v>
      </c>
      <c r="AJ140" s="228">
        <v>0.25</v>
      </c>
      <c r="AK140" s="229">
        <v>-8.9999999999999998E-4</v>
      </c>
      <c r="AL140" s="228">
        <v>0.16</v>
      </c>
      <c r="AM140" s="228">
        <v>0.13</v>
      </c>
      <c r="AN140" s="228">
        <v>0.03</v>
      </c>
      <c r="AO140" s="229">
        <v>2E-3</v>
      </c>
      <c r="AP140" s="228">
        <v>80.069999999999993</v>
      </c>
      <c r="AQ140" s="228">
        <v>79.55</v>
      </c>
      <c r="AR140" s="228">
        <v>0</v>
      </c>
      <c r="AS140" s="228">
        <v>47</v>
      </c>
      <c r="AT140" s="228">
        <v>102</v>
      </c>
      <c r="AU140" s="228">
        <v>-55</v>
      </c>
      <c r="AV140" s="229">
        <v>-0.54110000000000003</v>
      </c>
      <c r="AW140" s="228">
        <v>42</v>
      </c>
      <c r="AX140" s="228">
        <v>93</v>
      </c>
      <c r="AY140" s="228">
        <v>-51</v>
      </c>
      <c r="AZ140" s="229">
        <v>-0.54910000000000003</v>
      </c>
      <c r="BA140" s="228">
        <v>5</v>
      </c>
      <c r="BB140" s="228">
        <v>8</v>
      </c>
      <c r="BC140" s="228">
        <v>-4</v>
      </c>
      <c r="BD140" s="229">
        <v>-0.43030000000000002</v>
      </c>
      <c r="BE140" s="228">
        <v>0</v>
      </c>
      <c r="BF140" s="228">
        <v>1</v>
      </c>
      <c r="BG140" s="228">
        <v>-1</v>
      </c>
      <c r="BH140" s="229">
        <v>-0.76470000000000005</v>
      </c>
      <c r="BI140" s="228">
        <v>168</v>
      </c>
      <c r="BJ140" s="228">
        <v>295</v>
      </c>
      <c r="BK140" s="228">
        <v>-126</v>
      </c>
      <c r="BL140" s="229">
        <v>-0.42870000000000003</v>
      </c>
      <c r="BM140" s="228">
        <v>66</v>
      </c>
      <c r="BN140" s="228">
        <v>84</v>
      </c>
      <c r="BO140" s="228">
        <v>-18</v>
      </c>
      <c r="BP140" s="229">
        <v>-0.21990000000000001</v>
      </c>
      <c r="BQ140" s="228">
        <v>281</v>
      </c>
      <c r="BR140" s="228">
        <v>481</v>
      </c>
      <c r="BS140" s="228">
        <v>-200</v>
      </c>
      <c r="BT140" s="229">
        <v>-0.41599999999999998</v>
      </c>
      <c r="BU140" s="230">
        <v>7263282</v>
      </c>
      <c r="BV140" s="230">
        <v>12593481</v>
      </c>
      <c r="BW140" s="230">
        <v>-5330199</v>
      </c>
      <c r="BX140" s="229">
        <v>-0.42330000000000001</v>
      </c>
      <c r="BY140" s="228">
        <v>576</v>
      </c>
      <c r="BZ140" s="228">
        <v>571</v>
      </c>
      <c r="CA140" s="228">
        <v>6</v>
      </c>
      <c r="CB140" s="229">
        <v>9.7999999999999997E-3</v>
      </c>
      <c r="CC140" s="228">
        <v>539</v>
      </c>
      <c r="CD140" s="228">
        <v>534</v>
      </c>
      <c r="CE140" s="228">
        <v>4</v>
      </c>
      <c r="CF140" s="229">
        <v>8.0999999999999996E-3</v>
      </c>
      <c r="CG140" s="228">
        <v>37</v>
      </c>
      <c r="CH140" s="228">
        <v>35</v>
      </c>
      <c r="CI140" s="228">
        <v>1</v>
      </c>
      <c r="CJ140" s="229">
        <v>3.4700000000000002E-2</v>
      </c>
      <c r="CK140" s="228">
        <v>1</v>
      </c>
      <c r="CL140" s="228">
        <v>1</v>
      </c>
      <c r="CM140" s="228">
        <v>0</v>
      </c>
      <c r="CN140" s="229">
        <v>5.8799999999999998E-2</v>
      </c>
      <c r="CO140" s="228">
        <v>205</v>
      </c>
      <c r="CP140" s="228">
        <v>202</v>
      </c>
      <c r="CQ140" s="228">
        <v>3</v>
      </c>
      <c r="CR140" s="229">
        <v>1.2699999999999999E-2</v>
      </c>
      <c r="CS140" s="228">
        <v>99</v>
      </c>
      <c r="CT140" s="228">
        <v>85</v>
      </c>
      <c r="CU140" s="228">
        <v>14</v>
      </c>
      <c r="CV140" s="229">
        <v>0.16470000000000001</v>
      </c>
      <c r="CW140" s="228">
        <v>880</v>
      </c>
      <c r="CX140" s="228">
        <v>858</v>
      </c>
      <c r="CY140" s="228">
        <v>22</v>
      </c>
      <c r="CZ140" s="229">
        <v>2.58E-2</v>
      </c>
      <c r="DA140" s="228">
        <v>25.47</v>
      </c>
      <c r="DB140" s="228">
        <v>27.09</v>
      </c>
      <c r="DC140" s="228">
        <v>-1.62</v>
      </c>
      <c r="DD140" s="228">
        <v>-1.62</v>
      </c>
      <c r="DE140" s="228">
        <v>36.270000000000003</v>
      </c>
      <c r="DF140" s="228">
        <v>36.35</v>
      </c>
      <c r="DG140" s="228">
        <v>-10.8</v>
      </c>
      <c r="DH140" s="228">
        <v>-0.08</v>
      </c>
      <c r="DI140" s="228">
        <v>25.87</v>
      </c>
      <c r="DJ140" s="228">
        <v>27.48</v>
      </c>
      <c r="DK140" s="228">
        <v>-1.61</v>
      </c>
      <c r="DL140" s="228">
        <v>-1.61</v>
      </c>
      <c r="DM140" s="228">
        <v>24.44</v>
      </c>
      <c r="DN140" s="228">
        <v>25.71</v>
      </c>
      <c r="DO140" s="228">
        <v>-1.27</v>
      </c>
      <c r="DP140" s="228">
        <v>-1.27</v>
      </c>
      <c r="DQ140" s="228">
        <v>0.48</v>
      </c>
      <c r="DR140" s="228">
        <v>0.42</v>
      </c>
      <c r="DS140" s="228">
        <v>0.06</v>
      </c>
      <c r="DT140" s="229">
        <v>0.1429</v>
      </c>
      <c r="DU140" s="228">
        <v>90</v>
      </c>
      <c r="DV140" s="228">
        <v>80</v>
      </c>
      <c r="DW140" s="228">
        <v>0.39</v>
      </c>
      <c r="DX140" s="228">
        <v>0.28999999999999998</v>
      </c>
      <c r="DY140" s="228">
        <v>0.1</v>
      </c>
      <c r="DZ140" s="229">
        <v>0.3448</v>
      </c>
      <c r="EA140" s="229">
        <v>6.5299999999999997E-2</v>
      </c>
      <c r="EB140" s="230">
        <v>4537600</v>
      </c>
      <c r="EC140" s="229">
        <v>-7.1000000000000004E-3</v>
      </c>
      <c r="ED140" s="229">
        <v>6.5299999999999997E-2</v>
      </c>
      <c r="EE140" s="228">
        <v>-0.52</v>
      </c>
      <c r="EF140" s="229">
        <v>-6.4999999999999997E-3</v>
      </c>
      <c r="EG140" s="230">
        <v>3771231</v>
      </c>
      <c r="EH140" s="230">
        <v>7266588</v>
      </c>
      <c r="EI140" s="229">
        <v>-0.48099999999999998</v>
      </c>
      <c r="EJ140" s="229">
        <v>0.51919999999999999</v>
      </c>
      <c r="EK140" s="228">
        <v>177.6</v>
      </c>
      <c r="EL140" s="228">
        <v>64.489999999999995</v>
      </c>
      <c r="EM140" s="228">
        <v>46.86</v>
      </c>
      <c r="EN140" s="228">
        <v>61.57</v>
      </c>
      <c r="EO140" s="228">
        <v>288.95</v>
      </c>
      <c r="EP140" s="228">
        <v>498.26</v>
      </c>
      <c r="EQ140" s="228">
        <v>-209.31</v>
      </c>
      <c r="ER140" s="229">
        <v>-0.42009999999999997</v>
      </c>
      <c r="ES140" s="228">
        <v>215.11</v>
      </c>
      <c r="ET140" s="228">
        <v>95.36</v>
      </c>
      <c r="EU140" s="228">
        <v>575.91</v>
      </c>
      <c r="EV140" s="231">
        <v>491233252</v>
      </c>
      <c r="EW140" s="228">
        <v>886.38</v>
      </c>
      <c r="EX140" s="228">
        <v>860.3</v>
      </c>
      <c r="EY140" s="228">
        <v>26.08</v>
      </c>
      <c r="EZ140" s="229">
        <v>3.0300000000000001E-2</v>
      </c>
      <c r="FA140" s="229">
        <v>0.22370000000000001</v>
      </c>
      <c r="FB140" s="227" t="s">
        <v>555</v>
      </c>
      <c r="FC140">
        <f t="shared" si="2"/>
        <v>37</v>
      </c>
    </row>
    <row r="141" spans="1:159" ht="17.25" thickBot="1" x14ac:dyDescent="0.3">
      <c r="A141" s="226">
        <v>46023</v>
      </c>
      <c r="B141" s="227" t="s">
        <v>181</v>
      </c>
      <c r="C141" s="227" t="s">
        <v>266</v>
      </c>
      <c r="D141" s="228">
        <v>65</v>
      </c>
      <c r="E141" s="228">
        <v>26</v>
      </c>
      <c r="F141" s="231">
        <v>26290.400000000001</v>
      </c>
      <c r="G141" s="231">
        <v>26296.3</v>
      </c>
      <c r="H141" s="228">
        <v>-5.9</v>
      </c>
      <c r="I141" s="229">
        <v>-2.0000000000000001E-4</v>
      </c>
      <c r="J141" s="231">
        <v>26146.55</v>
      </c>
      <c r="K141" s="231">
        <v>26129.599999999999</v>
      </c>
      <c r="L141" s="228">
        <v>16.95</v>
      </c>
      <c r="M141" s="229">
        <v>5.9999999999999995E-4</v>
      </c>
      <c r="N141" s="231">
        <v>26290.400000000001</v>
      </c>
      <c r="O141" s="231">
        <v>26296.3</v>
      </c>
      <c r="P141" s="228">
        <v>-5.9</v>
      </c>
      <c r="Q141" s="229">
        <v>-2.0000000000000001E-4</v>
      </c>
      <c r="R141" s="231">
        <v>26436.9</v>
      </c>
      <c r="S141" s="231">
        <v>26438</v>
      </c>
      <c r="T141" s="228">
        <v>-1.1000000000000001</v>
      </c>
      <c r="U141" s="229">
        <v>0</v>
      </c>
      <c r="V141" s="231">
        <v>26621</v>
      </c>
      <c r="W141" s="231">
        <v>26617.1</v>
      </c>
      <c r="X141" s="228">
        <v>3.9</v>
      </c>
      <c r="Y141" s="229">
        <v>1E-4</v>
      </c>
      <c r="Z141" s="228">
        <v>143.85</v>
      </c>
      <c r="AA141" s="228">
        <v>166.7</v>
      </c>
      <c r="AB141" s="228">
        <v>-22.85</v>
      </c>
      <c r="AC141" s="229">
        <v>5.4999999999999997E-3</v>
      </c>
      <c r="AD141" s="228">
        <v>143.85</v>
      </c>
      <c r="AE141" s="228">
        <v>166.7</v>
      </c>
      <c r="AF141" s="228">
        <v>-22.85</v>
      </c>
      <c r="AG141" s="229">
        <v>5.4999999999999997E-3</v>
      </c>
      <c r="AH141" s="228">
        <v>290.35000000000002</v>
      </c>
      <c r="AI141" s="228">
        <v>308.39999999999998</v>
      </c>
      <c r="AJ141" s="228">
        <v>-18.05</v>
      </c>
      <c r="AK141" s="229">
        <v>1.11E-2</v>
      </c>
      <c r="AL141" s="228">
        <v>474.45</v>
      </c>
      <c r="AM141" s="228">
        <v>487.5</v>
      </c>
      <c r="AN141" s="228">
        <v>-13.05</v>
      </c>
      <c r="AO141" s="229">
        <v>1.8100000000000002E-2</v>
      </c>
      <c r="AP141" s="231">
        <v>26299.27</v>
      </c>
      <c r="AQ141" s="231">
        <v>26440.58</v>
      </c>
      <c r="AR141" s="228">
        <v>0</v>
      </c>
      <c r="AS141" s="230">
        <v>5794</v>
      </c>
      <c r="AT141" s="230">
        <v>13772</v>
      </c>
      <c r="AU141" s="230">
        <v>-7978</v>
      </c>
      <c r="AV141" s="229">
        <v>-0.57930000000000004</v>
      </c>
      <c r="AW141" s="230">
        <v>5352</v>
      </c>
      <c r="AX141" s="230">
        <v>12465</v>
      </c>
      <c r="AY141" s="230">
        <v>-7113</v>
      </c>
      <c r="AZ141" s="229">
        <v>-0.5706</v>
      </c>
      <c r="BA141" s="228">
        <v>291</v>
      </c>
      <c r="BB141" s="228">
        <v>871</v>
      </c>
      <c r="BC141" s="228">
        <v>-580</v>
      </c>
      <c r="BD141" s="229">
        <v>-0.66590000000000005</v>
      </c>
      <c r="BE141" s="228">
        <v>151</v>
      </c>
      <c r="BF141" s="228">
        <v>436</v>
      </c>
      <c r="BG141" s="228">
        <v>-285</v>
      </c>
      <c r="BH141" s="229">
        <v>-0.65329999999999999</v>
      </c>
      <c r="BI141" s="230">
        <v>4089113</v>
      </c>
      <c r="BJ141" s="230">
        <v>5383926</v>
      </c>
      <c r="BK141" s="230">
        <v>-1294813</v>
      </c>
      <c r="BL141" s="229">
        <v>-0.24049999999999999</v>
      </c>
      <c r="BM141" s="230">
        <v>4284978</v>
      </c>
      <c r="BN141" s="230">
        <v>4713873</v>
      </c>
      <c r="BO141" s="230">
        <v>-428895</v>
      </c>
      <c r="BP141" s="229">
        <v>-9.0999999999999998E-2</v>
      </c>
      <c r="BQ141" s="230">
        <v>8379886</v>
      </c>
      <c r="BR141" s="230">
        <v>10111572</v>
      </c>
      <c r="BS141" s="230">
        <v>-1731686</v>
      </c>
      <c r="BT141" s="229">
        <v>-0.17130000000000001</v>
      </c>
      <c r="BU141" s="228">
        <v>0</v>
      </c>
      <c r="BV141" s="228">
        <v>0</v>
      </c>
      <c r="BW141" s="228">
        <v>0</v>
      </c>
      <c r="BX141" s="229">
        <v>0</v>
      </c>
      <c r="BY141" s="230">
        <v>40434</v>
      </c>
      <c r="BZ141" s="230">
        <v>40384</v>
      </c>
      <c r="CA141" s="228">
        <v>50</v>
      </c>
      <c r="CB141" s="229">
        <v>1.1999999999999999E-3</v>
      </c>
      <c r="CC141" s="230">
        <v>36816</v>
      </c>
      <c r="CD141" s="230">
        <v>36876</v>
      </c>
      <c r="CE141" s="228">
        <v>-60</v>
      </c>
      <c r="CF141" s="229">
        <v>-1.6000000000000001E-3</v>
      </c>
      <c r="CG141" s="230">
        <v>3171</v>
      </c>
      <c r="CH141" s="230">
        <v>3143</v>
      </c>
      <c r="CI141" s="228">
        <v>28</v>
      </c>
      <c r="CJ141" s="229">
        <v>8.8000000000000005E-3</v>
      </c>
      <c r="CK141" s="228">
        <v>447</v>
      </c>
      <c r="CL141" s="228">
        <v>364</v>
      </c>
      <c r="CM141" s="228">
        <v>83</v>
      </c>
      <c r="CN141" s="229">
        <v>0.22670000000000001</v>
      </c>
      <c r="CO141" s="230">
        <v>554005</v>
      </c>
      <c r="CP141" s="230">
        <v>436530</v>
      </c>
      <c r="CQ141" s="230">
        <v>117475</v>
      </c>
      <c r="CR141" s="229">
        <v>0.26910000000000001</v>
      </c>
      <c r="CS141" s="230">
        <v>626779</v>
      </c>
      <c r="CT141" s="230">
        <v>552769</v>
      </c>
      <c r="CU141" s="230">
        <v>74010</v>
      </c>
      <c r="CV141" s="229">
        <v>0.13389999999999999</v>
      </c>
      <c r="CW141" s="230">
        <v>1221218</v>
      </c>
      <c r="CX141" s="230">
        <v>1029683</v>
      </c>
      <c r="CY141" s="230">
        <v>191536</v>
      </c>
      <c r="CZ141" s="229">
        <v>0.186</v>
      </c>
      <c r="DA141" s="228">
        <v>8.43</v>
      </c>
      <c r="DB141" s="228">
        <v>8.8000000000000007</v>
      </c>
      <c r="DC141" s="228">
        <v>-0.37</v>
      </c>
      <c r="DD141" s="228">
        <v>-0.37</v>
      </c>
      <c r="DE141" s="228">
        <v>13.9</v>
      </c>
      <c r="DF141" s="228">
        <v>13.94</v>
      </c>
      <c r="DG141" s="228">
        <v>-5.47</v>
      </c>
      <c r="DH141" s="228">
        <v>-0.04</v>
      </c>
      <c r="DI141" s="228">
        <v>7.84</v>
      </c>
      <c r="DJ141" s="228">
        <v>8.0299999999999994</v>
      </c>
      <c r="DK141" s="228">
        <v>-0.19</v>
      </c>
      <c r="DL141" s="228">
        <v>-0.19</v>
      </c>
      <c r="DM141" s="228">
        <v>9.01</v>
      </c>
      <c r="DN141" s="228">
        <v>9.67</v>
      </c>
      <c r="DO141" s="228">
        <v>-0.66</v>
      </c>
      <c r="DP141" s="228">
        <v>-0.66</v>
      </c>
      <c r="DQ141" s="228">
        <v>1.1299999999999999</v>
      </c>
      <c r="DR141" s="228">
        <v>1.27</v>
      </c>
      <c r="DS141" s="228">
        <v>-0.14000000000000001</v>
      </c>
      <c r="DT141" s="229">
        <v>-0.11020000000000001</v>
      </c>
      <c r="DU141" s="231">
        <v>26200</v>
      </c>
      <c r="DV141" s="231">
        <v>26000</v>
      </c>
      <c r="DW141" s="228">
        <v>1.05</v>
      </c>
      <c r="DX141" s="228">
        <v>0.88</v>
      </c>
      <c r="DY141" s="228">
        <v>0.17</v>
      </c>
      <c r="DZ141" s="229">
        <v>0.19320000000000001</v>
      </c>
      <c r="EA141" s="229">
        <v>8.9499999999999996E-2</v>
      </c>
      <c r="EB141" s="230">
        <v>1334125</v>
      </c>
      <c r="EC141" s="229">
        <v>5.5999999999999999E-3</v>
      </c>
      <c r="ED141" s="229">
        <v>8.9499999999999996E-2</v>
      </c>
      <c r="EE141" s="228">
        <v>141.31</v>
      </c>
      <c r="EF141" s="229">
        <v>5.4000000000000003E-3</v>
      </c>
      <c r="EG141" s="228">
        <v>0</v>
      </c>
      <c r="EH141" s="228">
        <v>0</v>
      </c>
      <c r="EI141" s="229">
        <v>0</v>
      </c>
      <c r="EJ141" s="229">
        <v>0</v>
      </c>
      <c r="EK141" s="231">
        <v>4110907.79</v>
      </c>
      <c r="EL141" s="231">
        <v>4226915.42</v>
      </c>
      <c r="EM141" s="231">
        <v>5799.65</v>
      </c>
      <c r="EN141" s="231">
        <v>1490</v>
      </c>
      <c r="EO141" s="231">
        <v>8343622.8700000001</v>
      </c>
      <c r="EP141" s="231">
        <v>10055561.59</v>
      </c>
      <c r="EQ141" s="231">
        <v>-1711938.73</v>
      </c>
      <c r="ER141" s="229">
        <v>-0.17019999999999999</v>
      </c>
      <c r="ES141" s="231">
        <v>560150.36</v>
      </c>
      <c r="ET141" s="231">
        <v>609724.37</v>
      </c>
      <c r="EU141" s="231">
        <v>40457.17</v>
      </c>
      <c r="EV141" s="228">
        <v>0</v>
      </c>
      <c r="EW141" s="231">
        <v>1210331.8999999999</v>
      </c>
      <c r="EX141" s="231">
        <v>1019279.6</v>
      </c>
      <c r="EY141" s="231">
        <v>191052.3</v>
      </c>
      <c r="EZ141" s="229">
        <v>0.18740000000000001</v>
      </c>
      <c r="FA141" s="229">
        <v>0</v>
      </c>
      <c r="FB141" s="227" t="s">
        <v>567</v>
      </c>
      <c r="FC141">
        <f t="shared" si="2"/>
        <v>3618</v>
      </c>
    </row>
    <row r="142" spans="1:159" ht="17.25" thickBot="1" x14ac:dyDescent="0.3">
      <c r="A142" s="226">
        <v>46023</v>
      </c>
      <c r="B142" s="227" t="s">
        <v>181</v>
      </c>
      <c r="C142" s="227" t="s">
        <v>566</v>
      </c>
      <c r="D142" s="228">
        <v>25</v>
      </c>
      <c r="E142" s="228">
        <v>26</v>
      </c>
      <c r="F142" s="231">
        <v>69942</v>
      </c>
      <c r="G142" s="231">
        <v>69597.600000000006</v>
      </c>
      <c r="H142" s="228">
        <v>344.4</v>
      </c>
      <c r="I142" s="229">
        <v>4.8999999999999998E-3</v>
      </c>
      <c r="J142" s="231">
        <v>69675.399999999994</v>
      </c>
      <c r="K142" s="231">
        <v>69364.5</v>
      </c>
      <c r="L142" s="228">
        <v>310.89999999999998</v>
      </c>
      <c r="M142" s="229">
        <v>4.4999999999999997E-3</v>
      </c>
      <c r="N142" s="231">
        <v>69942</v>
      </c>
      <c r="O142" s="231">
        <v>69597.600000000006</v>
      </c>
      <c r="P142" s="228">
        <v>344.4</v>
      </c>
      <c r="Q142" s="229">
        <v>4.8999999999999998E-3</v>
      </c>
      <c r="R142" s="231">
        <v>70392.399999999994</v>
      </c>
      <c r="S142" s="231">
        <v>70042.8</v>
      </c>
      <c r="T142" s="228">
        <v>349.6</v>
      </c>
      <c r="U142" s="229">
        <v>5.0000000000000001E-3</v>
      </c>
      <c r="V142" s="228">
        <v>0</v>
      </c>
      <c r="W142" s="228">
        <v>0</v>
      </c>
      <c r="X142" s="228">
        <v>0</v>
      </c>
      <c r="Y142" s="229">
        <v>0</v>
      </c>
      <c r="Z142" s="228">
        <v>266.60000000000002</v>
      </c>
      <c r="AA142" s="228">
        <v>233.1</v>
      </c>
      <c r="AB142" s="228">
        <v>33.5</v>
      </c>
      <c r="AC142" s="229">
        <v>3.8E-3</v>
      </c>
      <c r="AD142" s="228">
        <v>266.60000000000002</v>
      </c>
      <c r="AE142" s="228">
        <v>233.1</v>
      </c>
      <c r="AF142" s="228">
        <v>33.5</v>
      </c>
      <c r="AG142" s="229">
        <v>3.8E-3</v>
      </c>
      <c r="AH142" s="228">
        <v>717</v>
      </c>
      <c r="AI142" s="228">
        <v>678.3</v>
      </c>
      <c r="AJ142" s="228">
        <v>38.700000000000003</v>
      </c>
      <c r="AK142" s="229">
        <v>1.03E-2</v>
      </c>
      <c r="AL142" s="228">
        <v>0</v>
      </c>
      <c r="AM142" s="228">
        <v>0</v>
      </c>
      <c r="AN142" s="228">
        <v>0</v>
      </c>
      <c r="AO142" s="229">
        <v>0</v>
      </c>
      <c r="AP142" s="231">
        <v>69740.81</v>
      </c>
      <c r="AQ142" s="231">
        <v>70245.710000000006</v>
      </c>
      <c r="AR142" s="228">
        <v>0</v>
      </c>
      <c r="AS142" s="228">
        <v>40</v>
      </c>
      <c r="AT142" s="228">
        <v>72</v>
      </c>
      <c r="AU142" s="228">
        <v>-32</v>
      </c>
      <c r="AV142" s="229">
        <v>-0.4466</v>
      </c>
      <c r="AW142" s="228">
        <v>39</v>
      </c>
      <c r="AX142" s="228">
        <v>69</v>
      </c>
      <c r="AY142" s="228">
        <v>-30</v>
      </c>
      <c r="AZ142" s="229">
        <v>-0.43769999999999998</v>
      </c>
      <c r="BA142" s="228">
        <v>1</v>
      </c>
      <c r="BB142" s="228">
        <v>3</v>
      </c>
      <c r="BC142" s="228">
        <v>-2</v>
      </c>
      <c r="BD142" s="229">
        <v>-0.63160000000000005</v>
      </c>
      <c r="BE142" s="228">
        <v>0</v>
      </c>
      <c r="BF142" s="228">
        <v>0</v>
      </c>
      <c r="BG142" s="228">
        <v>0</v>
      </c>
      <c r="BH142" s="229">
        <v>0</v>
      </c>
      <c r="BI142" s="228">
        <v>53</v>
      </c>
      <c r="BJ142" s="228">
        <v>53</v>
      </c>
      <c r="BK142" s="228">
        <v>1</v>
      </c>
      <c r="BL142" s="229">
        <v>0.01</v>
      </c>
      <c r="BM142" s="228">
        <v>35</v>
      </c>
      <c r="BN142" s="228">
        <v>17</v>
      </c>
      <c r="BO142" s="228">
        <v>18</v>
      </c>
      <c r="BP142" s="229">
        <v>1.0729</v>
      </c>
      <c r="BQ142" s="228">
        <v>128</v>
      </c>
      <c r="BR142" s="228">
        <v>141</v>
      </c>
      <c r="BS142" s="228">
        <v>-14</v>
      </c>
      <c r="BT142" s="229">
        <v>-9.64E-2</v>
      </c>
      <c r="BU142" s="228">
        <v>0</v>
      </c>
      <c r="BV142" s="228">
        <v>0</v>
      </c>
      <c r="BW142" s="228">
        <v>0</v>
      </c>
      <c r="BX142" s="229">
        <v>0</v>
      </c>
      <c r="BY142" s="228">
        <v>157</v>
      </c>
      <c r="BZ142" s="228">
        <v>160</v>
      </c>
      <c r="CA142" s="228">
        <v>-3</v>
      </c>
      <c r="CB142" s="229">
        <v>-1.7500000000000002E-2</v>
      </c>
      <c r="CC142" s="228">
        <v>154</v>
      </c>
      <c r="CD142" s="228">
        <v>157</v>
      </c>
      <c r="CE142" s="228">
        <v>-3</v>
      </c>
      <c r="CF142" s="229">
        <v>-2.1100000000000001E-2</v>
      </c>
      <c r="CG142" s="228">
        <v>3</v>
      </c>
      <c r="CH142" s="228">
        <v>3</v>
      </c>
      <c r="CI142" s="228">
        <v>1</v>
      </c>
      <c r="CJ142" s="229">
        <v>0.17649999999999999</v>
      </c>
      <c r="CK142" s="228">
        <v>0</v>
      </c>
      <c r="CL142" s="228">
        <v>0</v>
      </c>
      <c r="CM142" s="228">
        <v>0</v>
      </c>
      <c r="CN142" s="229">
        <v>0</v>
      </c>
      <c r="CO142" s="228">
        <v>14</v>
      </c>
      <c r="CP142" s="228">
        <v>8</v>
      </c>
      <c r="CQ142" s="228">
        <v>6</v>
      </c>
      <c r="CR142" s="229">
        <v>0.77780000000000005</v>
      </c>
      <c r="CS142" s="228">
        <v>8</v>
      </c>
      <c r="CT142" s="228">
        <v>6</v>
      </c>
      <c r="CU142" s="228">
        <v>1</v>
      </c>
      <c r="CV142" s="229">
        <v>0.2286</v>
      </c>
      <c r="CW142" s="228">
        <v>179</v>
      </c>
      <c r="CX142" s="228">
        <v>174</v>
      </c>
      <c r="CY142" s="228">
        <v>5</v>
      </c>
      <c r="CZ142" s="229">
        <v>2.7099999999999999E-2</v>
      </c>
      <c r="DA142" s="228">
        <v>11.93</v>
      </c>
      <c r="DB142" s="228">
        <v>12.39</v>
      </c>
      <c r="DC142" s="228">
        <v>-0.46</v>
      </c>
      <c r="DD142" s="228">
        <v>-0.46</v>
      </c>
      <c r="DE142" s="228">
        <v>19.579999999999998</v>
      </c>
      <c r="DF142" s="228">
        <v>19.62</v>
      </c>
      <c r="DG142" s="228">
        <v>-7.65</v>
      </c>
      <c r="DH142" s="228">
        <v>-0.04</v>
      </c>
      <c r="DI142" s="228">
        <v>11.64</v>
      </c>
      <c r="DJ142" s="228">
        <v>12.47</v>
      </c>
      <c r="DK142" s="228">
        <v>-0.83</v>
      </c>
      <c r="DL142" s="228">
        <v>-0.83</v>
      </c>
      <c r="DM142" s="228">
        <v>12.39</v>
      </c>
      <c r="DN142" s="228">
        <v>12.13</v>
      </c>
      <c r="DO142" s="228">
        <v>0.26</v>
      </c>
      <c r="DP142" s="228">
        <v>0.26</v>
      </c>
      <c r="DQ142" s="228">
        <v>0.54</v>
      </c>
      <c r="DR142" s="228">
        <v>0.78</v>
      </c>
      <c r="DS142" s="228">
        <v>-0.24</v>
      </c>
      <c r="DT142" s="229">
        <v>-0.30769999999999997</v>
      </c>
      <c r="DU142" s="231">
        <v>70000</v>
      </c>
      <c r="DV142" s="231">
        <v>69500</v>
      </c>
      <c r="DW142" s="228">
        <v>0.65</v>
      </c>
      <c r="DX142" s="228">
        <v>0.32</v>
      </c>
      <c r="DY142" s="228">
        <v>0.33</v>
      </c>
      <c r="DZ142" s="229">
        <v>1.0313000000000001</v>
      </c>
      <c r="EA142" s="229">
        <v>2.2200000000000001E-2</v>
      </c>
      <c r="EB142" s="228">
        <v>425</v>
      </c>
      <c r="EC142" s="229">
        <v>6.4000000000000003E-3</v>
      </c>
      <c r="ED142" s="229">
        <v>2.2200000000000001E-2</v>
      </c>
      <c r="EE142" s="228">
        <v>504.9</v>
      </c>
      <c r="EF142" s="229">
        <v>7.1999999999999998E-3</v>
      </c>
      <c r="EG142" s="228">
        <v>0</v>
      </c>
      <c r="EH142" s="228">
        <v>0</v>
      </c>
      <c r="EI142" s="229">
        <v>0</v>
      </c>
      <c r="EJ142" s="229">
        <v>0</v>
      </c>
      <c r="EK142" s="228">
        <v>53.67</v>
      </c>
      <c r="EL142" s="228">
        <v>34.83</v>
      </c>
      <c r="EM142" s="228">
        <v>39.76</v>
      </c>
      <c r="EN142" s="228">
        <v>0</v>
      </c>
      <c r="EO142" s="228">
        <v>128.26</v>
      </c>
      <c r="EP142" s="228">
        <v>141.66999999999999</v>
      </c>
      <c r="EQ142" s="228">
        <v>-13.4</v>
      </c>
      <c r="ER142" s="229">
        <v>-9.4600000000000004E-2</v>
      </c>
      <c r="ES142" s="228">
        <v>13.92</v>
      </c>
      <c r="ET142" s="228">
        <v>7.45</v>
      </c>
      <c r="EU142" s="228">
        <v>157.38999999999999</v>
      </c>
      <c r="EV142" s="228">
        <v>0</v>
      </c>
      <c r="EW142" s="228">
        <v>178.77</v>
      </c>
      <c r="EX142" s="228">
        <v>173.31</v>
      </c>
      <c r="EY142" s="228">
        <v>5.46</v>
      </c>
      <c r="EZ142" s="229">
        <v>3.15E-2</v>
      </c>
      <c r="FA142" s="229">
        <v>0</v>
      </c>
      <c r="FB142" s="227" t="s">
        <v>556</v>
      </c>
      <c r="FC142">
        <f t="shared" si="2"/>
        <v>3</v>
      </c>
    </row>
    <row r="143" spans="1:159" ht="17.25" thickBot="1" x14ac:dyDescent="0.3">
      <c r="A143" s="226">
        <v>46023</v>
      </c>
      <c r="B143" s="227" t="s">
        <v>227</v>
      </c>
      <c r="C143" s="227" t="s">
        <v>267</v>
      </c>
      <c r="D143" s="228">
        <v>6750</v>
      </c>
      <c r="E143" s="228">
        <v>26</v>
      </c>
      <c r="F143" s="228">
        <v>84.25</v>
      </c>
      <c r="G143" s="228">
        <v>83.5</v>
      </c>
      <c r="H143" s="228">
        <v>0.75</v>
      </c>
      <c r="I143" s="229">
        <v>8.9999999999999993E-3</v>
      </c>
      <c r="J143" s="228">
        <v>83.66</v>
      </c>
      <c r="K143" s="228">
        <v>83.17</v>
      </c>
      <c r="L143" s="228">
        <v>0.49</v>
      </c>
      <c r="M143" s="229">
        <v>5.8999999999999999E-3</v>
      </c>
      <c r="N143" s="228">
        <v>84.25</v>
      </c>
      <c r="O143" s="228">
        <v>83.5</v>
      </c>
      <c r="P143" s="228">
        <v>0.75</v>
      </c>
      <c r="Q143" s="229">
        <v>8.9999999999999993E-3</v>
      </c>
      <c r="R143" s="228">
        <v>84.81</v>
      </c>
      <c r="S143" s="228">
        <v>84.04</v>
      </c>
      <c r="T143" s="228">
        <v>0.77</v>
      </c>
      <c r="U143" s="229">
        <v>9.1999999999999998E-3</v>
      </c>
      <c r="V143" s="228">
        <v>85.35</v>
      </c>
      <c r="W143" s="228">
        <v>84.5</v>
      </c>
      <c r="X143" s="228">
        <v>0.85</v>
      </c>
      <c r="Y143" s="229">
        <v>1.01E-2</v>
      </c>
      <c r="Z143" s="228">
        <v>0.59</v>
      </c>
      <c r="AA143" s="228">
        <v>0.33</v>
      </c>
      <c r="AB143" s="228">
        <v>0.26</v>
      </c>
      <c r="AC143" s="229">
        <v>7.1000000000000004E-3</v>
      </c>
      <c r="AD143" s="228">
        <v>0.59</v>
      </c>
      <c r="AE143" s="228">
        <v>0.33</v>
      </c>
      <c r="AF143" s="228">
        <v>0.26</v>
      </c>
      <c r="AG143" s="229">
        <v>7.1000000000000004E-3</v>
      </c>
      <c r="AH143" s="228">
        <v>1.1499999999999999</v>
      </c>
      <c r="AI143" s="228">
        <v>0.87</v>
      </c>
      <c r="AJ143" s="228">
        <v>0.28000000000000003</v>
      </c>
      <c r="AK143" s="229">
        <v>1.37E-2</v>
      </c>
      <c r="AL143" s="228">
        <v>1.69</v>
      </c>
      <c r="AM143" s="228">
        <v>1.33</v>
      </c>
      <c r="AN143" s="228">
        <v>0.36</v>
      </c>
      <c r="AO143" s="229">
        <v>2.0199999999999999E-2</v>
      </c>
      <c r="AP143" s="228">
        <v>83.69</v>
      </c>
      <c r="AQ143" s="228">
        <v>84.16</v>
      </c>
      <c r="AR143" s="228">
        <v>0</v>
      </c>
      <c r="AS143" s="228">
        <v>227</v>
      </c>
      <c r="AT143" s="228">
        <v>512</v>
      </c>
      <c r="AU143" s="228">
        <v>-285</v>
      </c>
      <c r="AV143" s="229">
        <v>-0.55759999999999998</v>
      </c>
      <c r="AW143" s="228">
        <v>209</v>
      </c>
      <c r="AX143" s="228">
        <v>471</v>
      </c>
      <c r="AY143" s="228">
        <v>-263</v>
      </c>
      <c r="AZ143" s="229">
        <v>-0.55730000000000002</v>
      </c>
      <c r="BA143" s="228">
        <v>16</v>
      </c>
      <c r="BB143" s="228">
        <v>36</v>
      </c>
      <c r="BC143" s="228">
        <v>-20</v>
      </c>
      <c r="BD143" s="229">
        <v>-0.55430000000000001</v>
      </c>
      <c r="BE143" s="228">
        <v>2</v>
      </c>
      <c r="BF143" s="228">
        <v>5</v>
      </c>
      <c r="BG143" s="228">
        <v>-3</v>
      </c>
      <c r="BH143" s="229">
        <v>-0.60870000000000002</v>
      </c>
      <c r="BI143" s="228">
        <v>485</v>
      </c>
      <c r="BJ143" s="228">
        <v>936</v>
      </c>
      <c r="BK143" s="228">
        <v>-451</v>
      </c>
      <c r="BL143" s="229">
        <v>-0.48159999999999997</v>
      </c>
      <c r="BM143" s="228">
        <v>204</v>
      </c>
      <c r="BN143" s="228">
        <v>395</v>
      </c>
      <c r="BO143" s="228">
        <v>-191</v>
      </c>
      <c r="BP143" s="229">
        <v>-0.48349999999999999</v>
      </c>
      <c r="BQ143" s="228">
        <v>916</v>
      </c>
      <c r="BR143" s="230">
        <v>1843</v>
      </c>
      <c r="BS143" s="228">
        <v>-927</v>
      </c>
      <c r="BT143" s="229">
        <v>-0.50309999999999999</v>
      </c>
      <c r="BU143" s="230">
        <v>19298877</v>
      </c>
      <c r="BV143" s="230">
        <v>33763988</v>
      </c>
      <c r="BW143" s="230">
        <v>-14465111</v>
      </c>
      <c r="BX143" s="229">
        <v>-0.4284</v>
      </c>
      <c r="BY143" s="230">
        <v>2893</v>
      </c>
      <c r="BZ143" s="230">
        <v>2865</v>
      </c>
      <c r="CA143" s="228">
        <v>29</v>
      </c>
      <c r="CB143" s="229">
        <v>1.01E-2</v>
      </c>
      <c r="CC143" s="230">
        <v>2819</v>
      </c>
      <c r="CD143" s="230">
        <v>2796</v>
      </c>
      <c r="CE143" s="228">
        <v>23</v>
      </c>
      <c r="CF143" s="229">
        <v>8.3999999999999995E-3</v>
      </c>
      <c r="CG143" s="228">
        <v>68</v>
      </c>
      <c r="CH143" s="228">
        <v>64</v>
      </c>
      <c r="CI143" s="228">
        <v>4</v>
      </c>
      <c r="CJ143" s="229">
        <v>6.4899999999999999E-2</v>
      </c>
      <c r="CK143" s="228">
        <v>6</v>
      </c>
      <c r="CL143" s="228">
        <v>5</v>
      </c>
      <c r="CM143" s="228">
        <v>1</v>
      </c>
      <c r="CN143" s="229">
        <v>0.27589999999999998</v>
      </c>
      <c r="CO143" s="230">
        <v>1011</v>
      </c>
      <c r="CP143" s="228">
        <v>997</v>
      </c>
      <c r="CQ143" s="228">
        <v>14</v>
      </c>
      <c r="CR143" s="229">
        <v>1.37E-2</v>
      </c>
      <c r="CS143" s="228">
        <v>418</v>
      </c>
      <c r="CT143" s="228">
        <v>393</v>
      </c>
      <c r="CU143" s="228">
        <v>25</v>
      </c>
      <c r="CV143" s="229">
        <v>6.3200000000000006E-2</v>
      </c>
      <c r="CW143" s="230">
        <v>4323</v>
      </c>
      <c r="CX143" s="230">
        <v>4255</v>
      </c>
      <c r="CY143" s="228">
        <v>67</v>
      </c>
      <c r="CZ143" s="229">
        <v>1.5900000000000001E-2</v>
      </c>
      <c r="DA143" s="228">
        <v>27.44</v>
      </c>
      <c r="DB143" s="228">
        <v>28.71</v>
      </c>
      <c r="DC143" s="228">
        <v>-1.27</v>
      </c>
      <c r="DD143" s="228">
        <v>-1.27</v>
      </c>
      <c r="DE143" s="228">
        <v>37.29</v>
      </c>
      <c r="DF143" s="228">
        <v>37.36</v>
      </c>
      <c r="DG143" s="228">
        <v>-9.85</v>
      </c>
      <c r="DH143" s="228">
        <v>-7.0000000000000007E-2</v>
      </c>
      <c r="DI143" s="228">
        <v>27.41</v>
      </c>
      <c r="DJ143" s="228">
        <v>28.72</v>
      </c>
      <c r="DK143" s="228">
        <v>-1.31</v>
      </c>
      <c r="DL143" s="228">
        <v>-1.31</v>
      </c>
      <c r="DM143" s="228">
        <v>27.52</v>
      </c>
      <c r="DN143" s="228">
        <v>28.68</v>
      </c>
      <c r="DO143" s="228">
        <v>-1.1599999999999999</v>
      </c>
      <c r="DP143" s="228">
        <v>-1.1599999999999999</v>
      </c>
      <c r="DQ143" s="228">
        <v>0.41</v>
      </c>
      <c r="DR143" s="228">
        <v>0.39</v>
      </c>
      <c r="DS143" s="228">
        <v>0.02</v>
      </c>
      <c r="DT143" s="229">
        <v>5.1299999999999998E-2</v>
      </c>
      <c r="DU143" s="228">
        <v>85</v>
      </c>
      <c r="DV143" s="228">
        <v>80</v>
      </c>
      <c r="DW143" s="228">
        <v>0.42</v>
      </c>
      <c r="DX143" s="228">
        <v>0.42</v>
      </c>
      <c r="DY143" s="228">
        <v>0</v>
      </c>
      <c r="DZ143" s="229">
        <v>0</v>
      </c>
      <c r="EA143" s="229">
        <v>2.5700000000000001E-2</v>
      </c>
      <c r="EB143" s="230">
        <v>8174250</v>
      </c>
      <c r="EC143" s="229">
        <v>6.6E-3</v>
      </c>
      <c r="ED143" s="229">
        <v>2.5700000000000001E-2</v>
      </c>
      <c r="EE143" s="228">
        <v>0.47</v>
      </c>
      <c r="EF143" s="229">
        <v>5.5999999999999999E-3</v>
      </c>
      <c r="EG143" s="230">
        <v>9442373</v>
      </c>
      <c r="EH143" s="230">
        <v>14489925</v>
      </c>
      <c r="EI143" s="229">
        <v>-0.3483</v>
      </c>
      <c r="EJ143" s="229">
        <v>0.48930000000000001</v>
      </c>
      <c r="EK143" s="228">
        <v>504.17</v>
      </c>
      <c r="EL143" s="228">
        <v>197.29</v>
      </c>
      <c r="EM143" s="228">
        <v>225.11</v>
      </c>
      <c r="EN143" s="228">
        <v>269.14</v>
      </c>
      <c r="EO143" s="228">
        <v>926.57</v>
      </c>
      <c r="EP143" s="231">
        <v>1872.82</v>
      </c>
      <c r="EQ143" s="228">
        <v>-946.25</v>
      </c>
      <c r="ER143" s="229">
        <v>-0.50529999999999997</v>
      </c>
      <c r="ES143" s="231">
        <v>1028.05</v>
      </c>
      <c r="ET143" s="228">
        <v>390.71</v>
      </c>
      <c r="EU143" s="231">
        <v>2894.02</v>
      </c>
      <c r="EV143" s="231">
        <v>517037525</v>
      </c>
      <c r="EW143" s="231">
        <v>4312.7700000000004</v>
      </c>
      <c r="EX143" s="231">
        <v>4218.3100000000004</v>
      </c>
      <c r="EY143" s="228">
        <v>94.46</v>
      </c>
      <c r="EZ143" s="229">
        <v>2.24E-2</v>
      </c>
      <c r="FA143" s="229">
        <v>0.99229999999999996</v>
      </c>
      <c r="FB143" s="227" t="s">
        <v>555</v>
      </c>
      <c r="FC143">
        <f t="shared" si="2"/>
        <v>74</v>
      </c>
    </row>
    <row r="144" spans="1:159" ht="17.25" thickBot="1" x14ac:dyDescent="0.3">
      <c r="A144" s="226">
        <v>46023</v>
      </c>
      <c r="B144" s="227" t="s">
        <v>161</v>
      </c>
      <c r="C144" s="227" t="s">
        <v>268</v>
      </c>
      <c r="D144" s="228">
        <v>1500</v>
      </c>
      <c r="E144" s="228">
        <v>26</v>
      </c>
      <c r="F144" s="228">
        <v>337</v>
      </c>
      <c r="G144" s="228">
        <v>331.55</v>
      </c>
      <c r="H144" s="228">
        <v>5.45</v>
      </c>
      <c r="I144" s="229">
        <v>1.6400000000000001E-2</v>
      </c>
      <c r="J144" s="228">
        <v>336.3</v>
      </c>
      <c r="K144" s="228">
        <v>329.55</v>
      </c>
      <c r="L144" s="228">
        <v>6.75</v>
      </c>
      <c r="M144" s="229">
        <v>2.0500000000000001E-2</v>
      </c>
      <c r="N144" s="228">
        <v>337</v>
      </c>
      <c r="O144" s="228">
        <v>331.55</v>
      </c>
      <c r="P144" s="228">
        <v>5.45</v>
      </c>
      <c r="Q144" s="229">
        <v>1.6400000000000001E-2</v>
      </c>
      <c r="R144" s="228">
        <v>336.8</v>
      </c>
      <c r="S144" s="228">
        <v>331.15</v>
      </c>
      <c r="T144" s="228">
        <v>5.65</v>
      </c>
      <c r="U144" s="229">
        <v>1.7100000000000001E-2</v>
      </c>
      <c r="V144" s="228">
        <v>339.2</v>
      </c>
      <c r="W144" s="228">
        <v>333.2</v>
      </c>
      <c r="X144" s="228">
        <v>6</v>
      </c>
      <c r="Y144" s="229">
        <v>1.7999999999999999E-2</v>
      </c>
      <c r="Z144" s="228">
        <v>0.7</v>
      </c>
      <c r="AA144" s="228">
        <v>2</v>
      </c>
      <c r="AB144" s="228">
        <v>-1.3</v>
      </c>
      <c r="AC144" s="229">
        <v>2.0999999999999999E-3</v>
      </c>
      <c r="AD144" s="228">
        <v>0.7</v>
      </c>
      <c r="AE144" s="228">
        <v>2</v>
      </c>
      <c r="AF144" s="228">
        <v>-1.3</v>
      </c>
      <c r="AG144" s="229">
        <v>2.0999999999999999E-3</v>
      </c>
      <c r="AH144" s="228">
        <v>0.5</v>
      </c>
      <c r="AI144" s="228">
        <v>1.6</v>
      </c>
      <c r="AJ144" s="228">
        <v>-1.1000000000000001</v>
      </c>
      <c r="AK144" s="229">
        <v>1.5E-3</v>
      </c>
      <c r="AL144" s="228">
        <v>2.9</v>
      </c>
      <c r="AM144" s="228">
        <v>3.65</v>
      </c>
      <c r="AN144" s="228">
        <v>-0.75</v>
      </c>
      <c r="AO144" s="229">
        <v>8.6E-3</v>
      </c>
      <c r="AP144" s="228">
        <v>335.43</v>
      </c>
      <c r="AQ144" s="228">
        <v>335.19</v>
      </c>
      <c r="AR144" s="228">
        <v>0</v>
      </c>
      <c r="AS144" s="228">
        <v>420</v>
      </c>
      <c r="AT144" s="228">
        <v>286</v>
      </c>
      <c r="AU144" s="228">
        <v>134</v>
      </c>
      <c r="AV144" s="229">
        <v>0.46839999999999998</v>
      </c>
      <c r="AW144" s="228">
        <v>356</v>
      </c>
      <c r="AX144" s="228">
        <v>266</v>
      </c>
      <c r="AY144" s="228">
        <v>90</v>
      </c>
      <c r="AZ144" s="229">
        <v>0.33839999999999998</v>
      </c>
      <c r="BA144" s="228">
        <v>58</v>
      </c>
      <c r="BB144" s="228">
        <v>18</v>
      </c>
      <c r="BC144" s="228">
        <v>40</v>
      </c>
      <c r="BD144" s="229">
        <v>2.2324999999999999</v>
      </c>
      <c r="BE144" s="228">
        <v>5</v>
      </c>
      <c r="BF144" s="228">
        <v>2</v>
      </c>
      <c r="BG144" s="228">
        <v>4</v>
      </c>
      <c r="BH144" s="229">
        <v>2.0882000000000001</v>
      </c>
      <c r="BI144" s="230">
        <v>1575</v>
      </c>
      <c r="BJ144" s="230">
        <v>1264</v>
      </c>
      <c r="BK144" s="228">
        <v>311</v>
      </c>
      <c r="BL144" s="229">
        <v>0.246</v>
      </c>
      <c r="BM144" s="228">
        <v>751</v>
      </c>
      <c r="BN144" s="228">
        <v>609</v>
      </c>
      <c r="BO144" s="228">
        <v>142</v>
      </c>
      <c r="BP144" s="229">
        <v>0.23330000000000001</v>
      </c>
      <c r="BQ144" s="230">
        <v>2746</v>
      </c>
      <c r="BR144" s="230">
        <v>2159</v>
      </c>
      <c r="BS144" s="228">
        <v>587</v>
      </c>
      <c r="BT144" s="229">
        <v>0.27179999999999999</v>
      </c>
      <c r="BU144" s="230">
        <v>10558366</v>
      </c>
      <c r="BV144" s="230">
        <v>8670491</v>
      </c>
      <c r="BW144" s="230">
        <v>1887875</v>
      </c>
      <c r="BX144" s="229">
        <v>0.2177</v>
      </c>
      <c r="BY144" s="230">
        <v>2953</v>
      </c>
      <c r="BZ144" s="230">
        <v>2953</v>
      </c>
      <c r="CA144" s="228">
        <v>0</v>
      </c>
      <c r="CB144" s="229">
        <v>0</v>
      </c>
      <c r="CC144" s="230">
        <v>2713</v>
      </c>
      <c r="CD144" s="230">
        <v>2751</v>
      </c>
      <c r="CE144" s="228">
        <v>-38</v>
      </c>
      <c r="CF144" s="229">
        <v>-1.37E-2</v>
      </c>
      <c r="CG144" s="228">
        <v>236</v>
      </c>
      <c r="CH144" s="228">
        <v>200</v>
      </c>
      <c r="CI144" s="228">
        <v>36</v>
      </c>
      <c r="CJ144" s="229">
        <v>0.1794</v>
      </c>
      <c r="CK144" s="228">
        <v>3</v>
      </c>
      <c r="CL144" s="228">
        <v>2</v>
      </c>
      <c r="CM144" s="228">
        <v>2</v>
      </c>
      <c r="CN144" s="229">
        <v>1.2</v>
      </c>
      <c r="CO144" s="228">
        <v>748</v>
      </c>
      <c r="CP144" s="228">
        <v>634</v>
      </c>
      <c r="CQ144" s="228">
        <v>114</v>
      </c>
      <c r="CR144" s="229">
        <v>0.17899999999999999</v>
      </c>
      <c r="CS144" s="228">
        <v>645</v>
      </c>
      <c r="CT144" s="228">
        <v>538</v>
      </c>
      <c r="CU144" s="228">
        <v>107</v>
      </c>
      <c r="CV144" s="229">
        <v>0.1991</v>
      </c>
      <c r="CW144" s="230">
        <v>4346</v>
      </c>
      <c r="CX144" s="230">
        <v>4125</v>
      </c>
      <c r="CY144" s="228">
        <v>221</v>
      </c>
      <c r="CZ144" s="229">
        <v>5.3499999999999999E-2</v>
      </c>
      <c r="DA144" s="228">
        <v>15.31</v>
      </c>
      <c r="DB144" s="228">
        <v>15.52</v>
      </c>
      <c r="DC144" s="228">
        <v>-0.21</v>
      </c>
      <c r="DD144" s="228">
        <v>-0.21</v>
      </c>
      <c r="DE144" s="228">
        <v>26.32</v>
      </c>
      <c r="DF144" s="228">
        <v>26.24</v>
      </c>
      <c r="DG144" s="228">
        <v>-11.01</v>
      </c>
      <c r="DH144" s="228">
        <v>0.08</v>
      </c>
      <c r="DI144" s="228">
        <v>14.62</v>
      </c>
      <c r="DJ144" s="228">
        <v>15.05</v>
      </c>
      <c r="DK144" s="228">
        <v>-0.43</v>
      </c>
      <c r="DL144" s="228">
        <v>-0.43</v>
      </c>
      <c r="DM144" s="228">
        <v>16.75</v>
      </c>
      <c r="DN144" s="228">
        <v>16.489999999999998</v>
      </c>
      <c r="DO144" s="228">
        <v>0.26</v>
      </c>
      <c r="DP144" s="228">
        <v>0.26</v>
      </c>
      <c r="DQ144" s="228">
        <v>0.86</v>
      </c>
      <c r="DR144" s="228">
        <v>0.85</v>
      </c>
      <c r="DS144" s="228">
        <v>0.01</v>
      </c>
      <c r="DT144" s="229">
        <v>1.18E-2</v>
      </c>
      <c r="DU144" s="228">
        <v>335</v>
      </c>
      <c r="DV144" s="228">
        <v>380</v>
      </c>
      <c r="DW144" s="228">
        <v>0.48</v>
      </c>
      <c r="DX144" s="228">
        <v>0.48</v>
      </c>
      <c r="DY144" s="228">
        <v>0</v>
      </c>
      <c r="DZ144" s="229">
        <v>0</v>
      </c>
      <c r="EA144" s="229">
        <v>8.1199999999999994E-2</v>
      </c>
      <c r="EB144" s="230">
        <v>5991000</v>
      </c>
      <c r="EC144" s="229">
        <v>-5.9999999999999995E-4</v>
      </c>
      <c r="ED144" s="229">
        <v>8.1199999999999994E-2</v>
      </c>
      <c r="EE144" s="228">
        <v>-0.24</v>
      </c>
      <c r="EF144" s="229">
        <v>-6.9999999999999999E-4</v>
      </c>
      <c r="EG144" s="230">
        <v>5886006</v>
      </c>
      <c r="EH144" s="230">
        <v>5617475</v>
      </c>
      <c r="EI144" s="229">
        <v>4.7800000000000002E-2</v>
      </c>
      <c r="EJ144" s="229">
        <v>0.5575</v>
      </c>
      <c r="EK144" s="231">
        <v>1608.7</v>
      </c>
      <c r="EL144" s="228">
        <v>737.27</v>
      </c>
      <c r="EM144" s="228">
        <v>417.95</v>
      </c>
      <c r="EN144" s="228">
        <v>254.07</v>
      </c>
      <c r="EO144" s="231">
        <v>2763.92</v>
      </c>
      <c r="EP144" s="231">
        <v>2142.35</v>
      </c>
      <c r="EQ144" s="228">
        <v>621.57000000000005</v>
      </c>
      <c r="ER144" s="229">
        <v>0.29010000000000002</v>
      </c>
      <c r="ES144" s="228">
        <v>759.16</v>
      </c>
      <c r="ET144" s="228">
        <v>631.48</v>
      </c>
      <c r="EU144" s="231">
        <v>2952.51</v>
      </c>
      <c r="EV144" s="231">
        <v>474131988</v>
      </c>
      <c r="EW144" s="231">
        <v>4343.1499999999996</v>
      </c>
      <c r="EX144" s="231">
        <v>4070.22</v>
      </c>
      <c r="EY144" s="228">
        <v>272.93</v>
      </c>
      <c r="EZ144" s="229">
        <v>6.7100000000000007E-2</v>
      </c>
      <c r="FA144" s="229">
        <v>0.27200000000000002</v>
      </c>
      <c r="FB144" s="227" t="s">
        <v>237</v>
      </c>
      <c r="FC144">
        <f t="shared" si="2"/>
        <v>240</v>
      </c>
    </row>
    <row r="145" spans="1:159" ht="17.25" thickBot="1" x14ac:dyDescent="0.3">
      <c r="A145" s="226">
        <v>46023</v>
      </c>
      <c r="B145" s="227" t="s">
        <v>175</v>
      </c>
      <c r="C145" s="227" t="s">
        <v>685</v>
      </c>
      <c r="D145" s="228">
        <v>500</v>
      </c>
      <c r="E145" s="228">
        <v>26</v>
      </c>
      <c r="F145" s="231">
        <v>1465</v>
      </c>
      <c r="G145" s="231">
        <v>1486.5</v>
      </c>
      <c r="H145" s="228">
        <v>-21.5</v>
      </c>
      <c r="I145" s="229">
        <v>-1.4500000000000001E-2</v>
      </c>
      <c r="J145" s="231">
        <v>1458.5</v>
      </c>
      <c r="K145" s="231">
        <v>1480.5</v>
      </c>
      <c r="L145" s="228">
        <v>-22</v>
      </c>
      <c r="M145" s="229">
        <v>-1.49E-2</v>
      </c>
      <c r="N145" s="231">
        <v>1465</v>
      </c>
      <c r="O145" s="231">
        <v>1486.5</v>
      </c>
      <c r="P145" s="228">
        <v>-21.5</v>
      </c>
      <c r="Q145" s="229">
        <v>-1.4500000000000001E-2</v>
      </c>
      <c r="R145" s="231">
        <v>1471.9</v>
      </c>
      <c r="S145" s="231">
        <v>1491</v>
      </c>
      <c r="T145" s="228">
        <v>-19.100000000000001</v>
      </c>
      <c r="U145" s="229">
        <v>-1.2800000000000001E-2</v>
      </c>
      <c r="V145" s="231">
        <v>1474.8</v>
      </c>
      <c r="W145" s="228">
        <v>0</v>
      </c>
      <c r="X145" s="231">
        <v>1474.8</v>
      </c>
      <c r="Y145" s="229">
        <v>0</v>
      </c>
      <c r="Z145" s="228">
        <v>6.5</v>
      </c>
      <c r="AA145" s="228">
        <v>6</v>
      </c>
      <c r="AB145" s="228">
        <v>0.5</v>
      </c>
      <c r="AC145" s="229">
        <v>4.4999999999999997E-3</v>
      </c>
      <c r="AD145" s="228">
        <v>6.5</v>
      </c>
      <c r="AE145" s="228">
        <v>6</v>
      </c>
      <c r="AF145" s="228">
        <v>0.5</v>
      </c>
      <c r="AG145" s="229">
        <v>4.4999999999999997E-3</v>
      </c>
      <c r="AH145" s="228">
        <v>13.4</v>
      </c>
      <c r="AI145" s="228">
        <v>10.5</v>
      </c>
      <c r="AJ145" s="228">
        <v>2.9</v>
      </c>
      <c r="AK145" s="229">
        <v>9.1999999999999998E-3</v>
      </c>
      <c r="AL145" s="228">
        <v>16.3</v>
      </c>
      <c r="AM145" s="228">
        <v>0</v>
      </c>
      <c r="AN145" s="228">
        <v>16.3</v>
      </c>
      <c r="AO145" s="229">
        <v>1.12E-2</v>
      </c>
      <c r="AP145" s="231">
        <v>1464.11</v>
      </c>
      <c r="AQ145" s="231">
        <v>1470.45</v>
      </c>
      <c r="AR145" s="228">
        <v>0</v>
      </c>
      <c r="AS145" s="228">
        <v>52</v>
      </c>
      <c r="AT145" s="228">
        <v>69</v>
      </c>
      <c r="AU145" s="228">
        <v>-17</v>
      </c>
      <c r="AV145" s="229">
        <v>-0.24310000000000001</v>
      </c>
      <c r="AW145" s="228">
        <v>51</v>
      </c>
      <c r="AX145" s="228">
        <v>67</v>
      </c>
      <c r="AY145" s="228">
        <v>-17</v>
      </c>
      <c r="AZ145" s="229">
        <v>-0.24809999999999999</v>
      </c>
      <c r="BA145" s="228">
        <v>2</v>
      </c>
      <c r="BB145" s="228">
        <v>2</v>
      </c>
      <c r="BC145" s="228">
        <v>0</v>
      </c>
      <c r="BD145" s="229">
        <v>-0.1852</v>
      </c>
      <c r="BE145" s="228">
        <v>0</v>
      </c>
      <c r="BF145" s="228">
        <v>0</v>
      </c>
      <c r="BG145" s="228">
        <v>0</v>
      </c>
      <c r="BH145" s="229">
        <v>0</v>
      </c>
      <c r="BI145" s="228">
        <v>102</v>
      </c>
      <c r="BJ145" s="228">
        <v>205</v>
      </c>
      <c r="BK145" s="228">
        <v>-104</v>
      </c>
      <c r="BL145" s="229">
        <v>-0.50519999999999998</v>
      </c>
      <c r="BM145" s="228">
        <v>61</v>
      </c>
      <c r="BN145" s="228">
        <v>82</v>
      </c>
      <c r="BO145" s="228">
        <v>-20</v>
      </c>
      <c r="BP145" s="229">
        <v>-0.2462</v>
      </c>
      <c r="BQ145" s="228">
        <v>215</v>
      </c>
      <c r="BR145" s="228">
        <v>356</v>
      </c>
      <c r="BS145" s="228">
        <v>-141</v>
      </c>
      <c r="BT145" s="229">
        <v>-0.39489999999999997</v>
      </c>
      <c r="BU145" s="230">
        <v>237911</v>
      </c>
      <c r="BV145" s="230">
        <v>386110</v>
      </c>
      <c r="BW145" s="230">
        <v>-148199</v>
      </c>
      <c r="BX145" s="229">
        <v>-0.38379999999999997</v>
      </c>
      <c r="BY145" s="228">
        <v>345</v>
      </c>
      <c r="BZ145" s="228">
        <v>349</v>
      </c>
      <c r="CA145" s="228">
        <v>-4</v>
      </c>
      <c r="CB145" s="229">
        <v>-1.09E-2</v>
      </c>
      <c r="CC145" s="228">
        <v>340</v>
      </c>
      <c r="CD145" s="228">
        <v>344</v>
      </c>
      <c r="CE145" s="228">
        <v>-4</v>
      </c>
      <c r="CF145" s="229">
        <v>-1.1900000000000001E-2</v>
      </c>
      <c r="CG145" s="228">
        <v>4</v>
      </c>
      <c r="CH145" s="228">
        <v>4</v>
      </c>
      <c r="CI145" s="228">
        <v>0</v>
      </c>
      <c r="CJ145" s="229">
        <v>5.3600000000000002E-2</v>
      </c>
      <c r="CK145" s="228">
        <v>0</v>
      </c>
      <c r="CL145" s="228">
        <v>0</v>
      </c>
      <c r="CM145" s="228">
        <v>0</v>
      </c>
      <c r="CN145" s="229">
        <v>0</v>
      </c>
      <c r="CO145" s="228">
        <v>176</v>
      </c>
      <c r="CP145" s="228">
        <v>159</v>
      </c>
      <c r="CQ145" s="228">
        <v>17</v>
      </c>
      <c r="CR145" s="229">
        <v>0.1074</v>
      </c>
      <c r="CS145" s="228">
        <v>90</v>
      </c>
      <c r="CT145" s="228">
        <v>88</v>
      </c>
      <c r="CU145" s="228">
        <v>3</v>
      </c>
      <c r="CV145" s="229">
        <v>3.09E-2</v>
      </c>
      <c r="CW145" s="228">
        <v>611</v>
      </c>
      <c r="CX145" s="228">
        <v>595</v>
      </c>
      <c r="CY145" s="228">
        <v>16</v>
      </c>
      <c r="CZ145" s="229">
        <v>2.6800000000000001E-2</v>
      </c>
      <c r="DA145" s="228">
        <v>30.76</v>
      </c>
      <c r="DB145" s="228">
        <v>30.87</v>
      </c>
      <c r="DC145" s="228">
        <v>-0.11</v>
      </c>
      <c r="DD145" s="228">
        <v>-0.11</v>
      </c>
      <c r="DE145" s="228">
        <v>48.53</v>
      </c>
      <c r="DF145" s="228">
        <v>48.61</v>
      </c>
      <c r="DG145" s="228">
        <v>-17.77</v>
      </c>
      <c r="DH145" s="228">
        <v>-0.08</v>
      </c>
      <c r="DI145" s="228">
        <v>30.67</v>
      </c>
      <c r="DJ145" s="228">
        <v>30.17</v>
      </c>
      <c r="DK145" s="228">
        <v>0.5</v>
      </c>
      <c r="DL145" s="228">
        <v>0.5</v>
      </c>
      <c r="DM145" s="228">
        <v>30.91</v>
      </c>
      <c r="DN145" s="228">
        <v>32.64</v>
      </c>
      <c r="DO145" s="228">
        <v>-1.73</v>
      </c>
      <c r="DP145" s="228">
        <v>-1.73</v>
      </c>
      <c r="DQ145" s="228">
        <v>0.51</v>
      </c>
      <c r="DR145" s="228">
        <v>0.55000000000000004</v>
      </c>
      <c r="DS145" s="228">
        <v>-0.04</v>
      </c>
      <c r="DT145" s="229">
        <v>-7.2700000000000001E-2</v>
      </c>
      <c r="DU145" s="231">
        <v>1500</v>
      </c>
      <c r="DV145" s="231">
        <v>1400</v>
      </c>
      <c r="DW145" s="228">
        <v>0.61</v>
      </c>
      <c r="DX145" s="228">
        <v>0.4</v>
      </c>
      <c r="DY145" s="228">
        <v>0.21</v>
      </c>
      <c r="DZ145" s="229">
        <v>0.52500000000000002</v>
      </c>
      <c r="EA145" s="229">
        <v>1.2699999999999999E-2</v>
      </c>
      <c r="EB145" s="230">
        <v>28000</v>
      </c>
      <c r="EC145" s="229">
        <v>4.7000000000000002E-3</v>
      </c>
      <c r="ED145" s="229">
        <v>1.2699999999999999E-2</v>
      </c>
      <c r="EE145" s="228">
        <v>6.34</v>
      </c>
      <c r="EF145" s="229">
        <v>4.3E-3</v>
      </c>
      <c r="EG145" s="230">
        <v>90577</v>
      </c>
      <c r="EH145" s="230">
        <v>202413</v>
      </c>
      <c r="EI145" s="229">
        <v>-0.55249999999999999</v>
      </c>
      <c r="EJ145" s="229">
        <v>0.38069999999999998</v>
      </c>
      <c r="EK145" s="228">
        <v>107.62</v>
      </c>
      <c r="EL145" s="228">
        <v>60.46</v>
      </c>
      <c r="EM145" s="228">
        <v>52.42</v>
      </c>
      <c r="EN145" s="228">
        <v>41.21</v>
      </c>
      <c r="EO145" s="228">
        <v>220.5</v>
      </c>
      <c r="EP145" s="228">
        <v>369.03</v>
      </c>
      <c r="EQ145" s="228">
        <v>-148.53</v>
      </c>
      <c r="ER145" s="229">
        <v>-0.40250000000000002</v>
      </c>
      <c r="ES145" s="228">
        <v>183.75</v>
      </c>
      <c r="ET145" s="228">
        <v>87.17</v>
      </c>
      <c r="EU145" s="228">
        <v>344.74</v>
      </c>
      <c r="EV145" s="231">
        <v>12267678</v>
      </c>
      <c r="EW145" s="228">
        <v>615.65</v>
      </c>
      <c r="EX145" s="228">
        <v>604.66</v>
      </c>
      <c r="EY145" s="228">
        <v>10.99</v>
      </c>
      <c r="EZ145" s="229">
        <v>1.8200000000000001E-2</v>
      </c>
      <c r="FA145" s="229">
        <v>0.34</v>
      </c>
      <c r="FB145" s="227" t="s">
        <v>568</v>
      </c>
      <c r="FC145">
        <f t="shared" si="2"/>
        <v>5</v>
      </c>
    </row>
    <row r="146" spans="1:159" ht="17.25" thickBot="1" x14ac:dyDescent="0.3">
      <c r="A146" s="226">
        <v>46023</v>
      </c>
      <c r="B146" s="227" t="s">
        <v>615</v>
      </c>
      <c r="C146" s="227" t="s">
        <v>613</v>
      </c>
      <c r="D146" s="228">
        <v>3125</v>
      </c>
      <c r="E146" s="228">
        <v>26</v>
      </c>
      <c r="F146" s="228">
        <v>266.5</v>
      </c>
      <c r="G146" s="228">
        <v>265.60000000000002</v>
      </c>
      <c r="H146" s="228">
        <v>0.9</v>
      </c>
      <c r="I146" s="229">
        <v>3.3999999999999998E-3</v>
      </c>
      <c r="J146" s="228">
        <v>265.75</v>
      </c>
      <c r="K146" s="228">
        <v>265.14999999999998</v>
      </c>
      <c r="L146" s="228">
        <v>0.6</v>
      </c>
      <c r="M146" s="229">
        <v>2.3E-3</v>
      </c>
      <c r="N146" s="228">
        <v>266.5</v>
      </c>
      <c r="O146" s="228">
        <v>265.60000000000002</v>
      </c>
      <c r="P146" s="228">
        <v>0.9</v>
      </c>
      <c r="Q146" s="229">
        <v>3.3999999999999998E-3</v>
      </c>
      <c r="R146" s="228">
        <v>265.95</v>
      </c>
      <c r="S146" s="228">
        <v>265</v>
      </c>
      <c r="T146" s="228">
        <v>0.95</v>
      </c>
      <c r="U146" s="229">
        <v>3.5999999999999999E-3</v>
      </c>
      <c r="V146" s="228">
        <v>265</v>
      </c>
      <c r="W146" s="228">
        <v>264.39999999999998</v>
      </c>
      <c r="X146" s="228">
        <v>0.6</v>
      </c>
      <c r="Y146" s="229">
        <v>2.3E-3</v>
      </c>
      <c r="Z146" s="228">
        <v>0.75</v>
      </c>
      <c r="AA146" s="228">
        <v>0.45</v>
      </c>
      <c r="AB146" s="228">
        <v>0.3</v>
      </c>
      <c r="AC146" s="229">
        <v>2.8E-3</v>
      </c>
      <c r="AD146" s="228">
        <v>0.75</v>
      </c>
      <c r="AE146" s="228">
        <v>0.45</v>
      </c>
      <c r="AF146" s="228">
        <v>0.3</v>
      </c>
      <c r="AG146" s="229">
        <v>2.8E-3</v>
      </c>
      <c r="AH146" s="228">
        <v>0.2</v>
      </c>
      <c r="AI146" s="228">
        <v>-0.15</v>
      </c>
      <c r="AJ146" s="228">
        <v>0.35</v>
      </c>
      <c r="AK146" s="229">
        <v>8.0000000000000004E-4</v>
      </c>
      <c r="AL146" s="228">
        <v>-0.75</v>
      </c>
      <c r="AM146" s="228">
        <v>-0.75</v>
      </c>
      <c r="AN146" s="228">
        <v>0</v>
      </c>
      <c r="AO146" s="229">
        <v>-2.8E-3</v>
      </c>
      <c r="AP146" s="228">
        <v>266.52999999999997</v>
      </c>
      <c r="AQ146" s="228">
        <v>265.31</v>
      </c>
      <c r="AR146" s="228">
        <v>0</v>
      </c>
      <c r="AS146" s="228">
        <v>89</v>
      </c>
      <c r="AT146" s="228">
        <v>192</v>
      </c>
      <c r="AU146" s="228">
        <v>-103</v>
      </c>
      <c r="AV146" s="229">
        <v>-0.5343</v>
      </c>
      <c r="AW146" s="228">
        <v>83</v>
      </c>
      <c r="AX146" s="228">
        <v>183</v>
      </c>
      <c r="AY146" s="228">
        <v>-100</v>
      </c>
      <c r="AZ146" s="229">
        <v>-0.54559999999999997</v>
      </c>
      <c r="BA146" s="228">
        <v>6</v>
      </c>
      <c r="BB146" s="228">
        <v>8</v>
      </c>
      <c r="BC146" s="228">
        <v>-2</v>
      </c>
      <c r="BD146" s="229">
        <v>-0.2828</v>
      </c>
      <c r="BE146" s="228">
        <v>0</v>
      </c>
      <c r="BF146" s="228">
        <v>0</v>
      </c>
      <c r="BG146" s="228">
        <v>0</v>
      </c>
      <c r="BH146" s="229">
        <v>-0.5</v>
      </c>
      <c r="BI146" s="228">
        <v>180</v>
      </c>
      <c r="BJ146" s="228">
        <v>385</v>
      </c>
      <c r="BK146" s="228">
        <v>-205</v>
      </c>
      <c r="BL146" s="229">
        <v>-0.53249999999999997</v>
      </c>
      <c r="BM146" s="228">
        <v>61</v>
      </c>
      <c r="BN146" s="228">
        <v>116</v>
      </c>
      <c r="BO146" s="228">
        <v>-55</v>
      </c>
      <c r="BP146" s="229">
        <v>-0.47099999999999997</v>
      </c>
      <c r="BQ146" s="228">
        <v>331</v>
      </c>
      <c r="BR146" s="228">
        <v>693</v>
      </c>
      <c r="BS146" s="228">
        <v>-362</v>
      </c>
      <c r="BT146" s="229">
        <v>-0.52270000000000005</v>
      </c>
      <c r="BU146" s="230">
        <v>2804592</v>
      </c>
      <c r="BV146" s="230">
        <v>5444669</v>
      </c>
      <c r="BW146" s="230">
        <v>-2640077</v>
      </c>
      <c r="BX146" s="229">
        <v>-0.4849</v>
      </c>
      <c r="BY146" s="230">
        <v>1258</v>
      </c>
      <c r="BZ146" s="230">
        <v>1255</v>
      </c>
      <c r="CA146" s="228">
        <v>3</v>
      </c>
      <c r="CB146" s="229">
        <v>2.5000000000000001E-3</v>
      </c>
      <c r="CC146" s="230">
        <v>1235</v>
      </c>
      <c r="CD146" s="230">
        <v>1233</v>
      </c>
      <c r="CE146" s="228">
        <v>2</v>
      </c>
      <c r="CF146" s="229">
        <v>1.2999999999999999E-3</v>
      </c>
      <c r="CG146" s="228">
        <v>23</v>
      </c>
      <c r="CH146" s="228">
        <v>22</v>
      </c>
      <c r="CI146" s="228">
        <v>1</v>
      </c>
      <c r="CJ146" s="229">
        <v>6.5600000000000006E-2</v>
      </c>
      <c r="CK146" s="228">
        <v>0</v>
      </c>
      <c r="CL146" s="228">
        <v>0</v>
      </c>
      <c r="CM146" s="228">
        <v>0</v>
      </c>
      <c r="CN146" s="229">
        <v>0.5</v>
      </c>
      <c r="CO146" s="228">
        <v>214</v>
      </c>
      <c r="CP146" s="228">
        <v>234</v>
      </c>
      <c r="CQ146" s="228">
        <v>-20</v>
      </c>
      <c r="CR146" s="229">
        <v>-8.6300000000000002E-2</v>
      </c>
      <c r="CS146" s="228">
        <v>140</v>
      </c>
      <c r="CT146" s="228">
        <v>141</v>
      </c>
      <c r="CU146" s="228">
        <v>-1</v>
      </c>
      <c r="CV146" s="229">
        <v>-5.8999999999999999E-3</v>
      </c>
      <c r="CW146" s="230">
        <v>1613</v>
      </c>
      <c r="CX146" s="230">
        <v>1631</v>
      </c>
      <c r="CY146" s="228">
        <v>-18</v>
      </c>
      <c r="CZ146" s="229">
        <v>-1.0999999999999999E-2</v>
      </c>
      <c r="DA146" s="228">
        <v>26.61</v>
      </c>
      <c r="DB146" s="228">
        <v>27.85</v>
      </c>
      <c r="DC146" s="228">
        <v>-1.24</v>
      </c>
      <c r="DD146" s="228">
        <v>-1.24</v>
      </c>
      <c r="DE146" s="228">
        <v>35.520000000000003</v>
      </c>
      <c r="DF146" s="228">
        <v>35.61</v>
      </c>
      <c r="DG146" s="228">
        <v>-8.91</v>
      </c>
      <c r="DH146" s="228">
        <v>-0.09</v>
      </c>
      <c r="DI146" s="228">
        <v>26.52</v>
      </c>
      <c r="DJ146" s="228">
        <v>27.73</v>
      </c>
      <c r="DK146" s="228">
        <v>-1.21</v>
      </c>
      <c r="DL146" s="228">
        <v>-1.21</v>
      </c>
      <c r="DM146" s="228">
        <v>26.89</v>
      </c>
      <c r="DN146" s="228">
        <v>28.25</v>
      </c>
      <c r="DO146" s="228">
        <v>-1.36</v>
      </c>
      <c r="DP146" s="228">
        <v>-1.36</v>
      </c>
      <c r="DQ146" s="228">
        <v>0.66</v>
      </c>
      <c r="DR146" s="228">
        <v>0.6</v>
      </c>
      <c r="DS146" s="228">
        <v>0.06</v>
      </c>
      <c r="DT146" s="229">
        <v>0.1</v>
      </c>
      <c r="DU146" s="228">
        <v>270</v>
      </c>
      <c r="DV146" s="228">
        <v>260</v>
      </c>
      <c r="DW146" s="228">
        <v>0.34</v>
      </c>
      <c r="DX146" s="228">
        <v>0.3</v>
      </c>
      <c r="DY146" s="228">
        <v>0.04</v>
      </c>
      <c r="DZ146" s="229">
        <v>0.1333</v>
      </c>
      <c r="EA146" s="229">
        <v>1.8499999999999999E-2</v>
      </c>
      <c r="EB146" s="230">
        <v>815625</v>
      </c>
      <c r="EC146" s="229">
        <v>-2.0999999999999999E-3</v>
      </c>
      <c r="ED146" s="229">
        <v>1.8499999999999999E-2</v>
      </c>
      <c r="EE146" s="228">
        <v>-1.22</v>
      </c>
      <c r="EF146" s="229">
        <v>-4.5999999999999999E-3</v>
      </c>
      <c r="EG146" s="230">
        <v>1317804</v>
      </c>
      <c r="EH146" s="230">
        <v>2281419</v>
      </c>
      <c r="EI146" s="229">
        <v>-0.4224</v>
      </c>
      <c r="EJ146" s="229">
        <v>0.46989999999999998</v>
      </c>
      <c r="EK146" s="228">
        <v>187.49</v>
      </c>
      <c r="EL146" s="228">
        <v>60.72</v>
      </c>
      <c r="EM146" s="228">
        <v>89.34</v>
      </c>
      <c r="EN146" s="228">
        <v>98.44</v>
      </c>
      <c r="EO146" s="228">
        <v>337.56</v>
      </c>
      <c r="EP146" s="228">
        <v>702.9</v>
      </c>
      <c r="EQ146" s="228">
        <v>-365.34</v>
      </c>
      <c r="ER146" s="229">
        <v>-0.51980000000000004</v>
      </c>
      <c r="ES146" s="228">
        <v>218.5</v>
      </c>
      <c r="ET146" s="228">
        <v>134.55000000000001</v>
      </c>
      <c r="EU146" s="231">
        <v>1258</v>
      </c>
      <c r="EV146" s="231">
        <v>205483040</v>
      </c>
      <c r="EW146" s="231">
        <v>1611.05</v>
      </c>
      <c r="EX146" s="231">
        <v>1624.81</v>
      </c>
      <c r="EY146" s="228">
        <v>-13.76</v>
      </c>
      <c r="EZ146" s="229">
        <v>-8.5000000000000006E-3</v>
      </c>
      <c r="FA146" s="229">
        <v>0.29449999999999998</v>
      </c>
      <c r="FB146" s="227" t="s">
        <v>555</v>
      </c>
      <c r="FC146">
        <f t="shared" si="2"/>
        <v>23</v>
      </c>
    </row>
    <row r="147" spans="1:159" ht="17.25" thickBot="1" x14ac:dyDescent="0.3">
      <c r="A147" s="226">
        <v>46023</v>
      </c>
      <c r="B147" s="227" t="s">
        <v>206</v>
      </c>
      <c r="C147" s="227" t="s">
        <v>528</v>
      </c>
      <c r="D147" s="228">
        <v>350</v>
      </c>
      <c r="E147" s="228">
        <v>26</v>
      </c>
      <c r="F147" s="231">
        <v>1692.8</v>
      </c>
      <c r="G147" s="231">
        <v>1673.9</v>
      </c>
      <c r="H147" s="228">
        <v>18.899999999999999</v>
      </c>
      <c r="I147" s="229">
        <v>1.1299999999999999E-2</v>
      </c>
      <c r="J147" s="231">
        <v>1695.9</v>
      </c>
      <c r="K147" s="231">
        <v>1670.6</v>
      </c>
      <c r="L147" s="228">
        <v>25.3</v>
      </c>
      <c r="M147" s="229">
        <v>1.5100000000000001E-2</v>
      </c>
      <c r="N147" s="231">
        <v>1692.8</v>
      </c>
      <c r="O147" s="231">
        <v>1673.9</v>
      </c>
      <c r="P147" s="228">
        <v>18.899999999999999</v>
      </c>
      <c r="Q147" s="229">
        <v>1.1299999999999999E-2</v>
      </c>
      <c r="R147" s="231">
        <v>1689.8</v>
      </c>
      <c r="S147" s="231">
        <v>1673.1</v>
      </c>
      <c r="T147" s="228">
        <v>16.7</v>
      </c>
      <c r="U147" s="229">
        <v>0.01</v>
      </c>
      <c r="V147" s="228">
        <v>0</v>
      </c>
      <c r="W147" s="228">
        <v>0</v>
      </c>
      <c r="X147" s="228">
        <v>0</v>
      </c>
      <c r="Y147" s="229">
        <v>0</v>
      </c>
      <c r="Z147" s="228">
        <v>-3.1</v>
      </c>
      <c r="AA147" s="228">
        <v>3.3</v>
      </c>
      <c r="AB147" s="228">
        <v>-6.4</v>
      </c>
      <c r="AC147" s="229">
        <v>-1.8E-3</v>
      </c>
      <c r="AD147" s="228">
        <v>-3.1</v>
      </c>
      <c r="AE147" s="228">
        <v>3.3</v>
      </c>
      <c r="AF147" s="228">
        <v>-6.4</v>
      </c>
      <c r="AG147" s="229">
        <v>-1.8E-3</v>
      </c>
      <c r="AH147" s="228">
        <v>-6.1</v>
      </c>
      <c r="AI147" s="228">
        <v>2.5</v>
      </c>
      <c r="AJ147" s="228">
        <v>-8.6</v>
      </c>
      <c r="AK147" s="229">
        <v>-3.5999999999999999E-3</v>
      </c>
      <c r="AL147" s="228">
        <v>0</v>
      </c>
      <c r="AM147" s="228">
        <v>0</v>
      </c>
      <c r="AN147" s="228">
        <v>0</v>
      </c>
      <c r="AO147" s="229">
        <v>0</v>
      </c>
      <c r="AP147" s="231">
        <v>1677.98</v>
      </c>
      <c r="AQ147" s="231">
        <v>1675.42</v>
      </c>
      <c r="AR147" s="228">
        <v>0</v>
      </c>
      <c r="AS147" s="228">
        <v>74</v>
      </c>
      <c r="AT147" s="228">
        <v>67</v>
      </c>
      <c r="AU147" s="228">
        <v>7</v>
      </c>
      <c r="AV147" s="229">
        <v>0.1022</v>
      </c>
      <c r="AW147" s="228">
        <v>71</v>
      </c>
      <c r="AX147" s="228">
        <v>65</v>
      </c>
      <c r="AY147" s="228">
        <v>6</v>
      </c>
      <c r="AZ147" s="229">
        <v>9.5100000000000004E-2</v>
      </c>
      <c r="BA147" s="228">
        <v>3</v>
      </c>
      <c r="BB147" s="228">
        <v>2</v>
      </c>
      <c r="BC147" s="228">
        <v>1</v>
      </c>
      <c r="BD147" s="229">
        <v>0.29270000000000002</v>
      </c>
      <c r="BE147" s="228">
        <v>0</v>
      </c>
      <c r="BF147" s="228">
        <v>0</v>
      </c>
      <c r="BG147" s="228">
        <v>0</v>
      </c>
      <c r="BH147" s="229">
        <v>0</v>
      </c>
      <c r="BI147" s="228">
        <v>101</v>
      </c>
      <c r="BJ147" s="228">
        <v>89</v>
      </c>
      <c r="BK147" s="228">
        <v>13</v>
      </c>
      <c r="BL147" s="229">
        <v>0.1431</v>
      </c>
      <c r="BM147" s="228">
        <v>32</v>
      </c>
      <c r="BN147" s="228">
        <v>48</v>
      </c>
      <c r="BO147" s="228">
        <v>-16</v>
      </c>
      <c r="BP147" s="229">
        <v>-0.3362</v>
      </c>
      <c r="BQ147" s="228">
        <v>207</v>
      </c>
      <c r="BR147" s="228">
        <v>203</v>
      </c>
      <c r="BS147" s="228">
        <v>4</v>
      </c>
      <c r="BT147" s="229">
        <v>1.7500000000000002E-2</v>
      </c>
      <c r="BU147" s="230">
        <v>119860</v>
      </c>
      <c r="BV147" s="230">
        <v>170611</v>
      </c>
      <c r="BW147" s="230">
        <v>-50751</v>
      </c>
      <c r="BX147" s="229">
        <v>-0.29749999999999999</v>
      </c>
      <c r="BY147" s="228">
        <v>685</v>
      </c>
      <c r="BZ147" s="228">
        <v>690</v>
      </c>
      <c r="CA147" s="228">
        <v>-4</v>
      </c>
      <c r="CB147" s="229">
        <v>-6.4000000000000003E-3</v>
      </c>
      <c r="CC147" s="228">
        <v>676</v>
      </c>
      <c r="CD147" s="228">
        <v>682</v>
      </c>
      <c r="CE147" s="228">
        <v>-6</v>
      </c>
      <c r="CF147" s="229">
        <v>-8.3000000000000001E-3</v>
      </c>
      <c r="CG147" s="228">
        <v>9</v>
      </c>
      <c r="CH147" s="228">
        <v>8</v>
      </c>
      <c r="CI147" s="228">
        <v>1</v>
      </c>
      <c r="CJ147" s="229">
        <v>0.1719</v>
      </c>
      <c r="CK147" s="228">
        <v>0</v>
      </c>
      <c r="CL147" s="228">
        <v>0</v>
      </c>
      <c r="CM147" s="228">
        <v>0</v>
      </c>
      <c r="CN147" s="229">
        <v>0</v>
      </c>
      <c r="CO147" s="228">
        <v>105</v>
      </c>
      <c r="CP147" s="228">
        <v>89</v>
      </c>
      <c r="CQ147" s="228">
        <v>17</v>
      </c>
      <c r="CR147" s="229">
        <v>0.18740000000000001</v>
      </c>
      <c r="CS147" s="228">
        <v>97</v>
      </c>
      <c r="CT147" s="228">
        <v>91</v>
      </c>
      <c r="CU147" s="228">
        <v>6</v>
      </c>
      <c r="CV147" s="229">
        <v>6.1499999999999999E-2</v>
      </c>
      <c r="CW147" s="228">
        <v>887</v>
      </c>
      <c r="CX147" s="228">
        <v>870</v>
      </c>
      <c r="CY147" s="228">
        <v>18</v>
      </c>
      <c r="CZ147" s="229">
        <v>2.0500000000000001E-2</v>
      </c>
      <c r="DA147" s="228">
        <v>27.29</v>
      </c>
      <c r="DB147" s="228">
        <v>26.79</v>
      </c>
      <c r="DC147" s="228">
        <v>0.5</v>
      </c>
      <c r="DD147" s="228">
        <v>0.5</v>
      </c>
      <c r="DE147" s="228">
        <v>36.32</v>
      </c>
      <c r="DF147" s="228">
        <v>36.35</v>
      </c>
      <c r="DG147" s="228">
        <v>-9.0299999999999994</v>
      </c>
      <c r="DH147" s="228">
        <v>-0.03</v>
      </c>
      <c r="DI147" s="228">
        <v>27.3</v>
      </c>
      <c r="DJ147" s="228">
        <v>26.91</v>
      </c>
      <c r="DK147" s="228">
        <v>0.39</v>
      </c>
      <c r="DL147" s="228">
        <v>0.39</v>
      </c>
      <c r="DM147" s="228">
        <v>27.26</v>
      </c>
      <c r="DN147" s="228">
        <v>26.57</v>
      </c>
      <c r="DO147" s="228">
        <v>0.69</v>
      </c>
      <c r="DP147" s="228">
        <v>0.69</v>
      </c>
      <c r="DQ147" s="228">
        <v>0.92</v>
      </c>
      <c r="DR147" s="228">
        <v>1.03</v>
      </c>
      <c r="DS147" s="228">
        <v>-0.11</v>
      </c>
      <c r="DT147" s="229">
        <v>-0.10680000000000001</v>
      </c>
      <c r="DU147" s="231">
        <v>1700</v>
      </c>
      <c r="DV147" s="231">
        <v>1680</v>
      </c>
      <c r="DW147" s="228">
        <v>0.31</v>
      </c>
      <c r="DX147" s="228">
        <v>0.54</v>
      </c>
      <c r="DY147" s="228">
        <v>-0.23</v>
      </c>
      <c r="DZ147" s="229">
        <v>-0.4259</v>
      </c>
      <c r="EA147" s="229">
        <v>1.2999999999999999E-2</v>
      </c>
      <c r="EB147" s="230">
        <v>44800</v>
      </c>
      <c r="EC147" s="229">
        <v>-1.8E-3</v>
      </c>
      <c r="ED147" s="229">
        <v>1.2999999999999999E-2</v>
      </c>
      <c r="EE147" s="228">
        <v>-2.56</v>
      </c>
      <c r="EF147" s="229">
        <v>-1.5E-3</v>
      </c>
      <c r="EG147" s="230">
        <v>53279</v>
      </c>
      <c r="EH147" s="230">
        <v>96979</v>
      </c>
      <c r="EI147" s="229">
        <v>-0.4506</v>
      </c>
      <c r="EJ147" s="229">
        <v>0.44450000000000001</v>
      </c>
      <c r="EK147" s="228">
        <v>105.05</v>
      </c>
      <c r="EL147" s="228">
        <v>30.66</v>
      </c>
      <c r="EM147" s="228">
        <v>73.47</v>
      </c>
      <c r="EN147" s="228">
        <v>60.16</v>
      </c>
      <c r="EO147" s="228">
        <v>209.18</v>
      </c>
      <c r="EP147" s="228">
        <v>205.51</v>
      </c>
      <c r="EQ147" s="228">
        <v>3.67</v>
      </c>
      <c r="ER147" s="229">
        <v>1.7899999999999999E-2</v>
      </c>
      <c r="ES147" s="228">
        <v>107.95</v>
      </c>
      <c r="ET147" s="228">
        <v>93.39</v>
      </c>
      <c r="EU147" s="228">
        <v>685.19</v>
      </c>
      <c r="EV147" s="231">
        <v>17614093</v>
      </c>
      <c r="EW147" s="228">
        <v>886.53</v>
      </c>
      <c r="EX147" s="228">
        <v>860.73</v>
      </c>
      <c r="EY147" s="228">
        <v>25.8</v>
      </c>
      <c r="EZ147" s="229">
        <v>0.03</v>
      </c>
      <c r="FA147" s="229">
        <v>0.29759999999999998</v>
      </c>
      <c r="FB147" s="227" t="s">
        <v>556</v>
      </c>
      <c r="FC147">
        <f t="shared" si="2"/>
        <v>9</v>
      </c>
    </row>
    <row r="148" spans="1:159" ht="17.25" thickBot="1" x14ac:dyDescent="0.3">
      <c r="A148" s="226">
        <v>46023</v>
      </c>
      <c r="B148" s="227" t="s">
        <v>221</v>
      </c>
      <c r="C148" s="227" t="s">
        <v>518</v>
      </c>
      <c r="D148" s="228">
        <v>75</v>
      </c>
      <c r="E148" s="228">
        <v>26</v>
      </c>
      <c r="F148" s="231">
        <v>7730</v>
      </c>
      <c r="G148" s="231">
        <v>7717</v>
      </c>
      <c r="H148" s="228">
        <v>13</v>
      </c>
      <c r="I148" s="229">
        <v>1.6999999999999999E-3</v>
      </c>
      <c r="J148" s="231">
        <v>7687.5</v>
      </c>
      <c r="K148" s="231">
        <v>7687</v>
      </c>
      <c r="L148" s="228">
        <v>0.5</v>
      </c>
      <c r="M148" s="229">
        <v>1E-4</v>
      </c>
      <c r="N148" s="231">
        <v>7730</v>
      </c>
      <c r="O148" s="231">
        <v>7717</v>
      </c>
      <c r="P148" s="228">
        <v>13</v>
      </c>
      <c r="Q148" s="229">
        <v>1.6999999999999999E-3</v>
      </c>
      <c r="R148" s="231">
        <v>7769.5</v>
      </c>
      <c r="S148" s="231">
        <v>7755</v>
      </c>
      <c r="T148" s="228">
        <v>14.5</v>
      </c>
      <c r="U148" s="229">
        <v>1.9E-3</v>
      </c>
      <c r="V148" s="231">
        <v>7804</v>
      </c>
      <c r="W148" s="231">
        <v>7795.5</v>
      </c>
      <c r="X148" s="228">
        <v>8.5</v>
      </c>
      <c r="Y148" s="229">
        <v>1.1000000000000001E-3</v>
      </c>
      <c r="Z148" s="228">
        <v>42.5</v>
      </c>
      <c r="AA148" s="228">
        <v>30</v>
      </c>
      <c r="AB148" s="228">
        <v>12.5</v>
      </c>
      <c r="AC148" s="229">
        <v>5.4999999999999997E-3</v>
      </c>
      <c r="AD148" s="228">
        <v>42.5</v>
      </c>
      <c r="AE148" s="228">
        <v>30</v>
      </c>
      <c r="AF148" s="228">
        <v>12.5</v>
      </c>
      <c r="AG148" s="229">
        <v>5.4999999999999997E-3</v>
      </c>
      <c r="AH148" s="228">
        <v>82</v>
      </c>
      <c r="AI148" s="228">
        <v>68</v>
      </c>
      <c r="AJ148" s="228">
        <v>14</v>
      </c>
      <c r="AK148" s="229">
        <v>1.0699999999999999E-2</v>
      </c>
      <c r="AL148" s="228">
        <v>116.5</v>
      </c>
      <c r="AM148" s="228">
        <v>108.5</v>
      </c>
      <c r="AN148" s="228">
        <v>8</v>
      </c>
      <c r="AO148" s="229">
        <v>1.52E-2</v>
      </c>
      <c r="AP148" s="231">
        <v>7708.6</v>
      </c>
      <c r="AQ148" s="231">
        <v>7751.75</v>
      </c>
      <c r="AR148" s="228">
        <v>0</v>
      </c>
      <c r="AS148" s="228">
        <v>57</v>
      </c>
      <c r="AT148" s="228">
        <v>85</v>
      </c>
      <c r="AU148" s="228">
        <v>-29</v>
      </c>
      <c r="AV148" s="229">
        <v>-0.33760000000000001</v>
      </c>
      <c r="AW148" s="228">
        <v>53</v>
      </c>
      <c r="AX148" s="228">
        <v>81</v>
      </c>
      <c r="AY148" s="228">
        <v>-28</v>
      </c>
      <c r="AZ148" s="229">
        <v>-0.3463</v>
      </c>
      <c r="BA148" s="228">
        <v>2</v>
      </c>
      <c r="BB148" s="228">
        <v>3</v>
      </c>
      <c r="BC148" s="228">
        <v>-1</v>
      </c>
      <c r="BD148" s="229">
        <v>-0.2364</v>
      </c>
      <c r="BE148" s="228">
        <v>1</v>
      </c>
      <c r="BF148" s="228">
        <v>1</v>
      </c>
      <c r="BG148" s="228">
        <v>0</v>
      </c>
      <c r="BH148" s="229">
        <v>-0.08</v>
      </c>
      <c r="BI148" s="228">
        <v>173</v>
      </c>
      <c r="BJ148" s="228">
        <v>208</v>
      </c>
      <c r="BK148" s="228">
        <v>-35</v>
      </c>
      <c r="BL148" s="229">
        <v>-0.1701</v>
      </c>
      <c r="BM148" s="228">
        <v>139</v>
      </c>
      <c r="BN148" s="228">
        <v>174</v>
      </c>
      <c r="BO148" s="228">
        <v>-35</v>
      </c>
      <c r="BP148" s="229">
        <v>-0.19980000000000001</v>
      </c>
      <c r="BQ148" s="228">
        <v>369</v>
      </c>
      <c r="BR148" s="228">
        <v>468</v>
      </c>
      <c r="BS148" s="228">
        <v>-99</v>
      </c>
      <c r="BT148" s="229">
        <v>-0.2117</v>
      </c>
      <c r="BU148" s="230">
        <v>51170</v>
      </c>
      <c r="BV148" s="230">
        <v>55092</v>
      </c>
      <c r="BW148" s="230">
        <v>-3922</v>
      </c>
      <c r="BX148" s="229">
        <v>-7.1199999999999999E-2</v>
      </c>
      <c r="BY148" s="230">
        <v>1042</v>
      </c>
      <c r="BZ148" s="230">
        <v>1037</v>
      </c>
      <c r="CA148" s="228">
        <v>6</v>
      </c>
      <c r="CB148" s="229">
        <v>5.4999999999999997E-3</v>
      </c>
      <c r="CC148" s="230">
        <v>1019</v>
      </c>
      <c r="CD148" s="230">
        <v>1014</v>
      </c>
      <c r="CE148" s="228">
        <v>5</v>
      </c>
      <c r="CF148" s="229">
        <v>4.4999999999999997E-3</v>
      </c>
      <c r="CG148" s="228">
        <v>21</v>
      </c>
      <c r="CH148" s="228">
        <v>21</v>
      </c>
      <c r="CI148" s="228">
        <v>0</v>
      </c>
      <c r="CJ148" s="229">
        <v>5.4000000000000003E-3</v>
      </c>
      <c r="CK148" s="228">
        <v>2</v>
      </c>
      <c r="CL148" s="228">
        <v>1</v>
      </c>
      <c r="CM148" s="228">
        <v>1</v>
      </c>
      <c r="CN148" s="229">
        <v>0.75</v>
      </c>
      <c r="CO148" s="228">
        <v>241</v>
      </c>
      <c r="CP148" s="228">
        <v>212</v>
      </c>
      <c r="CQ148" s="228">
        <v>29</v>
      </c>
      <c r="CR148" s="229">
        <v>0.1386</v>
      </c>
      <c r="CS148" s="228">
        <v>206</v>
      </c>
      <c r="CT148" s="228">
        <v>195</v>
      </c>
      <c r="CU148" s="228">
        <v>12</v>
      </c>
      <c r="CV148" s="229">
        <v>5.9499999999999997E-2</v>
      </c>
      <c r="CW148" s="230">
        <v>1490</v>
      </c>
      <c r="CX148" s="230">
        <v>1444</v>
      </c>
      <c r="CY148" s="228">
        <v>47</v>
      </c>
      <c r="CZ148" s="229">
        <v>3.2399999999999998E-2</v>
      </c>
      <c r="DA148" s="228">
        <v>29.12</v>
      </c>
      <c r="DB148" s="228">
        <v>29.43</v>
      </c>
      <c r="DC148" s="228">
        <v>-0.31</v>
      </c>
      <c r="DD148" s="228">
        <v>-0.31</v>
      </c>
      <c r="DE148" s="228">
        <v>38.229999999999997</v>
      </c>
      <c r="DF148" s="228">
        <v>38.33</v>
      </c>
      <c r="DG148" s="228">
        <v>-9.11</v>
      </c>
      <c r="DH148" s="228">
        <v>-0.1</v>
      </c>
      <c r="DI148" s="228">
        <v>27.77</v>
      </c>
      <c r="DJ148" s="228">
        <v>28.29</v>
      </c>
      <c r="DK148" s="228">
        <v>-0.52</v>
      </c>
      <c r="DL148" s="228">
        <v>-0.52</v>
      </c>
      <c r="DM148" s="228">
        <v>30.78</v>
      </c>
      <c r="DN148" s="228">
        <v>30.79</v>
      </c>
      <c r="DO148" s="228">
        <v>-0.01</v>
      </c>
      <c r="DP148" s="228">
        <v>-0.01</v>
      </c>
      <c r="DQ148" s="228">
        <v>0.85</v>
      </c>
      <c r="DR148" s="228">
        <v>0.92</v>
      </c>
      <c r="DS148" s="228">
        <v>-7.0000000000000007E-2</v>
      </c>
      <c r="DT148" s="229">
        <v>-7.6100000000000001E-2</v>
      </c>
      <c r="DU148" s="231">
        <v>8000</v>
      </c>
      <c r="DV148" s="231">
        <v>7700</v>
      </c>
      <c r="DW148" s="228">
        <v>0.81</v>
      </c>
      <c r="DX148" s="228">
        <v>0.84</v>
      </c>
      <c r="DY148" s="228">
        <v>-0.03</v>
      </c>
      <c r="DZ148" s="229">
        <v>-3.5700000000000003E-2</v>
      </c>
      <c r="EA148" s="229">
        <v>2.29E-2</v>
      </c>
      <c r="EB148" s="230">
        <v>29400</v>
      </c>
      <c r="EC148" s="229">
        <v>5.1000000000000004E-3</v>
      </c>
      <c r="ED148" s="229">
        <v>2.29E-2</v>
      </c>
      <c r="EE148" s="228">
        <v>43.15</v>
      </c>
      <c r="EF148" s="229">
        <v>5.5999999999999999E-3</v>
      </c>
      <c r="EG148" s="230">
        <v>27339</v>
      </c>
      <c r="EH148" s="230">
        <v>26511</v>
      </c>
      <c r="EI148" s="229">
        <v>3.1199999999999999E-2</v>
      </c>
      <c r="EJ148" s="229">
        <v>0.5343</v>
      </c>
      <c r="EK148" s="228">
        <v>180.37</v>
      </c>
      <c r="EL148" s="228">
        <v>128.96</v>
      </c>
      <c r="EM148" s="228">
        <v>56.4</v>
      </c>
      <c r="EN148" s="228">
        <v>89.43</v>
      </c>
      <c r="EO148" s="228">
        <v>365.73</v>
      </c>
      <c r="EP148" s="228">
        <v>464.95</v>
      </c>
      <c r="EQ148" s="228">
        <v>-99.23</v>
      </c>
      <c r="ER148" s="229">
        <v>-0.21340000000000001</v>
      </c>
      <c r="ES148" s="228">
        <v>251.17</v>
      </c>
      <c r="ET148" s="228">
        <v>202.77</v>
      </c>
      <c r="EU148" s="231">
        <v>1042.58</v>
      </c>
      <c r="EV148" s="231">
        <v>3582756</v>
      </c>
      <c r="EW148" s="231">
        <v>1496.52</v>
      </c>
      <c r="EX148" s="231">
        <v>1448.4</v>
      </c>
      <c r="EY148" s="228">
        <v>48.12</v>
      </c>
      <c r="EZ148" s="229">
        <v>3.32E-2</v>
      </c>
      <c r="FA148" s="229">
        <v>0.53810000000000002</v>
      </c>
      <c r="FB148" s="227" t="s">
        <v>555</v>
      </c>
      <c r="FC148">
        <f>BY216-CC216</f>
        <v>0</v>
      </c>
    </row>
    <row r="149" spans="1:159" ht="17.25" thickBot="1" x14ac:dyDescent="0.3">
      <c r="A149" s="226">
        <v>46023</v>
      </c>
      <c r="B149" s="227" t="s">
        <v>193</v>
      </c>
      <c r="C149" s="227" t="s">
        <v>587</v>
      </c>
      <c r="D149" s="228">
        <v>1400</v>
      </c>
      <c r="E149" s="228">
        <v>26</v>
      </c>
      <c r="F149" s="228">
        <v>429.05</v>
      </c>
      <c r="G149" s="228">
        <v>426.6</v>
      </c>
      <c r="H149" s="228">
        <v>2.4500000000000002</v>
      </c>
      <c r="I149" s="229">
        <v>5.7000000000000002E-3</v>
      </c>
      <c r="J149" s="228">
        <v>427.55</v>
      </c>
      <c r="K149" s="228">
        <v>424.35</v>
      </c>
      <c r="L149" s="228">
        <v>3.2</v>
      </c>
      <c r="M149" s="229">
        <v>7.4999999999999997E-3</v>
      </c>
      <c r="N149" s="228">
        <v>429.05</v>
      </c>
      <c r="O149" s="228">
        <v>426.6</v>
      </c>
      <c r="P149" s="228">
        <v>2.4500000000000002</v>
      </c>
      <c r="Q149" s="229">
        <v>5.7000000000000002E-3</v>
      </c>
      <c r="R149" s="228">
        <v>426.8</v>
      </c>
      <c r="S149" s="228">
        <v>424.55</v>
      </c>
      <c r="T149" s="228">
        <v>2.25</v>
      </c>
      <c r="U149" s="229">
        <v>5.3E-3</v>
      </c>
      <c r="V149" s="228">
        <v>424.45</v>
      </c>
      <c r="W149" s="228">
        <v>424.5</v>
      </c>
      <c r="X149" s="228">
        <v>-0.05</v>
      </c>
      <c r="Y149" s="229">
        <v>-1E-4</v>
      </c>
      <c r="Z149" s="228">
        <v>1.5</v>
      </c>
      <c r="AA149" s="228">
        <v>2.25</v>
      </c>
      <c r="AB149" s="228">
        <v>-0.75</v>
      </c>
      <c r="AC149" s="229">
        <v>3.5000000000000001E-3</v>
      </c>
      <c r="AD149" s="228">
        <v>1.5</v>
      </c>
      <c r="AE149" s="228">
        <v>2.25</v>
      </c>
      <c r="AF149" s="228">
        <v>-0.75</v>
      </c>
      <c r="AG149" s="229">
        <v>3.5000000000000001E-3</v>
      </c>
      <c r="AH149" s="228">
        <v>-0.75</v>
      </c>
      <c r="AI149" s="228">
        <v>0.2</v>
      </c>
      <c r="AJ149" s="228">
        <v>-0.95</v>
      </c>
      <c r="AK149" s="229">
        <v>-1.8E-3</v>
      </c>
      <c r="AL149" s="228">
        <v>-3.1</v>
      </c>
      <c r="AM149" s="228">
        <v>0.15</v>
      </c>
      <c r="AN149" s="228">
        <v>-3.25</v>
      </c>
      <c r="AO149" s="229">
        <v>-7.3000000000000001E-3</v>
      </c>
      <c r="AP149" s="228">
        <v>425.98</v>
      </c>
      <c r="AQ149" s="228">
        <v>424.41</v>
      </c>
      <c r="AR149" s="228">
        <v>0</v>
      </c>
      <c r="AS149" s="228">
        <v>68</v>
      </c>
      <c r="AT149" s="228">
        <v>158</v>
      </c>
      <c r="AU149" s="228">
        <v>-90</v>
      </c>
      <c r="AV149" s="229">
        <v>-0.56979999999999997</v>
      </c>
      <c r="AW149" s="228">
        <v>65</v>
      </c>
      <c r="AX149" s="228">
        <v>147</v>
      </c>
      <c r="AY149" s="228">
        <v>-81</v>
      </c>
      <c r="AZ149" s="229">
        <v>-0.55449999999999999</v>
      </c>
      <c r="BA149" s="228">
        <v>2</v>
      </c>
      <c r="BB149" s="228">
        <v>11</v>
      </c>
      <c r="BC149" s="228">
        <v>-8</v>
      </c>
      <c r="BD149" s="229">
        <v>-0.77349999999999997</v>
      </c>
      <c r="BE149" s="228">
        <v>0</v>
      </c>
      <c r="BF149" s="228">
        <v>0</v>
      </c>
      <c r="BG149" s="228">
        <v>0</v>
      </c>
      <c r="BH149" s="229">
        <v>-0.625</v>
      </c>
      <c r="BI149" s="228">
        <v>204</v>
      </c>
      <c r="BJ149" s="228">
        <v>733</v>
      </c>
      <c r="BK149" s="228">
        <v>-529</v>
      </c>
      <c r="BL149" s="229">
        <v>-0.72170000000000001</v>
      </c>
      <c r="BM149" s="228">
        <v>94</v>
      </c>
      <c r="BN149" s="228">
        <v>212</v>
      </c>
      <c r="BO149" s="228">
        <v>-118</v>
      </c>
      <c r="BP149" s="229">
        <v>-0.55530000000000002</v>
      </c>
      <c r="BQ149" s="228">
        <v>366</v>
      </c>
      <c r="BR149" s="230">
        <v>1103</v>
      </c>
      <c r="BS149" s="228">
        <v>-737</v>
      </c>
      <c r="BT149" s="229">
        <v>-0.66800000000000004</v>
      </c>
      <c r="BU149" s="230">
        <v>1870609</v>
      </c>
      <c r="BV149" s="230">
        <v>2921923</v>
      </c>
      <c r="BW149" s="230">
        <v>-1051314</v>
      </c>
      <c r="BX149" s="229">
        <v>-0.35980000000000001</v>
      </c>
      <c r="BY149" s="228">
        <v>508</v>
      </c>
      <c r="BZ149" s="228">
        <v>507</v>
      </c>
      <c r="CA149" s="228">
        <v>1</v>
      </c>
      <c r="CB149" s="229">
        <v>2.5999999999999999E-3</v>
      </c>
      <c r="CC149" s="228">
        <v>492</v>
      </c>
      <c r="CD149" s="228">
        <v>491</v>
      </c>
      <c r="CE149" s="228">
        <v>1</v>
      </c>
      <c r="CF149" s="229">
        <v>2.8999999999999998E-3</v>
      </c>
      <c r="CG149" s="228">
        <v>16</v>
      </c>
      <c r="CH149" s="228">
        <v>16</v>
      </c>
      <c r="CI149" s="228">
        <v>0</v>
      </c>
      <c r="CJ149" s="229">
        <v>-1.14E-2</v>
      </c>
      <c r="CK149" s="228">
        <v>0</v>
      </c>
      <c r="CL149" s="228">
        <v>0</v>
      </c>
      <c r="CM149" s="228">
        <v>0</v>
      </c>
      <c r="CN149" s="229">
        <v>0.25</v>
      </c>
      <c r="CO149" s="228">
        <v>174</v>
      </c>
      <c r="CP149" s="228">
        <v>167</v>
      </c>
      <c r="CQ149" s="228">
        <v>7</v>
      </c>
      <c r="CR149" s="229">
        <v>4.2799999999999998E-2</v>
      </c>
      <c r="CS149" s="228">
        <v>92</v>
      </c>
      <c r="CT149" s="228">
        <v>87</v>
      </c>
      <c r="CU149" s="228">
        <v>5</v>
      </c>
      <c r="CV149" s="229">
        <v>5.7200000000000001E-2</v>
      </c>
      <c r="CW149" s="228">
        <v>774</v>
      </c>
      <c r="CX149" s="228">
        <v>761</v>
      </c>
      <c r="CY149" s="228">
        <v>13</v>
      </c>
      <c r="CZ149" s="229">
        <v>1.77E-2</v>
      </c>
      <c r="DA149" s="228">
        <v>25.09</v>
      </c>
      <c r="DB149" s="228">
        <v>24.65</v>
      </c>
      <c r="DC149" s="228">
        <v>0.44</v>
      </c>
      <c r="DD149" s="228">
        <v>0.44</v>
      </c>
      <c r="DE149" s="228">
        <v>40.659999999999997</v>
      </c>
      <c r="DF149" s="228">
        <v>40.75</v>
      </c>
      <c r="DG149" s="228">
        <v>-15.57</v>
      </c>
      <c r="DH149" s="228">
        <v>-0.09</v>
      </c>
      <c r="DI149" s="228">
        <v>25.29</v>
      </c>
      <c r="DJ149" s="228">
        <v>24.85</v>
      </c>
      <c r="DK149" s="228">
        <v>0.44</v>
      </c>
      <c r="DL149" s="228">
        <v>0.44</v>
      </c>
      <c r="DM149" s="228">
        <v>24.63</v>
      </c>
      <c r="DN149" s="228">
        <v>23.93</v>
      </c>
      <c r="DO149" s="228">
        <v>0.7</v>
      </c>
      <c r="DP149" s="228">
        <v>0.7</v>
      </c>
      <c r="DQ149" s="228">
        <v>0.53</v>
      </c>
      <c r="DR149" s="228">
        <v>0.52</v>
      </c>
      <c r="DS149" s="228">
        <v>0.01</v>
      </c>
      <c r="DT149" s="229">
        <v>1.9199999999999998E-2</v>
      </c>
      <c r="DU149" s="228">
        <v>480</v>
      </c>
      <c r="DV149" s="228">
        <v>420</v>
      </c>
      <c r="DW149" s="228">
        <v>0.46</v>
      </c>
      <c r="DX149" s="228">
        <v>0.28999999999999998</v>
      </c>
      <c r="DY149" s="228">
        <v>0.17</v>
      </c>
      <c r="DZ149" s="229">
        <v>0.58620000000000005</v>
      </c>
      <c r="EA149" s="229">
        <v>3.15E-2</v>
      </c>
      <c r="EB149" s="230">
        <v>375200</v>
      </c>
      <c r="EC149" s="229">
        <v>-5.1999999999999998E-3</v>
      </c>
      <c r="ED149" s="229">
        <v>3.15E-2</v>
      </c>
      <c r="EE149" s="228">
        <v>-1.57</v>
      </c>
      <c r="EF149" s="229">
        <v>-3.7000000000000002E-3</v>
      </c>
      <c r="EG149" s="230">
        <v>857153</v>
      </c>
      <c r="EH149" s="230">
        <v>921023</v>
      </c>
      <c r="EI149" s="229">
        <v>-6.93E-2</v>
      </c>
      <c r="EJ149" s="229">
        <v>0.4582</v>
      </c>
      <c r="EK149" s="228">
        <v>215.47</v>
      </c>
      <c r="EL149" s="228">
        <v>91.81</v>
      </c>
      <c r="EM149" s="228">
        <v>67.44</v>
      </c>
      <c r="EN149" s="228">
        <v>41.04</v>
      </c>
      <c r="EO149" s="228">
        <v>374.71</v>
      </c>
      <c r="EP149" s="231">
        <v>1131.3699999999999</v>
      </c>
      <c r="EQ149" s="228">
        <v>-756.66</v>
      </c>
      <c r="ER149" s="229">
        <v>-0.66879999999999995</v>
      </c>
      <c r="ES149" s="228">
        <v>182.88</v>
      </c>
      <c r="ET149" s="228">
        <v>88.7</v>
      </c>
      <c r="EU149" s="228">
        <v>507.84</v>
      </c>
      <c r="EV149" s="231">
        <v>102006452</v>
      </c>
      <c r="EW149" s="228">
        <v>779.42</v>
      </c>
      <c r="EX149" s="228">
        <v>762.18</v>
      </c>
      <c r="EY149" s="228">
        <v>17.239999999999998</v>
      </c>
      <c r="EZ149" s="229">
        <v>2.2599999999999999E-2</v>
      </c>
      <c r="FA149" s="229">
        <v>0.1769</v>
      </c>
      <c r="FB149" s="227" t="s">
        <v>555</v>
      </c>
      <c r="FC149">
        <f t="shared" ref="FC149:FC194" si="3">BY215-CC215</f>
        <v>24</v>
      </c>
    </row>
    <row r="150" spans="1:159" ht="17.25" thickBot="1" x14ac:dyDescent="0.3">
      <c r="A150" s="226">
        <v>46023</v>
      </c>
      <c r="B150" s="227" t="s">
        <v>193</v>
      </c>
      <c r="C150" s="227" t="s">
        <v>269</v>
      </c>
      <c r="D150" s="228">
        <v>2250</v>
      </c>
      <c r="E150" s="228">
        <v>26</v>
      </c>
      <c r="F150" s="228">
        <v>239.46</v>
      </c>
      <c r="G150" s="228">
        <v>242.08</v>
      </c>
      <c r="H150" s="228">
        <v>-2.62</v>
      </c>
      <c r="I150" s="229">
        <v>-1.0800000000000001E-2</v>
      </c>
      <c r="J150" s="228">
        <v>237.94</v>
      </c>
      <c r="K150" s="228">
        <v>240.38</v>
      </c>
      <c r="L150" s="228">
        <v>-2.44</v>
      </c>
      <c r="M150" s="229">
        <v>-1.0200000000000001E-2</v>
      </c>
      <c r="N150" s="228">
        <v>239.46</v>
      </c>
      <c r="O150" s="228">
        <v>242.08</v>
      </c>
      <c r="P150" s="228">
        <v>-2.62</v>
      </c>
      <c r="Q150" s="229">
        <v>-1.0800000000000001E-2</v>
      </c>
      <c r="R150" s="228">
        <v>239.92</v>
      </c>
      <c r="S150" s="228">
        <v>242.02</v>
      </c>
      <c r="T150" s="228">
        <v>-2.1</v>
      </c>
      <c r="U150" s="229">
        <v>-8.6999999999999994E-3</v>
      </c>
      <c r="V150" s="228">
        <v>241.56</v>
      </c>
      <c r="W150" s="228">
        <v>243.31</v>
      </c>
      <c r="X150" s="228">
        <v>-1.75</v>
      </c>
      <c r="Y150" s="229">
        <v>-7.1999999999999998E-3</v>
      </c>
      <c r="Z150" s="228">
        <v>1.52</v>
      </c>
      <c r="AA150" s="228">
        <v>1.7</v>
      </c>
      <c r="AB150" s="228">
        <v>-0.18</v>
      </c>
      <c r="AC150" s="229">
        <v>6.4000000000000003E-3</v>
      </c>
      <c r="AD150" s="228">
        <v>1.52</v>
      </c>
      <c r="AE150" s="228">
        <v>1.7</v>
      </c>
      <c r="AF150" s="228">
        <v>-0.18</v>
      </c>
      <c r="AG150" s="229">
        <v>6.4000000000000003E-3</v>
      </c>
      <c r="AH150" s="228">
        <v>1.98</v>
      </c>
      <c r="AI150" s="228">
        <v>1.64</v>
      </c>
      <c r="AJ150" s="228">
        <v>0.34</v>
      </c>
      <c r="AK150" s="229">
        <v>8.3000000000000001E-3</v>
      </c>
      <c r="AL150" s="228">
        <v>3.62</v>
      </c>
      <c r="AM150" s="228">
        <v>2.93</v>
      </c>
      <c r="AN150" s="228">
        <v>0.69</v>
      </c>
      <c r="AO150" s="229">
        <v>1.52E-2</v>
      </c>
      <c r="AP150" s="228">
        <v>240.69</v>
      </c>
      <c r="AQ150" s="228">
        <v>240.85</v>
      </c>
      <c r="AR150" s="228">
        <v>0</v>
      </c>
      <c r="AS150" s="228">
        <v>244</v>
      </c>
      <c r="AT150" s="228">
        <v>399</v>
      </c>
      <c r="AU150" s="228">
        <v>-156</v>
      </c>
      <c r="AV150" s="229">
        <v>-0.38969999999999999</v>
      </c>
      <c r="AW150" s="228">
        <v>232</v>
      </c>
      <c r="AX150" s="228">
        <v>379</v>
      </c>
      <c r="AY150" s="228">
        <v>-147</v>
      </c>
      <c r="AZ150" s="229">
        <v>-0.38819999999999999</v>
      </c>
      <c r="BA150" s="228">
        <v>10</v>
      </c>
      <c r="BB150" s="228">
        <v>18</v>
      </c>
      <c r="BC150" s="228">
        <v>-9</v>
      </c>
      <c r="BD150" s="229">
        <v>-0.46200000000000002</v>
      </c>
      <c r="BE150" s="228">
        <v>2</v>
      </c>
      <c r="BF150" s="228">
        <v>2</v>
      </c>
      <c r="BG150" s="228">
        <v>0</v>
      </c>
      <c r="BH150" s="229">
        <v>2.9399999999999999E-2</v>
      </c>
      <c r="BI150" s="230">
        <v>1166</v>
      </c>
      <c r="BJ150" s="230">
        <v>1179</v>
      </c>
      <c r="BK150" s="228">
        <v>-13</v>
      </c>
      <c r="BL150" s="229">
        <v>-1.12E-2</v>
      </c>
      <c r="BM150" s="228">
        <v>450</v>
      </c>
      <c r="BN150" s="228">
        <v>586</v>
      </c>
      <c r="BO150" s="228">
        <v>-135</v>
      </c>
      <c r="BP150" s="229">
        <v>-0.2311</v>
      </c>
      <c r="BQ150" s="230">
        <v>1860</v>
      </c>
      <c r="BR150" s="230">
        <v>2164</v>
      </c>
      <c r="BS150" s="228">
        <v>-304</v>
      </c>
      <c r="BT150" s="229">
        <v>-0.1406</v>
      </c>
      <c r="BU150" s="230">
        <v>5985964</v>
      </c>
      <c r="BV150" s="230">
        <v>12072627</v>
      </c>
      <c r="BW150" s="230">
        <v>-6086663</v>
      </c>
      <c r="BX150" s="229">
        <v>-0.50419999999999998</v>
      </c>
      <c r="BY150" s="230">
        <v>2777</v>
      </c>
      <c r="BZ150" s="230">
        <v>2729</v>
      </c>
      <c r="CA150" s="228">
        <v>48</v>
      </c>
      <c r="CB150" s="229">
        <v>1.7600000000000001E-2</v>
      </c>
      <c r="CC150" s="230">
        <v>2722</v>
      </c>
      <c r="CD150" s="230">
        <v>2677</v>
      </c>
      <c r="CE150" s="228">
        <v>45</v>
      </c>
      <c r="CF150" s="229">
        <v>1.6899999999999998E-2</v>
      </c>
      <c r="CG150" s="228">
        <v>52</v>
      </c>
      <c r="CH150" s="228">
        <v>51</v>
      </c>
      <c r="CI150" s="228">
        <v>1</v>
      </c>
      <c r="CJ150" s="229">
        <v>2.5600000000000001E-2</v>
      </c>
      <c r="CK150" s="228">
        <v>3</v>
      </c>
      <c r="CL150" s="228">
        <v>1</v>
      </c>
      <c r="CM150" s="228">
        <v>2</v>
      </c>
      <c r="CN150" s="229">
        <v>1.3478000000000001</v>
      </c>
      <c r="CO150" s="228">
        <v>819</v>
      </c>
      <c r="CP150" s="228">
        <v>545</v>
      </c>
      <c r="CQ150" s="228">
        <v>273</v>
      </c>
      <c r="CR150" s="229">
        <v>0.50139999999999996</v>
      </c>
      <c r="CS150" s="228">
        <v>455</v>
      </c>
      <c r="CT150" s="228">
        <v>433</v>
      </c>
      <c r="CU150" s="228">
        <v>22</v>
      </c>
      <c r="CV150" s="229">
        <v>5.1499999999999997E-2</v>
      </c>
      <c r="CW150" s="230">
        <v>4051</v>
      </c>
      <c r="CX150" s="230">
        <v>3707</v>
      </c>
      <c r="CY150" s="228">
        <v>344</v>
      </c>
      <c r="CZ150" s="229">
        <v>9.2799999999999994E-2</v>
      </c>
      <c r="DA150" s="228">
        <v>15.76</v>
      </c>
      <c r="DB150" s="228">
        <v>17.690000000000001</v>
      </c>
      <c r="DC150" s="228">
        <v>-1.93</v>
      </c>
      <c r="DD150" s="228">
        <v>-1.93</v>
      </c>
      <c r="DE150" s="228">
        <v>29.51</v>
      </c>
      <c r="DF150" s="228">
        <v>29.55</v>
      </c>
      <c r="DG150" s="228">
        <v>-13.75</v>
      </c>
      <c r="DH150" s="228">
        <v>-0.04</v>
      </c>
      <c r="DI150" s="228">
        <v>15.61</v>
      </c>
      <c r="DJ150" s="228">
        <v>17.3</v>
      </c>
      <c r="DK150" s="228">
        <v>-1.69</v>
      </c>
      <c r="DL150" s="228">
        <v>-1.69</v>
      </c>
      <c r="DM150" s="228">
        <v>16.149999999999999</v>
      </c>
      <c r="DN150" s="228">
        <v>18.47</v>
      </c>
      <c r="DO150" s="228">
        <v>-2.3199999999999998</v>
      </c>
      <c r="DP150" s="228">
        <v>-2.3199999999999998</v>
      </c>
      <c r="DQ150" s="228">
        <v>0.56000000000000005</v>
      </c>
      <c r="DR150" s="228">
        <v>0.79</v>
      </c>
      <c r="DS150" s="228">
        <v>-0.23</v>
      </c>
      <c r="DT150" s="229">
        <v>-0.29110000000000003</v>
      </c>
      <c r="DU150" s="228">
        <v>240</v>
      </c>
      <c r="DV150" s="228">
        <v>235</v>
      </c>
      <c r="DW150" s="228">
        <v>0.39</v>
      </c>
      <c r="DX150" s="228">
        <v>0.5</v>
      </c>
      <c r="DY150" s="228">
        <v>-0.11</v>
      </c>
      <c r="DZ150" s="229">
        <v>-0.22</v>
      </c>
      <c r="EA150" s="229">
        <v>1.9699999999999999E-2</v>
      </c>
      <c r="EB150" s="230">
        <v>2162250</v>
      </c>
      <c r="EC150" s="229">
        <v>1.9E-3</v>
      </c>
      <c r="ED150" s="229">
        <v>1.9699999999999999E-2</v>
      </c>
      <c r="EE150" s="228">
        <v>0.16</v>
      </c>
      <c r="EF150" s="229">
        <v>6.9999999999999999E-4</v>
      </c>
      <c r="EG150" s="230">
        <v>3148632</v>
      </c>
      <c r="EH150" s="230">
        <v>5407912</v>
      </c>
      <c r="EI150" s="229">
        <v>-0.4178</v>
      </c>
      <c r="EJ150" s="229">
        <v>0.52600000000000002</v>
      </c>
      <c r="EK150" s="231">
        <v>1210.5</v>
      </c>
      <c r="EL150" s="228">
        <v>448.08</v>
      </c>
      <c r="EM150" s="228">
        <v>244.91</v>
      </c>
      <c r="EN150" s="228">
        <v>198.27</v>
      </c>
      <c r="EO150" s="231">
        <v>1903.5</v>
      </c>
      <c r="EP150" s="231">
        <v>2200.1999999999998</v>
      </c>
      <c r="EQ150" s="228">
        <v>-296.7</v>
      </c>
      <c r="ER150" s="229">
        <v>-0.1348</v>
      </c>
      <c r="ES150" s="228">
        <v>838.06</v>
      </c>
      <c r="ET150" s="228">
        <v>450.37</v>
      </c>
      <c r="EU150" s="231">
        <v>2776.86</v>
      </c>
      <c r="EV150" s="231">
        <v>517141211</v>
      </c>
      <c r="EW150" s="231">
        <v>4065.3</v>
      </c>
      <c r="EX150" s="231">
        <v>3744.72</v>
      </c>
      <c r="EY150" s="228">
        <v>320.58</v>
      </c>
      <c r="EZ150" s="229">
        <v>8.5599999999999996E-2</v>
      </c>
      <c r="FA150" s="229">
        <v>0.3271</v>
      </c>
      <c r="FB150" s="227" t="s">
        <v>567</v>
      </c>
      <c r="FC150">
        <f t="shared" si="3"/>
        <v>0</v>
      </c>
    </row>
    <row r="151" spans="1:159" ht="17.25" thickBot="1" x14ac:dyDescent="0.3">
      <c r="A151" s="226">
        <v>46023</v>
      </c>
      <c r="B151" s="227" t="s">
        <v>197</v>
      </c>
      <c r="C151" s="227" t="s">
        <v>270</v>
      </c>
      <c r="D151" s="228">
        <v>15</v>
      </c>
      <c r="E151" s="228">
        <v>26</v>
      </c>
      <c r="F151" s="231">
        <v>35705</v>
      </c>
      <c r="G151" s="231">
        <v>36045</v>
      </c>
      <c r="H151" s="228">
        <v>-340</v>
      </c>
      <c r="I151" s="229">
        <v>-9.4000000000000004E-3</v>
      </c>
      <c r="J151" s="231">
        <v>35645</v>
      </c>
      <c r="K151" s="231">
        <v>36045</v>
      </c>
      <c r="L151" s="228">
        <v>-400</v>
      </c>
      <c r="M151" s="229">
        <v>-1.11E-2</v>
      </c>
      <c r="N151" s="231">
        <v>35705</v>
      </c>
      <c r="O151" s="231">
        <v>36045</v>
      </c>
      <c r="P151" s="228">
        <v>-340</v>
      </c>
      <c r="Q151" s="229">
        <v>-9.4000000000000004E-3</v>
      </c>
      <c r="R151" s="231">
        <v>35640</v>
      </c>
      <c r="S151" s="231">
        <v>35955</v>
      </c>
      <c r="T151" s="228">
        <v>-315</v>
      </c>
      <c r="U151" s="229">
        <v>-8.8000000000000005E-3</v>
      </c>
      <c r="V151" s="231">
        <v>35605</v>
      </c>
      <c r="W151" s="231">
        <v>36005</v>
      </c>
      <c r="X151" s="228">
        <v>-400</v>
      </c>
      <c r="Y151" s="229">
        <v>-1.11E-2</v>
      </c>
      <c r="Z151" s="228">
        <v>60</v>
      </c>
      <c r="AA151" s="228">
        <v>0</v>
      </c>
      <c r="AB151" s="228">
        <v>60</v>
      </c>
      <c r="AC151" s="229">
        <v>1.6999999999999999E-3</v>
      </c>
      <c r="AD151" s="228">
        <v>60</v>
      </c>
      <c r="AE151" s="228">
        <v>0</v>
      </c>
      <c r="AF151" s="228">
        <v>60</v>
      </c>
      <c r="AG151" s="229">
        <v>1.6999999999999999E-3</v>
      </c>
      <c r="AH151" s="228">
        <v>-5</v>
      </c>
      <c r="AI151" s="228">
        <v>-90</v>
      </c>
      <c r="AJ151" s="228">
        <v>85</v>
      </c>
      <c r="AK151" s="229">
        <v>-1E-4</v>
      </c>
      <c r="AL151" s="228">
        <v>-40</v>
      </c>
      <c r="AM151" s="228">
        <v>-40</v>
      </c>
      <c r="AN151" s="228">
        <v>0</v>
      </c>
      <c r="AO151" s="229">
        <v>-1.1000000000000001E-3</v>
      </c>
      <c r="AP151" s="231">
        <v>35702.35</v>
      </c>
      <c r="AQ151" s="231">
        <v>35627.35</v>
      </c>
      <c r="AR151" s="228">
        <v>0</v>
      </c>
      <c r="AS151" s="228">
        <v>60</v>
      </c>
      <c r="AT151" s="228">
        <v>66</v>
      </c>
      <c r="AU151" s="228">
        <v>-6</v>
      </c>
      <c r="AV151" s="229">
        <v>-8.5800000000000001E-2</v>
      </c>
      <c r="AW151" s="228">
        <v>56</v>
      </c>
      <c r="AX151" s="228">
        <v>61</v>
      </c>
      <c r="AY151" s="228">
        <v>-6</v>
      </c>
      <c r="AZ151" s="229">
        <v>-9.35E-2</v>
      </c>
      <c r="BA151" s="228">
        <v>4</v>
      </c>
      <c r="BB151" s="228">
        <v>4</v>
      </c>
      <c r="BC151" s="228">
        <v>0</v>
      </c>
      <c r="BD151" s="229">
        <v>0</v>
      </c>
      <c r="BE151" s="228">
        <v>1</v>
      </c>
      <c r="BF151" s="228">
        <v>1</v>
      </c>
      <c r="BG151" s="228">
        <v>0</v>
      </c>
      <c r="BH151" s="229">
        <v>7.6899999999999996E-2</v>
      </c>
      <c r="BI151" s="228">
        <v>315</v>
      </c>
      <c r="BJ151" s="228">
        <v>187</v>
      </c>
      <c r="BK151" s="228">
        <v>128</v>
      </c>
      <c r="BL151" s="229">
        <v>0.68389999999999995</v>
      </c>
      <c r="BM151" s="228">
        <v>132</v>
      </c>
      <c r="BN151" s="228">
        <v>75</v>
      </c>
      <c r="BO151" s="228">
        <v>57</v>
      </c>
      <c r="BP151" s="229">
        <v>0.76939999999999997</v>
      </c>
      <c r="BQ151" s="228">
        <v>508</v>
      </c>
      <c r="BR151" s="228">
        <v>328</v>
      </c>
      <c r="BS151" s="228">
        <v>180</v>
      </c>
      <c r="BT151" s="229">
        <v>0.54810000000000003</v>
      </c>
      <c r="BU151" s="230">
        <v>25697</v>
      </c>
      <c r="BV151" s="230">
        <v>10592</v>
      </c>
      <c r="BW151" s="230">
        <v>15105</v>
      </c>
      <c r="BX151" s="229">
        <v>1.4260999999999999</v>
      </c>
      <c r="BY151" s="228">
        <v>861</v>
      </c>
      <c r="BZ151" s="228">
        <v>853</v>
      </c>
      <c r="CA151" s="228">
        <v>7</v>
      </c>
      <c r="CB151" s="229">
        <v>8.6999999999999994E-3</v>
      </c>
      <c r="CC151" s="228">
        <v>828</v>
      </c>
      <c r="CD151" s="228">
        <v>823</v>
      </c>
      <c r="CE151" s="228">
        <v>5</v>
      </c>
      <c r="CF151" s="229">
        <v>5.8999999999999999E-3</v>
      </c>
      <c r="CG151" s="228">
        <v>32</v>
      </c>
      <c r="CH151" s="228">
        <v>30</v>
      </c>
      <c r="CI151" s="228">
        <v>2</v>
      </c>
      <c r="CJ151" s="229">
        <v>6.6199999999999995E-2</v>
      </c>
      <c r="CK151" s="228">
        <v>1</v>
      </c>
      <c r="CL151" s="228">
        <v>1</v>
      </c>
      <c r="CM151" s="228">
        <v>1</v>
      </c>
      <c r="CN151" s="229">
        <v>0.92310000000000003</v>
      </c>
      <c r="CO151" s="228">
        <v>154</v>
      </c>
      <c r="CP151" s="228">
        <v>114</v>
      </c>
      <c r="CQ151" s="228">
        <v>40</v>
      </c>
      <c r="CR151" s="229">
        <v>0.35070000000000001</v>
      </c>
      <c r="CS151" s="228">
        <v>94</v>
      </c>
      <c r="CT151" s="228">
        <v>89</v>
      </c>
      <c r="CU151" s="228">
        <v>5</v>
      </c>
      <c r="CV151" s="229">
        <v>5.1499999999999997E-2</v>
      </c>
      <c r="CW151" s="230">
        <v>1109</v>
      </c>
      <c r="CX151" s="230">
        <v>1057</v>
      </c>
      <c r="CY151" s="228">
        <v>52</v>
      </c>
      <c r="CZ151" s="229">
        <v>4.9200000000000001E-2</v>
      </c>
      <c r="DA151" s="228">
        <v>23.18</v>
      </c>
      <c r="DB151" s="228">
        <v>21.08</v>
      </c>
      <c r="DC151" s="228">
        <v>2.1</v>
      </c>
      <c r="DD151" s="228">
        <v>2.1</v>
      </c>
      <c r="DE151" s="228">
        <v>27.67</v>
      </c>
      <c r="DF151" s="228">
        <v>27.7</v>
      </c>
      <c r="DG151" s="228">
        <v>-4.49</v>
      </c>
      <c r="DH151" s="228">
        <v>-0.03</v>
      </c>
      <c r="DI151" s="228">
        <v>23.84</v>
      </c>
      <c r="DJ151" s="228">
        <v>21.03</v>
      </c>
      <c r="DK151" s="228">
        <v>2.81</v>
      </c>
      <c r="DL151" s="228">
        <v>2.81</v>
      </c>
      <c r="DM151" s="228">
        <v>21.58</v>
      </c>
      <c r="DN151" s="228">
        <v>21.2</v>
      </c>
      <c r="DO151" s="228">
        <v>0.38</v>
      </c>
      <c r="DP151" s="228">
        <v>0.38</v>
      </c>
      <c r="DQ151" s="228">
        <v>0.61</v>
      </c>
      <c r="DR151" s="228">
        <v>0.79</v>
      </c>
      <c r="DS151" s="228">
        <v>-0.18</v>
      </c>
      <c r="DT151" s="229">
        <v>-0.2278</v>
      </c>
      <c r="DU151" s="231">
        <v>36000</v>
      </c>
      <c r="DV151" s="231">
        <v>35000</v>
      </c>
      <c r="DW151" s="228">
        <v>0.42</v>
      </c>
      <c r="DX151" s="228">
        <v>0.4</v>
      </c>
      <c r="DY151" s="228">
        <v>0.02</v>
      </c>
      <c r="DZ151" s="229">
        <v>0.05</v>
      </c>
      <c r="EA151" s="229">
        <v>3.8600000000000002E-2</v>
      </c>
      <c r="EB151" s="230">
        <v>8580</v>
      </c>
      <c r="EC151" s="229">
        <v>-1.8E-3</v>
      </c>
      <c r="ED151" s="229">
        <v>3.8600000000000002E-2</v>
      </c>
      <c r="EE151" s="228">
        <v>-75</v>
      </c>
      <c r="EF151" s="229">
        <v>-2.0999999999999999E-3</v>
      </c>
      <c r="EG151" s="230">
        <v>19758</v>
      </c>
      <c r="EH151" s="230">
        <v>4711</v>
      </c>
      <c r="EI151" s="229">
        <v>3.194</v>
      </c>
      <c r="EJ151" s="229">
        <v>0.76890000000000003</v>
      </c>
      <c r="EK151" s="228">
        <v>346.24</v>
      </c>
      <c r="EL151" s="228">
        <v>128.09</v>
      </c>
      <c r="EM151" s="228">
        <v>60.45</v>
      </c>
      <c r="EN151" s="228">
        <v>84.75</v>
      </c>
      <c r="EO151" s="228">
        <v>534.78</v>
      </c>
      <c r="EP151" s="228">
        <v>338.13</v>
      </c>
      <c r="EQ151" s="228">
        <v>196.65</v>
      </c>
      <c r="ER151" s="229">
        <v>0.58160000000000001</v>
      </c>
      <c r="ES151" s="228">
        <v>162.62</v>
      </c>
      <c r="ET151" s="228">
        <v>93.55</v>
      </c>
      <c r="EU151" s="228">
        <v>860.87</v>
      </c>
      <c r="EV151" s="231">
        <v>955549</v>
      </c>
      <c r="EW151" s="231">
        <v>1117.05</v>
      </c>
      <c r="EX151" s="231">
        <v>1070.79</v>
      </c>
      <c r="EY151" s="228">
        <v>46.26</v>
      </c>
      <c r="EZ151" s="229">
        <v>4.3200000000000002E-2</v>
      </c>
      <c r="FA151" s="229">
        <v>0.32500000000000001</v>
      </c>
      <c r="FB151" s="227" t="s">
        <v>567</v>
      </c>
      <c r="FC151">
        <f t="shared" si="3"/>
        <v>0</v>
      </c>
    </row>
    <row r="152" spans="1:159" ht="17.25" thickBot="1" x14ac:dyDescent="0.3">
      <c r="A152" s="226">
        <v>46023</v>
      </c>
      <c r="B152" s="227" t="s">
        <v>168</v>
      </c>
      <c r="C152" s="227" t="s">
        <v>665</v>
      </c>
      <c r="D152" s="228">
        <v>900</v>
      </c>
      <c r="E152" s="228">
        <v>26</v>
      </c>
      <c r="F152" s="228">
        <v>554.29999999999995</v>
      </c>
      <c r="G152" s="228">
        <v>549</v>
      </c>
      <c r="H152" s="228">
        <v>5.3</v>
      </c>
      <c r="I152" s="229">
        <v>9.7000000000000003E-3</v>
      </c>
      <c r="J152" s="228">
        <v>552.54999999999995</v>
      </c>
      <c r="K152" s="228">
        <v>545.5</v>
      </c>
      <c r="L152" s="228">
        <v>7.05</v>
      </c>
      <c r="M152" s="229">
        <v>1.29E-2</v>
      </c>
      <c r="N152" s="228">
        <v>554.29999999999995</v>
      </c>
      <c r="O152" s="228">
        <v>549</v>
      </c>
      <c r="P152" s="228">
        <v>5.3</v>
      </c>
      <c r="Q152" s="229">
        <v>9.7000000000000003E-3</v>
      </c>
      <c r="R152" s="228">
        <v>557.29999999999995</v>
      </c>
      <c r="S152" s="228">
        <v>552.04999999999995</v>
      </c>
      <c r="T152" s="228">
        <v>5.25</v>
      </c>
      <c r="U152" s="229">
        <v>9.4999999999999998E-3</v>
      </c>
      <c r="V152" s="228">
        <v>559</v>
      </c>
      <c r="W152" s="228">
        <v>552.9</v>
      </c>
      <c r="X152" s="228">
        <v>6.1</v>
      </c>
      <c r="Y152" s="229">
        <v>1.0999999999999999E-2</v>
      </c>
      <c r="Z152" s="228">
        <v>1.75</v>
      </c>
      <c r="AA152" s="228">
        <v>3.5</v>
      </c>
      <c r="AB152" s="228">
        <v>-1.75</v>
      </c>
      <c r="AC152" s="229">
        <v>3.2000000000000002E-3</v>
      </c>
      <c r="AD152" s="228">
        <v>1.75</v>
      </c>
      <c r="AE152" s="228">
        <v>3.5</v>
      </c>
      <c r="AF152" s="228">
        <v>-1.75</v>
      </c>
      <c r="AG152" s="229">
        <v>3.2000000000000002E-3</v>
      </c>
      <c r="AH152" s="228">
        <v>4.75</v>
      </c>
      <c r="AI152" s="228">
        <v>6.55</v>
      </c>
      <c r="AJ152" s="228">
        <v>-1.8</v>
      </c>
      <c r="AK152" s="229">
        <v>8.6E-3</v>
      </c>
      <c r="AL152" s="228">
        <v>6.45</v>
      </c>
      <c r="AM152" s="228">
        <v>7.4</v>
      </c>
      <c r="AN152" s="228">
        <v>-0.95</v>
      </c>
      <c r="AO152" s="229">
        <v>1.17E-2</v>
      </c>
      <c r="AP152" s="228">
        <v>553.07000000000005</v>
      </c>
      <c r="AQ152" s="228">
        <v>555.65</v>
      </c>
      <c r="AR152" s="228">
        <v>0</v>
      </c>
      <c r="AS152" s="228">
        <v>197</v>
      </c>
      <c r="AT152" s="228">
        <v>287</v>
      </c>
      <c r="AU152" s="228">
        <v>-89</v>
      </c>
      <c r="AV152" s="229">
        <v>-0.31180000000000002</v>
      </c>
      <c r="AW152" s="228">
        <v>195</v>
      </c>
      <c r="AX152" s="228">
        <v>280</v>
      </c>
      <c r="AY152" s="228">
        <v>-85</v>
      </c>
      <c r="AZ152" s="229">
        <v>-0.3044</v>
      </c>
      <c r="BA152" s="228">
        <v>2</v>
      </c>
      <c r="BB152" s="228">
        <v>7</v>
      </c>
      <c r="BC152" s="228">
        <v>-4</v>
      </c>
      <c r="BD152" s="229">
        <v>-0.6391</v>
      </c>
      <c r="BE152" s="228">
        <v>0</v>
      </c>
      <c r="BF152" s="228">
        <v>0</v>
      </c>
      <c r="BG152" s="228">
        <v>0</v>
      </c>
      <c r="BH152" s="229">
        <v>0</v>
      </c>
      <c r="BI152" s="228">
        <v>93</v>
      </c>
      <c r="BJ152" s="228">
        <v>289</v>
      </c>
      <c r="BK152" s="228">
        <v>-195</v>
      </c>
      <c r="BL152" s="229">
        <v>-0.67649999999999999</v>
      </c>
      <c r="BM152" s="228">
        <v>41</v>
      </c>
      <c r="BN152" s="228">
        <v>178</v>
      </c>
      <c r="BO152" s="228">
        <v>-137</v>
      </c>
      <c r="BP152" s="229">
        <v>-0.77049999999999996</v>
      </c>
      <c r="BQ152" s="228">
        <v>332</v>
      </c>
      <c r="BR152" s="228">
        <v>754</v>
      </c>
      <c r="BS152" s="228">
        <v>-422</v>
      </c>
      <c r="BT152" s="229">
        <v>-0.56010000000000004</v>
      </c>
      <c r="BU152" s="230">
        <v>648654</v>
      </c>
      <c r="BV152" s="230">
        <v>1303939</v>
      </c>
      <c r="BW152" s="230">
        <v>-655285</v>
      </c>
      <c r="BX152" s="229">
        <v>-0.50249999999999995</v>
      </c>
      <c r="BY152" s="230">
        <v>2132</v>
      </c>
      <c r="BZ152" s="230">
        <v>2128</v>
      </c>
      <c r="CA152" s="228">
        <v>4</v>
      </c>
      <c r="CB152" s="229">
        <v>1.9E-3</v>
      </c>
      <c r="CC152" s="230">
        <v>2121</v>
      </c>
      <c r="CD152" s="230">
        <v>2118</v>
      </c>
      <c r="CE152" s="228">
        <v>3</v>
      </c>
      <c r="CF152" s="229">
        <v>1.6000000000000001E-3</v>
      </c>
      <c r="CG152" s="228">
        <v>11</v>
      </c>
      <c r="CH152" s="228">
        <v>10</v>
      </c>
      <c r="CI152" s="228">
        <v>0</v>
      </c>
      <c r="CJ152" s="229">
        <v>4.4600000000000001E-2</v>
      </c>
      <c r="CK152" s="228">
        <v>1</v>
      </c>
      <c r="CL152" s="228">
        <v>0</v>
      </c>
      <c r="CM152" s="228">
        <v>0</v>
      </c>
      <c r="CN152" s="229">
        <v>1.2</v>
      </c>
      <c r="CO152" s="228">
        <v>139</v>
      </c>
      <c r="CP152" s="228">
        <v>141</v>
      </c>
      <c r="CQ152" s="228">
        <v>-1</v>
      </c>
      <c r="CR152" s="229">
        <v>-1.06E-2</v>
      </c>
      <c r="CS152" s="228">
        <v>102</v>
      </c>
      <c r="CT152" s="228">
        <v>102</v>
      </c>
      <c r="CU152" s="228">
        <v>1</v>
      </c>
      <c r="CV152" s="229">
        <v>8.3000000000000001E-3</v>
      </c>
      <c r="CW152" s="230">
        <v>2374</v>
      </c>
      <c r="CX152" s="230">
        <v>2371</v>
      </c>
      <c r="CY152" s="228">
        <v>3</v>
      </c>
      <c r="CZ152" s="229">
        <v>1.5E-3</v>
      </c>
      <c r="DA152" s="228">
        <v>25.87</v>
      </c>
      <c r="DB152" s="228">
        <v>25.73</v>
      </c>
      <c r="DC152" s="228">
        <v>0.14000000000000001</v>
      </c>
      <c r="DD152" s="228">
        <v>0.14000000000000001</v>
      </c>
      <c r="DE152" s="228">
        <v>32.94</v>
      </c>
      <c r="DF152" s="228">
        <v>33</v>
      </c>
      <c r="DG152" s="228">
        <v>-7.07</v>
      </c>
      <c r="DH152" s="228">
        <v>-0.06</v>
      </c>
      <c r="DI152" s="228">
        <v>25.67</v>
      </c>
      <c r="DJ152" s="228">
        <v>25.44</v>
      </c>
      <c r="DK152" s="228">
        <v>0.23</v>
      </c>
      <c r="DL152" s="228">
        <v>0.23</v>
      </c>
      <c r="DM152" s="228">
        <v>26.31</v>
      </c>
      <c r="DN152" s="228">
        <v>26.19</v>
      </c>
      <c r="DO152" s="228">
        <v>0.12</v>
      </c>
      <c r="DP152" s="228">
        <v>0.12</v>
      </c>
      <c r="DQ152" s="228">
        <v>0.73</v>
      </c>
      <c r="DR152" s="228">
        <v>0.72</v>
      </c>
      <c r="DS152" s="228">
        <v>0.01</v>
      </c>
      <c r="DT152" s="229">
        <v>1.3899999999999999E-2</v>
      </c>
      <c r="DU152" s="228">
        <v>550</v>
      </c>
      <c r="DV152" s="228">
        <v>600</v>
      </c>
      <c r="DW152" s="228">
        <v>0.44</v>
      </c>
      <c r="DX152" s="228">
        <v>0.62</v>
      </c>
      <c r="DY152" s="228">
        <v>-0.18</v>
      </c>
      <c r="DZ152" s="229">
        <v>-0.2903</v>
      </c>
      <c r="EA152" s="229">
        <v>5.1999999999999998E-3</v>
      </c>
      <c r="EB152" s="230">
        <v>186300</v>
      </c>
      <c r="EC152" s="229">
        <v>5.4000000000000003E-3</v>
      </c>
      <c r="ED152" s="229">
        <v>5.1999999999999998E-3</v>
      </c>
      <c r="EE152" s="228">
        <v>2.58</v>
      </c>
      <c r="EF152" s="229">
        <v>4.7000000000000002E-3</v>
      </c>
      <c r="EG152" s="230">
        <v>340760</v>
      </c>
      <c r="EH152" s="230">
        <v>337595</v>
      </c>
      <c r="EI152" s="229">
        <v>9.4000000000000004E-3</v>
      </c>
      <c r="EJ152" s="229">
        <v>0.52529999999999999</v>
      </c>
      <c r="EK152" s="228">
        <v>96.81</v>
      </c>
      <c r="EL152" s="228">
        <v>40.43</v>
      </c>
      <c r="EM152" s="228">
        <v>196.88</v>
      </c>
      <c r="EN152" s="228">
        <v>172.82</v>
      </c>
      <c r="EO152" s="228">
        <v>334.13</v>
      </c>
      <c r="EP152" s="228">
        <v>752</v>
      </c>
      <c r="EQ152" s="228">
        <v>-417.87</v>
      </c>
      <c r="ER152" s="229">
        <v>-0.55569999999999997</v>
      </c>
      <c r="ES152" s="228">
        <v>142.61000000000001</v>
      </c>
      <c r="ET152" s="228">
        <v>101.92</v>
      </c>
      <c r="EU152" s="231">
        <v>2132.1799999999998</v>
      </c>
      <c r="EV152" s="231">
        <v>50886533</v>
      </c>
      <c r="EW152" s="231">
        <v>2376.71</v>
      </c>
      <c r="EX152" s="231">
        <v>2352.8000000000002</v>
      </c>
      <c r="EY152" s="228">
        <v>23.91</v>
      </c>
      <c r="EZ152" s="229">
        <v>1.0200000000000001E-2</v>
      </c>
      <c r="FA152" s="229">
        <v>0.8417</v>
      </c>
      <c r="FB152" s="227" t="s">
        <v>555</v>
      </c>
      <c r="FC152">
        <f t="shared" si="3"/>
        <v>0</v>
      </c>
    </row>
    <row r="153" spans="1:159" ht="17.25" thickBot="1" x14ac:dyDescent="0.3">
      <c r="A153" s="226">
        <v>46023</v>
      </c>
      <c r="B153" s="227" t="s">
        <v>615</v>
      </c>
      <c r="C153" s="227" t="s">
        <v>575</v>
      </c>
      <c r="D153" s="228">
        <v>725</v>
      </c>
      <c r="E153" s="228">
        <v>26</v>
      </c>
      <c r="F153" s="231">
        <v>1300.7</v>
      </c>
      <c r="G153" s="231">
        <v>1305.0999999999999</v>
      </c>
      <c r="H153" s="228">
        <v>-4.4000000000000004</v>
      </c>
      <c r="I153" s="229">
        <v>-3.3999999999999998E-3</v>
      </c>
      <c r="J153" s="231">
        <v>1291.7</v>
      </c>
      <c r="K153" s="231">
        <v>1298.9000000000001</v>
      </c>
      <c r="L153" s="228">
        <v>-7.2</v>
      </c>
      <c r="M153" s="229">
        <v>-5.4999999999999997E-3</v>
      </c>
      <c r="N153" s="231">
        <v>1300.7</v>
      </c>
      <c r="O153" s="231">
        <v>1305.0999999999999</v>
      </c>
      <c r="P153" s="228">
        <v>-4.4000000000000004</v>
      </c>
      <c r="Q153" s="229">
        <v>-3.3999999999999998E-3</v>
      </c>
      <c r="R153" s="231">
        <v>1307.5999999999999</v>
      </c>
      <c r="S153" s="231">
        <v>1312.2</v>
      </c>
      <c r="T153" s="228">
        <v>-4.5999999999999996</v>
      </c>
      <c r="U153" s="229">
        <v>-3.5000000000000001E-3</v>
      </c>
      <c r="V153" s="231">
        <v>1324.8</v>
      </c>
      <c r="W153" s="231">
        <v>1322.6</v>
      </c>
      <c r="X153" s="228">
        <v>2.2000000000000002</v>
      </c>
      <c r="Y153" s="229">
        <v>1.6999999999999999E-3</v>
      </c>
      <c r="Z153" s="228">
        <v>9</v>
      </c>
      <c r="AA153" s="228">
        <v>6.2</v>
      </c>
      <c r="AB153" s="228">
        <v>2.8</v>
      </c>
      <c r="AC153" s="229">
        <v>7.0000000000000001E-3</v>
      </c>
      <c r="AD153" s="228">
        <v>9</v>
      </c>
      <c r="AE153" s="228">
        <v>6.2</v>
      </c>
      <c r="AF153" s="228">
        <v>2.8</v>
      </c>
      <c r="AG153" s="229">
        <v>7.0000000000000001E-3</v>
      </c>
      <c r="AH153" s="228">
        <v>15.9</v>
      </c>
      <c r="AI153" s="228">
        <v>13.3</v>
      </c>
      <c r="AJ153" s="228">
        <v>2.6</v>
      </c>
      <c r="AK153" s="229">
        <v>1.23E-2</v>
      </c>
      <c r="AL153" s="228">
        <v>33.1</v>
      </c>
      <c r="AM153" s="228">
        <v>23.7</v>
      </c>
      <c r="AN153" s="228">
        <v>9.4</v>
      </c>
      <c r="AO153" s="229">
        <v>2.5600000000000001E-2</v>
      </c>
      <c r="AP153" s="231">
        <v>1302.4000000000001</v>
      </c>
      <c r="AQ153" s="231">
        <v>1310.78</v>
      </c>
      <c r="AR153" s="228">
        <v>0</v>
      </c>
      <c r="AS153" s="228">
        <v>165</v>
      </c>
      <c r="AT153" s="228">
        <v>253</v>
      </c>
      <c r="AU153" s="228">
        <v>-88</v>
      </c>
      <c r="AV153" s="229">
        <v>-0.3483</v>
      </c>
      <c r="AW153" s="228">
        <v>158</v>
      </c>
      <c r="AX153" s="228">
        <v>242</v>
      </c>
      <c r="AY153" s="228">
        <v>-84</v>
      </c>
      <c r="AZ153" s="229">
        <v>-0.34720000000000001</v>
      </c>
      <c r="BA153" s="228">
        <v>7</v>
      </c>
      <c r="BB153" s="228">
        <v>9</v>
      </c>
      <c r="BC153" s="228">
        <v>-2</v>
      </c>
      <c r="BD153" s="229">
        <v>-0.25530000000000003</v>
      </c>
      <c r="BE153" s="228">
        <v>0</v>
      </c>
      <c r="BF153" s="228">
        <v>2</v>
      </c>
      <c r="BG153" s="228">
        <v>-2</v>
      </c>
      <c r="BH153" s="229">
        <v>-0.94740000000000002</v>
      </c>
      <c r="BI153" s="228">
        <v>452</v>
      </c>
      <c r="BJ153" s="228">
        <v>599</v>
      </c>
      <c r="BK153" s="228">
        <v>-146</v>
      </c>
      <c r="BL153" s="229">
        <v>-0.24440000000000001</v>
      </c>
      <c r="BM153" s="228">
        <v>174</v>
      </c>
      <c r="BN153" s="228">
        <v>222</v>
      </c>
      <c r="BO153" s="228">
        <v>-48</v>
      </c>
      <c r="BP153" s="229">
        <v>-0.215</v>
      </c>
      <c r="BQ153" s="228">
        <v>791</v>
      </c>
      <c r="BR153" s="230">
        <v>1073</v>
      </c>
      <c r="BS153" s="228">
        <v>-282</v>
      </c>
      <c r="BT153" s="229">
        <v>-0.26269999999999999</v>
      </c>
      <c r="BU153" s="230">
        <v>1119281</v>
      </c>
      <c r="BV153" s="230">
        <v>1278768</v>
      </c>
      <c r="BW153" s="230">
        <v>-159487</v>
      </c>
      <c r="BX153" s="229">
        <v>-0.12470000000000001</v>
      </c>
      <c r="BY153" s="230">
        <v>2254</v>
      </c>
      <c r="BZ153" s="230">
        <v>2236</v>
      </c>
      <c r="CA153" s="228">
        <v>19</v>
      </c>
      <c r="CB153" s="229">
        <v>8.3000000000000001E-3</v>
      </c>
      <c r="CC153" s="230">
        <v>2227</v>
      </c>
      <c r="CD153" s="230">
        <v>2209</v>
      </c>
      <c r="CE153" s="228">
        <v>17</v>
      </c>
      <c r="CF153" s="229">
        <v>7.7999999999999996E-3</v>
      </c>
      <c r="CG153" s="228">
        <v>26</v>
      </c>
      <c r="CH153" s="228">
        <v>25</v>
      </c>
      <c r="CI153" s="228">
        <v>1</v>
      </c>
      <c r="CJ153" s="229">
        <v>4.8899999999999999E-2</v>
      </c>
      <c r="CK153" s="228">
        <v>2</v>
      </c>
      <c r="CL153" s="228">
        <v>1</v>
      </c>
      <c r="CM153" s="228">
        <v>0</v>
      </c>
      <c r="CN153" s="229">
        <v>6.6699999999999995E-2</v>
      </c>
      <c r="CO153" s="228">
        <v>426</v>
      </c>
      <c r="CP153" s="228">
        <v>392</v>
      </c>
      <c r="CQ153" s="228">
        <v>34</v>
      </c>
      <c r="CR153" s="229">
        <v>8.5500000000000007E-2</v>
      </c>
      <c r="CS153" s="228">
        <v>308</v>
      </c>
      <c r="CT153" s="228">
        <v>269</v>
      </c>
      <c r="CU153" s="228">
        <v>39</v>
      </c>
      <c r="CV153" s="229">
        <v>0.14610000000000001</v>
      </c>
      <c r="CW153" s="230">
        <v>2989</v>
      </c>
      <c r="CX153" s="230">
        <v>2897</v>
      </c>
      <c r="CY153" s="228">
        <v>91</v>
      </c>
      <c r="CZ153" s="229">
        <v>3.1600000000000003E-2</v>
      </c>
      <c r="DA153" s="228">
        <v>29.19</v>
      </c>
      <c r="DB153" s="228">
        <v>29.64</v>
      </c>
      <c r="DC153" s="228">
        <v>-0.45</v>
      </c>
      <c r="DD153" s="228">
        <v>-0.45</v>
      </c>
      <c r="DE153" s="228">
        <v>51.39</v>
      </c>
      <c r="DF153" s="228">
        <v>51.51</v>
      </c>
      <c r="DG153" s="228">
        <v>-22.2</v>
      </c>
      <c r="DH153" s="228">
        <v>-0.12</v>
      </c>
      <c r="DI153" s="228">
        <v>29.27</v>
      </c>
      <c r="DJ153" s="228">
        <v>29.57</v>
      </c>
      <c r="DK153" s="228">
        <v>-0.3</v>
      </c>
      <c r="DL153" s="228">
        <v>-0.3</v>
      </c>
      <c r="DM153" s="228">
        <v>28.97</v>
      </c>
      <c r="DN153" s="228">
        <v>29.84</v>
      </c>
      <c r="DO153" s="228">
        <v>-0.87</v>
      </c>
      <c r="DP153" s="228">
        <v>-0.87</v>
      </c>
      <c r="DQ153" s="228">
        <v>0.72</v>
      </c>
      <c r="DR153" s="228">
        <v>0.69</v>
      </c>
      <c r="DS153" s="228">
        <v>0.03</v>
      </c>
      <c r="DT153" s="229">
        <v>4.3499999999999997E-2</v>
      </c>
      <c r="DU153" s="231">
        <v>1400</v>
      </c>
      <c r="DV153" s="231">
        <v>1300</v>
      </c>
      <c r="DW153" s="228">
        <v>0.39</v>
      </c>
      <c r="DX153" s="228">
        <v>0.37</v>
      </c>
      <c r="DY153" s="228">
        <v>0.02</v>
      </c>
      <c r="DZ153" s="229">
        <v>5.4100000000000002E-2</v>
      </c>
      <c r="EA153" s="229">
        <v>1.23E-2</v>
      </c>
      <c r="EB153" s="230">
        <v>203725</v>
      </c>
      <c r="EC153" s="229">
        <v>5.3E-3</v>
      </c>
      <c r="ED153" s="229">
        <v>1.23E-2</v>
      </c>
      <c r="EE153" s="228">
        <v>8.3800000000000008</v>
      </c>
      <c r="EF153" s="229">
        <v>6.4000000000000003E-3</v>
      </c>
      <c r="EG153" s="230">
        <v>409591</v>
      </c>
      <c r="EH153" s="230">
        <v>550445</v>
      </c>
      <c r="EI153" s="229">
        <v>-0.25590000000000002</v>
      </c>
      <c r="EJ153" s="229">
        <v>0.3659</v>
      </c>
      <c r="EK153" s="228">
        <v>478.42</v>
      </c>
      <c r="EL153" s="228">
        <v>174.88</v>
      </c>
      <c r="EM153" s="228">
        <v>164.91</v>
      </c>
      <c r="EN153" s="228">
        <v>114</v>
      </c>
      <c r="EO153" s="228">
        <v>818.21</v>
      </c>
      <c r="EP153" s="231">
        <v>1107.57</v>
      </c>
      <c r="EQ153" s="228">
        <v>-289.35000000000002</v>
      </c>
      <c r="ER153" s="229">
        <v>-0.26129999999999998</v>
      </c>
      <c r="ES153" s="228">
        <v>446.49</v>
      </c>
      <c r="ET153" s="228">
        <v>299.33999999999997</v>
      </c>
      <c r="EU153" s="231">
        <v>2254.62</v>
      </c>
      <c r="EV153" s="231">
        <v>95799519</v>
      </c>
      <c r="EW153" s="231">
        <v>3000.45</v>
      </c>
      <c r="EX153" s="231">
        <v>2916.56</v>
      </c>
      <c r="EY153" s="228">
        <v>83.89</v>
      </c>
      <c r="EZ153" s="229">
        <v>2.8799999999999999E-2</v>
      </c>
      <c r="FA153" s="229">
        <v>0.2399</v>
      </c>
      <c r="FB153" s="227" t="s">
        <v>567</v>
      </c>
      <c r="FC153">
        <f t="shared" si="3"/>
        <v>0</v>
      </c>
    </row>
    <row r="154" spans="1:159" ht="17.25" thickBot="1" x14ac:dyDescent="0.3">
      <c r="A154" s="226">
        <v>46023</v>
      </c>
      <c r="B154" s="227" t="s">
        <v>221</v>
      </c>
      <c r="C154" s="227" t="s">
        <v>529</v>
      </c>
      <c r="D154" s="228">
        <v>100</v>
      </c>
      <c r="E154" s="228">
        <v>26</v>
      </c>
      <c r="F154" s="231">
        <v>6309</v>
      </c>
      <c r="G154" s="231">
        <v>6295.5</v>
      </c>
      <c r="H154" s="228">
        <v>13.5</v>
      </c>
      <c r="I154" s="229">
        <v>2.0999999999999999E-3</v>
      </c>
      <c r="J154" s="231">
        <v>6282.5</v>
      </c>
      <c r="K154" s="231">
        <v>6272</v>
      </c>
      <c r="L154" s="228">
        <v>10.5</v>
      </c>
      <c r="M154" s="229">
        <v>1.6999999999999999E-3</v>
      </c>
      <c r="N154" s="231">
        <v>6309</v>
      </c>
      <c r="O154" s="231">
        <v>6295.5</v>
      </c>
      <c r="P154" s="228">
        <v>13.5</v>
      </c>
      <c r="Q154" s="229">
        <v>2.0999999999999999E-3</v>
      </c>
      <c r="R154" s="231">
        <v>6329</v>
      </c>
      <c r="S154" s="231">
        <v>6307</v>
      </c>
      <c r="T154" s="228">
        <v>22</v>
      </c>
      <c r="U154" s="229">
        <v>3.5000000000000001E-3</v>
      </c>
      <c r="V154" s="231">
        <v>6356</v>
      </c>
      <c r="W154" s="231">
        <v>6333</v>
      </c>
      <c r="X154" s="228">
        <v>23</v>
      </c>
      <c r="Y154" s="229">
        <v>3.5999999999999999E-3</v>
      </c>
      <c r="Z154" s="228">
        <v>26.5</v>
      </c>
      <c r="AA154" s="228">
        <v>23.5</v>
      </c>
      <c r="AB154" s="228">
        <v>3</v>
      </c>
      <c r="AC154" s="229">
        <v>4.1999999999999997E-3</v>
      </c>
      <c r="AD154" s="228">
        <v>26.5</v>
      </c>
      <c r="AE154" s="228">
        <v>23.5</v>
      </c>
      <c r="AF154" s="228">
        <v>3</v>
      </c>
      <c r="AG154" s="229">
        <v>4.1999999999999997E-3</v>
      </c>
      <c r="AH154" s="228">
        <v>46.5</v>
      </c>
      <c r="AI154" s="228">
        <v>35</v>
      </c>
      <c r="AJ154" s="228">
        <v>11.5</v>
      </c>
      <c r="AK154" s="229">
        <v>7.4000000000000003E-3</v>
      </c>
      <c r="AL154" s="228">
        <v>73.5</v>
      </c>
      <c r="AM154" s="228">
        <v>61</v>
      </c>
      <c r="AN154" s="228">
        <v>12.5</v>
      </c>
      <c r="AO154" s="229">
        <v>1.17E-2</v>
      </c>
      <c r="AP154" s="231">
        <v>6279.58</v>
      </c>
      <c r="AQ154" s="231">
        <v>6297.18</v>
      </c>
      <c r="AR154" s="228">
        <v>0</v>
      </c>
      <c r="AS154" s="228">
        <v>125</v>
      </c>
      <c r="AT154" s="228">
        <v>252</v>
      </c>
      <c r="AU154" s="228">
        <v>-128</v>
      </c>
      <c r="AV154" s="229">
        <v>-0.50560000000000005</v>
      </c>
      <c r="AW154" s="228">
        <v>115</v>
      </c>
      <c r="AX154" s="228">
        <v>247</v>
      </c>
      <c r="AY154" s="228">
        <v>-131</v>
      </c>
      <c r="AZ154" s="229">
        <v>-0.53220000000000001</v>
      </c>
      <c r="BA154" s="228">
        <v>9</v>
      </c>
      <c r="BB154" s="228">
        <v>6</v>
      </c>
      <c r="BC154" s="228">
        <v>3</v>
      </c>
      <c r="BD154" s="229">
        <v>0.61360000000000003</v>
      </c>
      <c r="BE154" s="228">
        <v>0</v>
      </c>
      <c r="BF154" s="228">
        <v>0</v>
      </c>
      <c r="BG154" s="228">
        <v>0</v>
      </c>
      <c r="BH154" s="229">
        <v>5</v>
      </c>
      <c r="BI154" s="228">
        <v>286</v>
      </c>
      <c r="BJ154" s="228">
        <v>461</v>
      </c>
      <c r="BK154" s="228">
        <v>-175</v>
      </c>
      <c r="BL154" s="229">
        <v>-0.37859999999999999</v>
      </c>
      <c r="BM154" s="228">
        <v>137</v>
      </c>
      <c r="BN154" s="228">
        <v>256</v>
      </c>
      <c r="BO154" s="228">
        <v>-119</v>
      </c>
      <c r="BP154" s="229">
        <v>-0.46489999999999998</v>
      </c>
      <c r="BQ154" s="228">
        <v>548</v>
      </c>
      <c r="BR154" s="228">
        <v>969</v>
      </c>
      <c r="BS154" s="228">
        <v>-421</v>
      </c>
      <c r="BT154" s="229">
        <v>-0.4345</v>
      </c>
      <c r="BU154" s="230">
        <v>118242</v>
      </c>
      <c r="BV154" s="230">
        <v>238904</v>
      </c>
      <c r="BW154" s="230">
        <v>-120662</v>
      </c>
      <c r="BX154" s="229">
        <v>-0.50509999999999999</v>
      </c>
      <c r="BY154" s="230">
        <v>1446</v>
      </c>
      <c r="BZ154" s="230">
        <v>1453</v>
      </c>
      <c r="CA154" s="228">
        <v>-7</v>
      </c>
      <c r="CB154" s="229">
        <v>-4.7000000000000002E-3</v>
      </c>
      <c r="CC154" s="230">
        <v>1360</v>
      </c>
      <c r="CD154" s="230">
        <v>1368</v>
      </c>
      <c r="CE154" s="228">
        <v>-8</v>
      </c>
      <c r="CF154" s="229">
        <v>-5.4999999999999997E-3</v>
      </c>
      <c r="CG154" s="228">
        <v>86</v>
      </c>
      <c r="CH154" s="228">
        <v>85</v>
      </c>
      <c r="CI154" s="228">
        <v>0</v>
      </c>
      <c r="CJ154" s="229">
        <v>3.7000000000000002E-3</v>
      </c>
      <c r="CK154" s="228">
        <v>0</v>
      </c>
      <c r="CL154" s="228">
        <v>0</v>
      </c>
      <c r="CM154" s="228">
        <v>0</v>
      </c>
      <c r="CN154" s="229">
        <v>5</v>
      </c>
      <c r="CO154" s="228">
        <v>288</v>
      </c>
      <c r="CP154" s="228">
        <v>257</v>
      </c>
      <c r="CQ154" s="228">
        <v>31</v>
      </c>
      <c r="CR154" s="229">
        <v>0.12139999999999999</v>
      </c>
      <c r="CS154" s="228">
        <v>208</v>
      </c>
      <c r="CT154" s="228">
        <v>181</v>
      </c>
      <c r="CU154" s="228">
        <v>27</v>
      </c>
      <c r="CV154" s="229">
        <v>0.14979999999999999</v>
      </c>
      <c r="CW154" s="230">
        <v>1942</v>
      </c>
      <c r="CX154" s="230">
        <v>1891</v>
      </c>
      <c r="CY154" s="228">
        <v>51</v>
      </c>
      <c r="CZ154" s="229">
        <v>2.7199999999999998E-2</v>
      </c>
      <c r="DA154" s="228">
        <v>31.23</v>
      </c>
      <c r="DB154" s="228">
        <v>31.26</v>
      </c>
      <c r="DC154" s="228">
        <v>-0.03</v>
      </c>
      <c r="DD154" s="228">
        <v>-0.03</v>
      </c>
      <c r="DE154" s="228">
        <v>39.68</v>
      </c>
      <c r="DF154" s="228">
        <v>39.78</v>
      </c>
      <c r="DG154" s="228">
        <v>-8.4499999999999993</v>
      </c>
      <c r="DH154" s="228">
        <v>-0.1</v>
      </c>
      <c r="DI154" s="228">
        <v>31.07</v>
      </c>
      <c r="DJ154" s="228">
        <v>31.04</v>
      </c>
      <c r="DK154" s="228">
        <v>0.03</v>
      </c>
      <c r="DL154" s="228">
        <v>0.03</v>
      </c>
      <c r="DM154" s="228">
        <v>31.55</v>
      </c>
      <c r="DN154" s="228">
        <v>31.65</v>
      </c>
      <c r="DO154" s="228">
        <v>-0.1</v>
      </c>
      <c r="DP154" s="228">
        <v>-0.1</v>
      </c>
      <c r="DQ154" s="228">
        <v>0.72</v>
      </c>
      <c r="DR154" s="228">
        <v>0.7</v>
      </c>
      <c r="DS154" s="228">
        <v>0.02</v>
      </c>
      <c r="DT154" s="229">
        <v>2.86E-2</v>
      </c>
      <c r="DU154" s="231">
        <v>6300</v>
      </c>
      <c r="DV154" s="231">
        <v>6200</v>
      </c>
      <c r="DW154" s="228">
        <v>0.48</v>
      </c>
      <c r="DX154" s="228">
        <v>0.56000000000000005</v>
      </c>
      <c r="DY154" s="228">
        <v>-0.08</v>
      </c>
      <c r="DZ154" s="229">
        <v>-0.1429</v>
      </c>
      <c r="EA154" s="229">
        <v>5.96E-2</v>
      </c>
      <c r="EB154" s="230">
        <v>135600</v>
      </c>
      <c r="EC154" s="229">
        <v>3.2000000000000002E-3</v>
      </c>
      <c r="ED154" s="229">
        <v>5.96E-2</v>
      </c>
      <c r="EE154" s="228">
        <v>17.600000000000001</v>
      </c>
      <c r="EF154" s="229">
        <v>2.8E-3</v>
      </c>
      <c r="EG154" s="230">
        <v>35489</v>
      </c>
      <c r="EH154" s="230">
        <v>131307</v>
      </c>
      <c r="EI154" s="229">
        <v>-0.72970000000000002</v>
      </c>
      <c r="EJ154" s="229">
        <v>0.30009999999999998</v>
      </c>
      <c r="EK154" s="228">
        <v>300.23</v>
      </c>
      <c r="EL154" s="228">
        <v>134.71</v>
      </c>
      <c r="EM154" s="228">
        <v>124.18</v>
      </c>
      <c r="EN154" s="228">
        <v>139.93</v>
      </c>
      <c r="EO154" s="228">
        <v>559.11</v>
      </c>
      <c r="EP154" s="228">
        <v>985.32</v>
      </c>
      <c r="EQ154" s="228">
        <v>-426.21</v>
      </c>
      <c r="ER154" s="229">
        <v>-0.43259999999999998</v>
      </c>
      <c r="ES154" s="228">
        <v>298.95</v>
      </c>
      <c r="ET154" s="228">
        <v>199.74</v>
      </c>
      <c r="EU154" s="231">
        <v>1446.55</v>
      </c>
      <c r="EV154" s="231">
        <v>15732422</v>
      </c>
      <c r="EW154" s="231">
        <v>1945.24</v>
      </c>
      <c r="EX154" s="231">
        <v>1890.65</v>
      </c>
      <c r="EY154" s="228">
        <v>54.59</v>
      </c>
      <c r="EZ154" s="229">
        <v>2.8899999999999999E-2</v>
      </c>
      <c r="FA154" s="229">
        <v>0.19570000000000001</v>
      </c>
      <c r="FB154" s="227" t="s">
        <v>556</v>
      </c>
      <c r="FC154">
        <f t="shared" si="3"/>
        <v>0</v>
      </c>
    </row>
    <row r="155" spans="1:159" ht="17.25" thickBot="1" x14ac:dyDescent="0.3">
      <c r="A155" s="226">
        <v>46023</v>
      </c>
      <c r="B155" s="227" t="s">
        <v>193</v>
      </c>
      <c r="C155" s="227" t="s">
        <v>272</v>
      </c>
      <c r="D155" s="228">
        <v>1900</v>
      </c>
      <c r="E155" s="228">
        <v>26</v>
      </c>
      <c r="F155" s="228">
        <v>289.5</v>
      </c>
      <c r="G155" s="228">
        <v>285.5</v>
      </c>
      <c r="H155" s="228">
        <v>4</v>
      </c>
      <c r="I155" s="229">
        <v>1.4E-2</v>
      </c>
      <c r="J155" s="228">
        <v>288.10000000000002</v>
      </c>
      <c r="K155" s="228">
        <v>284.10000000000002</v>
      </c>
      <c r="L155" s="228">
        <v>4</v>
      </c>
      <c r="M155" s="229">
        <v>1.41E-2</v>
      </c>
      <c r="N155" s="228">
        <v>289.5</v>
      </c>
      <c r="O155" s="228">
        <v>285.5</v>
      </c>
      <c r="P155" s="228">
        <v>4</v>
      </c>
      <c r="Q155" s="229">
        <v>1.4E-2</v>
      </c>
      <c r="R155" s="228">
        <v>291.14999999999998</v>
      </c>
      <c r="S155" s="228">
        <v>287.14999999999998</v>
      </c>
      <c r="T155" s="228">
        <v>4</v>
      </c>
      <c r="U155" s="229">
        <v>1.3899999999999999E-2</v>
      </c>
      <c r="V155" s="228">
        <v>290</v>
      </c>
      <c r="W155" s="228">
        <v>288.7</v>
      </c>
      <c r="X155" s="228">
        <v>1.3</v>
      </c>
      <c r="Y155" s="229">
        <v>4.4999999999999997E-3</v>
      </c>
      <c r="Z155" s="228">
        <v>1.4</v>
      </c>
      <c r="AA155" s="228">
        <v>1.4</v>
      </c>
      <c r="AB155" s="228">
        <v>0</v>
      </c>
      <c r="AC155" s="229">
        <v>4.8999999999999998E-3</v>
      </c>
      <c r="AD155" s="228">
        <v>1.4</v>
      </c>
      <c r="AE155" s="228">
        <v>1.4</v>
      </c>
      <c r="AF155" s="228">
        <v>0</v>
      </c>
      <c r="AG155" s="229">
        <v>4.8999999999999998E-3</v>
      </c>
      <c r="AH155" s="228">
        <v>3.05</v>
      </c>
      <c r="AI155" s="228">
        <v>3.05</v>
      </c>
      <c r="AJ155" s="228">
        <v>0</v>
      </c>
      <c r="AK155" s="229">
        <v>1.06E-2</v>
      </c>
      <c r="AL155" s="228">
        <v>1.9</v>
      </c>
      <c r="AM155" s="228">
        <v>4.5999999999999996</v>
      </c>
      <c r="AN155" s="228">
        <v>-2.7</v>
      </c>
      <c r="AO155" s="229">
        <v>6.6E-3</v>
      </c>
      <c r="AP155" s="228">
        <v>287.74</v>
      </c>
      <c r="AQ155" s="228">
        <v>289.63</v>
      </c>
      <c r="AR155" s="228">
        <v>0</v>
      </c>
      <c r="AS155" s="228">
        <v>106</v>
      </c>
      <c r="AT155" s="228">
        <v>271</v>
      </c>
      <c r="AU155" s="228">
        <v>-164</v>
      </c>
      <c r="AV155" s="229">
        <v>-0.60629999999999995</v>
      </c>
      <c r="AW155" s="228">
        <v>100</v>
      </c>
      <c r="AX155" s="228">
        <v>224</v>
      </c>
      <c r="AY155" s="228">
        <v>-123</v>
      </c>
      <c r="AZ155" s="229">
        <v>-0.55130000000000001</v>
      </c>
      <c r="BA155" s="228">
        <v>6</v>
      </c>
      <c r="BB155" s="228">
        <v>46</v>
      </c>
      <c r="BC155" s="228">
        <v>-41</v>
      </c>
      <c r="BD155" s="229">
        <v>-0.87649999999999995</v>
      </c>
      <c r="BE155" s="228">
        <v>0</v>
      </c>
      <c r="BF155" s="228">
        <v>0</v>
      </c>
      <c r="BG155" s="228">
        <v>0</v>
      </c>
      <c r="BH155" s="229">
        <v>0.25</v>
      </c>
      <c r="BI155" s="228">
        <v>367</v>
      </c>
      <c r="BJ155" s="228">
        <v>536</v>
      </c>
      <c r="BK155" s="228">
        <v>-169</v>
      </c>
      <c r="BL155" s="229">
        <v>-0.31580000000000003</v>
      </c>
      <c r="BM155" s="228">
        <v>160</v>
      </c>
      <c r="BN155" s="228">
        <v>437</v>
      </c>
      <c r="BO155" s="228">
        <v>-277</v>
      </c>
      <c r="BP155" s="229">
        <v>-0.63449999999999995</v>
      </c>
      <c r="BQ155" s="228">
        <v>633</v>
      </c>
      <c r="BR155" s="230">
        <v>1244</v>
      </c>
      <c r="BS155" s="228">
        <v>-611</v>
      </c>
      <c r="BT155" s="229">
        <v>-0.49099999999999999</v>
      </c>
      <c r="BU155" s="230">
        <v>1725888</v>
      </c>
      <c r="BV155" s="230">
        <v>1855466</v>
      </c>
      <c r="BW155" s="230">
        <v>-129578</v>
      </c>
      <c r="BX155" s="229">
        <v>-6.9800000000000001E-2</v>
      </c>
      <c r="BY155" s="230">
        <v>1304</v>
      </c>
      <c r="BZ155" s="230">
        <v>1298</v>
      </c>
      <c r="CA155" s="228">
        <v>6</v>
      </c>
      <c r="CB155" s="229">
        <v>4.7999999999999996E-3</v>
      </c>
      <c r="CC155" s="230">
        <v>1253</v>
      </c>
      <c r="CD155" s="230">
        <v>1247</v>
      </c>
      <c r="CE155" s="228">
        <v>6</v>
      </c>
      <c r="CF155" s="229">
        <v>5.1999999999999998E-3</v>
      </c>
      <c r="CG155" s="228">
        <v>50</v>
      </c>
      <c r="CH155" s="228">
        <v>51</v>
      </c>
      <c r="CI155" s="228">
        <v>0</v>
      </c>
      <c r="CJ155" s="229">
        <v>-9.7999999999999997E-3</v>
      </c>
      <c r="CK155" s="228">
        <v>0</v>
      </c>
      <c r="CL155" s="228">
        <v>0</v>
      </c>
      <c r="CM155" s="228">
        <v>0</v>
      </c>
      <c r="CN155" s="229">
        <v>5</v>
      </c>
      <c r="CO155" s="228">
        <v>329</v>
      </c>
      <c r="CP155" s="228">
        <v>346</v>
      </c>
      <c r="CQ155" s="228">
        <v>-17</v>
      </c>
      <c r="CR155" s="229">
        <v>-5.0200000000000002E-2</v>
      </c>
      <c r="CS155" s="228">
        <v>525</v>
      </c>
      <c r="CT155" s="228">
        <v>511</v>
      </c>
      <c r="CU155" s="228">
        <v>15</v>
      </c>
      <c r="CV155" s="229">
        <v>2.87E-2</v>
      </c>
      <c r="CW155" s="230">
        <v>2158</v>
      </c>
      <c r="CX155" s="230">
        <v>2155</v>
      </c>
      <c r="CY155" s="228">
        <v>4</v>
      </c>
      <c r="CZ155" s="229">
        <v>1.6000000000000001E-3</v>
      </c>
      <c r="DA155" s="228">
        <v>19.059999999999999</v>
      </c>
      <c r="DB155" s="228">
        <v>20.79</v>
      </c>
      <c r="DC155" s="228">
        <v>-1.73</v>
      </c>
      <c r="DD155" s="228">
        <v>-1.73</v>
      </c>
      <c r="DE155" s="228">
        <v>30.79</v>
      </c>
      <c r="DF155" s="228">
        <v>30.81</v>
      </c>
      <c r="DG155" s="228">
        <v>-11.73</v>
      </c>
      <c r="DH155" s="228">
        <v>-0.02</v>
      </c>
      <c r="DI155" s="228">
        <v>17.95</v>
      </c>
      <c r="DJ155" s="228">
        <v>18.670000000000002</v>
      </c>
      <c r="DK155" s="228">
        <v>-0.72</v>
      </c>
      <c r="DL155" s="228">
        <v>-0.72</v>
      </c>
      <c r="DM155" s="228">
        <v>21.61</v>
      </c>
      <c r="DN155" s="228">
        <v>23.38</v>
      </c>
      <c r="DO155" s="228">
        <v>-1.77</v>
      </c>
      <c r="DP155" s="228">
        <v>-1.77</v>
      </c>
      <c r="DQ155" s="228">
        <v>1.6</v>
      </c>
      <c r="DR155" s="228">
        <v>1.47</v>
      </c>
      <c r="DS155" s="228">
        <v>0.13</v>
      </c>
      <c r="DT155" s="229">
        <v>8.8400000000000006E-2</v>
      </c>
      <c r="DU155" s="228">
        <v>300</v>
      </c>
      <c r="DV155" s="228">
        <v>265</v>
      </c>
      <c r="DW155" s="228">
        <v>0.44</v>
      </c>
      <c r="DX155" s="228">
        <v>0.82</v>
      </c>
      <c r="DY155" s="228">
        <v>-0.38</v>
      </c>
      <c r="DZ155" s="229">
        <v>-0.46339999999999998</v>
      </c>
      <c r="EA155" s="229">
        <v>3.8800000000000001E-2</v>
      </c>
      <c r="EB155" s="230">
        <v>1753700</v>
      </c>
      <c r="EC155" s="229">
        <v>5.7000000000000002E-3</v>
      </c>
      <c r="ED155" s="229">
        <v>3.8800000000000001E-2</v>
      </c>
      <c r="EE155" s="228">
        <v>1.89</v>
      </c>
      <c r="EF155" s="229">
        <v>6.6E-3</v>
      </c>
      <c r="EG155" s="230">
        <v>909954</v>
      </c>
      <c r="EH155" s="230">
        <v>1041761</v>
      </c>
      <c r="EI155" s="229">
        <v>-0.1265</v>
      </c>
      <c r="EJ155" s="229">
        <v>0.5272</v>
      </c>
      <c r="EK155" s="228">
        <v>373.82</v>
      </c>
      <c r="EL155" s="228">
        <v>153.41</v>
      </c>
      <c r="EM155" s="228">
        <v>105.88</v>
      </c>
      <c r="EN155" s="228">
        <v>116.07</v>
      </c>
      <c r="EO155" s="228">
        <v>633.11</v>
      </c>
      <c r="EP155" s="231">
        <v>1220.78</v>
      </c>
      <c r="EQ155" s="228">
        <v>-587.66999999999996</v>
      </c>
      <c r="ER155" s="229">
        <v>-0.48139999999999999</v>
      </c>
      <c r="ES155" s="228">
        <v>330.88</v>
      </c>
      <c r="ET155" s="228">
        <v>498.23</v>
      </c>
      <c r="EU155" s="231">
        <v>1304.29</v>
      </c>
      <c r="EV155" s="231">
        <v>108255733</v>
      </c>
      <c r="EW155" s="231">
        <v>2133.4</v>
      </c>
      <c r="EX155" s="231">
        <v>2111.96</v>
      </c>
      <c r="EY155" s="228">
        <v>21.44</v>
      </c>
      <c r="EZ155" s="229">
        <v>1.0200000000000001E-2</v>
      </c>
      <c r="FA155" s="229">
        <v>0.68859999999999999</v>
      </c>
      <c r="FB155" s="227" t="s">
        <v>555</v>
      </c>
      <c r="FC155">
        <f t="shared" si="3"/>
        <v>0</v>
      </c>
    </row>
    <row r="156" spans="1:159" ht="17.25" thickBot="1" x14ac:dyDescent="0.3">
      <c r="A156" s="226">
        <v>46023</v>
      </c>
      <c r="B156" s="227" t="s">
        <v>175</v>
      </c>
      <c r="C156" s="227" t="s">
        <v>273</v>
      </c>
      <c r="D156" s="228">
        <v>1300</v>
      </c>
      <c r="E156" s="228">
        <v>26</v>
      </c>
      <c r="F156" s="228">
        <v>364.7</v>
      </c>
      <c r="G156" s="228">
        <v>357.1</v>
      </c>
      <c r="H156" s="228">
        <v>7.6</v>
      </c>
      <c r="I156" s="229">
        <v>2.1299999999999999E-2</v>
      </c>
      <c r="J156" s="228">
        <v>363.15</v>
      </c>
      <c r="K156" s="228">
        <v>355.4</v>
      </c>
      <c r="L156" s="228">
        <v>7.75</v>
      </c>
      <c r="M156" s="229">
        <v>2.18E-2</v>
      </c>
      <c r="N156" s="228">
        <v>364.7</v>
      </c>
      <c r="O156" s="228">
        <v>357.1</v>
      </c>
      <c r="P156" s="228">
        <v>7.6</v>
      </c>
      <c r="Q156" s="229">
        <v>2.1299999999999999E-2</v>
      </c>
      <c r="R156" s="228">
        <v>365.55</v>
      </c>
      <c r="S156" s="228">
        <v>358.4</v>
      </c>
      <c r="T156" s="228">
        <v>7.15</v>
      </c>
      <c r="U156" s="229">
        <v>1.9900000000000001E-2</v>
      </c>
      <c r="V156" s="228">
        <v>365</v>
      </c>
      <c r="W156" s="228">
        <v>357.8</v>
      </c>
      <c r="X156" s="228">
        <v>7.2</v>
      </c>
      <c r="Y156" s="229">
        <v>2.01E-2</v>
      </c>
      <c r="Z156" s="228">
        <v>1.55</v>
      </c>
      <c r="AA156" s="228">
        <v>1.7</v>
      </c>
      <c r="AB156" s="228">
        <v>-0.15</v>
      </c>
      <c r="AC156" s="229">
        <v>4.3E-3</v>
      </c>
      <c r="AD156" s="228">
        <v>1.55</v>
      </c>
      <c r="AE156" s="228">
        <v>1.7</v>
      </c>
      <c r="AF156" s="228">
        <v>-0.15</v>
      </c>
      <c r="AG156" s="229">
        <v>4.3E-3</v>
      </c>
      <c r="AH156" s="228">
        <v>2.4</v>
      </c>
      <c r="AI156" s="228">
        <v>3</v>
      </c>
      <c r="AJ156" s="228">
        <v>-0.6</v>
      </c>
      <c r="AK156" s="229">
        <v>6.6E-3</v>
      </c>
      <c r="AL156" s="228">
        <v>1.85</v>
      </c>
      <c r="AM156" s="228">
        <v>2.4</v>
      </c>
      <c r="AN156" s="228">
        <v>-0.55000000000000004</v>
      </c>
      <c r="AO156" s="229">
        <v>5.1000000000000004E-3</v>
      </c>
      <c r="AP156" s="228">
        <v>361.72</v>
      </c>
      <c r="AQ156" s="228">
        <v>362.86</v>
      </c>
      <c r="AR156" s="228">
        <v>0</v>
      </c>
      <c r="AS156" s="228">
        <v>461</v>
      </c>
      <c r="AT156" s="228">
        <v>357</v>
      </c>
      <c r="AU156" s="228">
        <v>104</v>
      </c>
      <c r="AV156" s="229">
        <v>0.2923</v>
      </c>
      <c r="AW156" s="228">
        <v>413</v>
      </c>
      <c r="AX156" s="228">
        <v>317</v>
      </c>
      <c r="AY156" s="228">
        <v>95</v>
      </c>
      <c r="AZ156" s="229">
        <v>0.30030000000000001</v>
      </c>
      <c r="BA156" s="228">
        <v>39</v>
      </c>
      <c r="BB156" s="228">
        <v>31</v>
      </c>
      <c r="BC156" s="228">
        <v>8</v>
      </c>
      <c r="BD156" s="229">
        <v>0.2767</v>
      </c>
      <c r="BE156" s="228">
        <v>9</v>
      </c>
      <c r="BF156" s="228">
        <v>9</v>
      </c>
      <c r="BG156" s="228">
        <v>1</v>
      </c>
      <c r="BH156" s="229">
        <v>5.91E-2</v>
      </c>
      <c r="BI156" s="230">
        <v>2081</v>
      </c>
      <c r="BJ156" s="230">
        <v>1055</v>
      </c>
      <c r="BK156" s="230">
        <v>1025</v>
      </c>
      <c r="BL156" s="229">
        <v>0.97170000000000001</v>
      </c>
      <c r="BM156" s="228">
        <v>431</v>
      </c>
      <c r="BN156" s="228">
        <v>520</v>
      </c>
      <c r="BO156" s="228">
        <v>-89</v>
      </c>
      <c r="BP156" s="229">
        <v>-0.1711</v>
      </c>
      <c r="BQ156" s="230">
        <v>2973</v>
      </c>
      <c r="BR156" s="230">
        <v>1932</v>
      </c>
      <c r="BS156" s="230">
        <v>1041</v>
      </c>
      <c r="BT156" s="229">
        <v>0.53869999999999996</v>
      </c>
      <c r="BU156" s="230">
        <v>7900944</v>
      </c>
      <c r="BV156" s="230">
        <v>5305533</v>
      </c>
      <c r="BW156" s="230">
        <v>2595411</v>
      </c>
      <c r="BX156" s="229">
        <v>0.48920000000000002</v>
      </c>
      <c r="BY156" s="230">
        <v>2903</v>
      </c>
      <c r="BZ156" s="230">
        <v>2912</v>
      </c>
      <c r="CA156" s="228">
        <v>-8</v>
      </c>
      <c r="CB156" s="229">
        <v>-2.8999999999999998E-3</v>
      </c>
      <c r="CC156" s="230">
        <v>2758</v>
      </c>
      <c r="CD156" s="230">
        <v>2766</v>
      </c>
      <c r="CE156" s="228">
        <v>-8</v>
      </c>
      <c r="CF156" s="229">
        <v>-3.0000000000000001E-3</v>
      </c>
      <c r="CG156" s="228">
        <v>135</v>
      </c>
      <c r="CH156" s="228">
        <v>139</v>
      </c>
      <c r="CI156" s="228">
        <v>-4</v>
      </c>
      <c r="CJ156" s="229">
        <v>-3.2000000000000001E-2</v>
      </c>
      <c r="CK156" s="228">
        <v>11</v>
      </c>
      <c r="CL156" s="228">
        <v>6</v>
      </c>
      <c r="CM156" s="228">
        <v>4</v>
      </c>
      <c r="CN156" s="229">
        <v>0.72089999999999999</v>
      </c>
      <c r="CO156" s="230">
        <v>1027</v>
      </c>
      <c r="CP156" s="228">
        <v>888</v>
      </c>
      <c r="CQ156" s="228">
        <v>139</v>
      </c>
      <c r="CR156" s="229">
        <v>0.157</v>
      </c>
      <c r="CS156" s="228">
        <v>809</v>
      </c>
      <c r="CT156" s="228">
        <v>746</v>
      </c>
      <c r="CU156" s="228">
        <v>62</v>
      </c>
      <c r="CV156" s="229">
        <v>8.3599999999999994E-2</v>
      </c>
      <c r="CW156" s="230">
        <v>4739</v>
      </c>
      <c r="CX156" s="230">
        <v>4546</v>
      </c>
      <c r="CY156" s="228">
        <v>193</v>
      </c>
      <c r="CZ156" s="229">
        <v>4.2500000000000003E-2</v>
      </c>
      <c r="DA156" s="228">
        <v>22.82</v>
      </c>
      <c r="DB156" s="228">
        <v>22.55</v>
      </c>
      <c r="DC156" s="228">
        <v>0.27</v>
      </c>
      <c r="DD156" s="228">
        <v>0.27</v>
      </c>
      <c r="DE156" s="228">
        <v>40.89</v>
      </c>
      <c r="DF156" s="228">
        <v>40.9</v>
      </c>
      <c r="DG156" s="228">
        <v>-18.07</v>
      </c>
      <c r="DH156" s="228">
        <v>-0.01</v>
      </c>
      <c r="DI156" s="228">
        <v>22.75</v>
      </c>
      <c r="DJ156" s="228">
        <v>22.52</v>
      </c>
      <c r="DK156" s="228">
        <v>0.23</v>
      </c>
      <c r="DL156" s="228">
        <v>0.23</v>
      </c>
      <c r="DM156" s="228">
        <v>23.17</v>
      </c>
      <c r="DN156" s="228">
        <v>22.62</v>
      </c>
      <c r="DO156" s="228">
        <v>0.55000000000000004</v>
      </c>
      <c r="DP156" s="228">
        <v>0.55000000000000004</v>
      </c>
      <c r="DQ156" s="228">
        <v>0.79</v>
      </c>
      <c r="DR156" s="228">
        <v>0.84</v>
      </c>
      <c r="DS156" s="228">
        <v>-0.05</v>
      </c>
      <c r="DT156" s="229">
        <v>-5.9499999999999997E-2</v>
      </c>
      <c r="DU156" s="228">
        <v>400</v>
      </c>
      <c r="DV156" s="228">
        <v>350</v>
      </c>
      <c r="DW156" s="228">
        <v>0.21</v>
      </c>
      <c r="DX156" s="228">
        <v>0.49</v>
      </c>
      <c r="DY156" s="228">
        <v>-0.28000000000000003</v>
      </c>
      <c r="DZ156" s="229">
        <v>-0.57140000000000002</v>
      </c>
      <c r="EA156" s="229">
        <v>5.0099999999999999E-2</v>
      </c>
      <c r="EB156" s="230">
        <v>3992300</v>
      </c>
      <c r="EC156" s="229">
        <v>2.3E-3</v>
      </c>
      <c r="ED156" s="229">
        <v>5.0099999999999999E-2</v>
      </c>
      <c r="EE156" s="228">
        <v>1.1399999999999999</v>
      </c>
      <c r="EF156" s="229">
        <v>3.2000000000000002E-3</v>
      </c>
      <c r="EG156" s="230">
        <v>3018255</v>
      </c>
      <c r="EH156" s="230">
        <v>2564791</v>
      </c>
      <c r="EI156" s="229">
        <v>0.17680000000000001</v>
      </c>
      <c r="EJ156" s="229">
        <v>0.38200000000000001</v>
      </c>
      <c r="EK156" s="231">
        <v>2142.5500000000002</v>
      </c>
      <c r="EL156" s="228">
        <v>424.59</v>
      </c>
      <c r="EM156" s="228">
        <v>457.48</v>
      </c>
      <c r="EN156" s="228">
        <v>250.42</v>
      </c>
      <c r="EO156" s="231">
        <v>3024.62</v>
      </c>
      <c r="EP156" s="231">
        <v>1932.41</v>
      </c>
      <c r="EQ156" s="231">
        <v>1092.21</v>
      </c>
      <c r="ER156" s="229">
        <v>0.56520000000000004</v>
      </c>
      <c r="ES156" s="231">
        <v>1044.3699999999999</v>
      </c>
      <c r="ET156" s="228">
        <v>797.69</v>
      </c>
      <c r="EU156" s="231">
        <v>2903.82</v>
      </c>
      <c r="EV156" s="231">
        <v>217835555</v>
      </c>
      <c r="EW156" s="231">
        <v>4745.88</v>
      </c>
      <c r="EX156" s="231">
        <v>4485.28</v>
      </c>
      <c r="EY156" s="228">
        <v>260.60000000000002</v>
      </c>
      <c r="EZ156" s="229">
        <v>5.8099999999999999E-2</v>
      </c>
      <c r="FA156" s="229">
        <v>0.59660000000000002</v>
      </c>
      <c r="FB156" s="227" t="s">
        <v>556</v>
      </c>
      <c r="FC156">
        <f t="shared" si="3"/>
        <v>0</v>
      </c>
    </row>
    <row r="157" spans="1:159" ht="17.25" thickBot="1" x14ac:dyDescent="0.3">
      <c r="A157" s="226">
        <v>46023</v>
      </c>
      <c r="B157" s="227" t="s">
        <v>184</v>
      </c>
      <c r="C157" s="227" t="s">
        <v>680</v>
      </c>
      <c r="D157" s="228">
        <v>950</v>
      </c>
      <c r="E157" s="228">
        <v>26</v>
      </c>
      <c r="F157" s="228">
        <v>582.20000000000005</v>
      </c>
      <c r="G157" s="228">
        <v>576.20000000000005</v>
      </c>
      <c r="H157" s="228">
        <v>6</v>
      </c>
      <c r="I157" s="229">
        <v>1.04E-2</v>
      </c>
      <c r="J157" s="228">
        <v>578.95000000000005</v>
      </c>
      <c r="K157" s="228">
        <v>575.29999999999995</v>
      </c>
      <c r="L157" s="228">
        <v>3.65</v>
      </c>
      <c r="M157" s="229">
        <v>6.3E-3</v>
      </c>
      <c r="N157" s="228">
        <v>582.20000000000005</v>
      </c>
      <c r="O157" s="228">
        <v>576.20000000000005</v>
      </c>
      <c r="P157" s="228">
        <v>6</v>
      </c>
      <c r="Q157" s="229">
        <v>1.04E-2</v>
      </c>
      <c r="R157" s="228">
        <v>584.29999999999995</v>
      </c>
      <c r="S157" s="228">
        <v>578.1</v>
      </c>
      <c r="T157" s="228">
        <v>6.2</v>
      </c>
      <c r="U157" s="229">
        <v>1.0699999999999999E-2</v>
      </c>
      <c r="V157" s="228">
        <v>581.65</v>
      </c>
      <c r="W157" s="228">
        <v>581.65</v>
      </c>
      <c r="X157" s="228">
        <v>0</v>
      </c>
      <c r="Y157" s="229">
        <v>0</v>
      </c>
      <c r="Z157" s="228">
        <v>3.25</v>
      </c>
      <c r="AA157" s="228">
        <v>0.9</v>
      </c>
      <c r="AB157" s="228">
        <v>2.35</v>
      </c>
      <c r="AC157" s="229">
        <v>5.5999999999999999E-3</v>
      </c>
      <c r="AD157" s="228">
        <v>3.25</v>
      </c>
      <c r="AE157" s="228">
        <v>0.9</v>
      </c>
      <c r="AF157" s="228">
        <v>2.35</v>
      </c>
      <c r="AG157" s="229">
        <v>5.5999999999999999E-3</v>
      </c>
      <c r="AH157" s="228">
        <v>5.35</v>
      </c>
      <c r="AI157" s="228">
        <v>2.8</v>
      </c>
      <c r="AJ157" s="228">
        <v>2.5499999999999998</v>
      </c>
      <c r="AK157" s="229">
        <v>9.1999999999999998E-3</v>
      </c>
      <c r="AL157" s="228">
        <v>2.7</v>
      </c>
      <c r="AM157" s="228">
        <v>6.35</v>
      </c>
      <c r="AN157" s="228">
        <v>-3.65</v>
      </c>
      <c r="AO157" s="229">
        <v>4.7000000000000002E-3</v>
      </c>
      <c r="AP157" s="228">
        <v>578.95000000000005</v>
      </c>
      <c r="AQ157" s="228">
        <v>582.66999999999996</v>
      </c>
      <c r="AR157" s="228">
        <v>0</v>
      </c>
      <c r="AS157" s="228">
        <v>54</v>
      </c>
      <c r="AT157" s="228">
        <v>190</v>
      </c>
      <c r="AU157" s="228">
        <v>-137</v>
      </c>
      <c r="AV157" s="229">
        <v>-0.71709999999999996</v>
      </c>
      <c r="AW157" s="228">
        <v>52</v>
      </c>
      <c r="AX157" s="228">
        <v>186</v>
      </c>
      <c r="AY157" s="228">
        <v>-134</v>
      </c>
      <c r="AZ157" s="229">
        <v>-0.71799999999999997</v>
      </c>
      <c r="BA157" s="228">
        <v>1</v>
      </c>
      <c r="BB157" s="228">
        <v>4</v>
      </c>
      <c r="BC157" s="228">
        <v>-3</v>
      </c>
      <c r="BD157" s="229">
        <v>-0.67090000000000005</v>
      </c>
      <c r="BE157" s="228">
        <v>0</v>
      </c>
      <c r="BF157" s="228">
        <v>0</v>
      </c>
      <c r="BG157" s="228">
        <v>0</v>
      </c>
      <c r="BH157" s="229">
        <v>-1</v>
      </c>
      <c r="BI157" s="228">
        <v>99</v>
      </c>
      <c r="BJ157" s="228">
        <v>376</v>
      </c>
      <c r="BK157" s="228">
        <v>-277</v>
      </c>
      <c r="BL157" s="229">
        <v>-0.73729999999999996</v>
      </c>
      <c r="BM157" s="228">
        <v>44</v>
      </c>
      <c r="BN157" s="228">
        <v>173</v>
      </c>
      <c r="BO157" s="228">
        <v>-129</v>
      </c>
      <c r="BP157" s="229">
        <v>-0.74470000000000003</v>
      </c>
      <c r="BQ157" s="228">
        <v>197</v>
      </c>
      <c r="BR157" s="228">
        <v>740</v>
      </c>
      <c r="BS157" s="228">
        <v>-543</v>
      </c>
      <c r="BT157" s="229">
        <v>-0.73380000000000001</v>
      </c>
      <c r="BU157" s="230">
        <v>614947</v>
      </c>
      <c r="BV157" s="230">
        <v>2142944</v>
      </c>
      <c r="BW157" s="230">
        <v>-1527997</v>
      </c>
      <c r="BX157" s="229">
        <v>-0.71299999999999997</v>
      </c>
      <c r="BY157" s="228">
        <v>605</v>
      </c>
      <c r="BZ157" s="228">
        <v>612</v>
      </c>
      <c r="CA157" s="228">
        <v>-7</v>
      </c>
      <c r="CB157" s="229">
        <v>-1.09E-2</v>
      </c>
      <c r="CC157" s="228">
        <v>588</v>
      </c>
      <c r="CD157" s="228">
        <v>595</v>
      </c>
      <c r="CE157" s="228">
        <v>-7</v>
      </c>
      <c r="CF157" s="229">
        <v>-1.15E-2</v>
      </c>
      <c r="CG157" s="228">
        <v>17</v>
      </c>
      <c r="CH157" s="228">
        <v>17</v>
      </c>
      <c r="CI157" s="228">
        <v>0</v>
      </c>
      <c r="CJ157" s="229">
        <v>9.7999999999999997E-3</v>
      </c>
      <c r="CK157" s="228">
        <v>0</v>
      </c>
      <c r="CL157" s="228">
        <v>0</v>
      </c>
      <c r="CM157" s="228">
        <v>0</v>
      </c>
      <c r="CN157" s="229">
        <v>0</v>
      </c>
      <c r="CO157" s="228">
        <v>158</v>
      </c>
      <c r="CP157" s="228">
        <v>151</v>
      </c>
      <c r="CQ157" s="228">
        <v>7</v>
      </c>
      <c r="CR157" s="229">
        <v>4.8500000000000001E-2</v>
      </c>
      <c r="CS157" s="228">
        <v>151</v>
      </c>
      <c r="CT157" s="228">
        <v>143</v>
      </c>
      <c r="CU157" s="228">
        <v>8</v>
      </c>
      <c r="CV157" s="229">
        <v>5.7799999999999997E-2</v>
      </c>
      <c r="CW157" s="228">
        <v>914</v>
      </c>
      <c r="CX157" s="228">
        <v>905</v>
      </c>
      <c r="CY157" s="228">
        <v>9</v>
      </c>
      <c r="CZ157" s="229">
        <v>9.7999999999999997E-3</v>
      </c>
      <c r="DA157" s="228">
        <v>33.26</v>
      </c>
      <c r="DB157" s="228">
        <v>34.49</v>
      </c>
      <c r="DC157" s="228">
        <v>-1.23</v>
      </c>
      <c r="DD157" s="228">
        <v>-1.23</v>
      </c>
      <c r="DE157" s="228">
        <v>64.900000000000006</v>
      </c>
      <c r="DF157" s="228">
        <v>65.05</v>
      </c>
      <c r="DG157" s="228">
        <v>-31.64</v>
      </c>
      <c r="DH157" s="228">
        <v>-0.15</v>
      </c>
      <c r="DI157" s="228">
        <v>33.03</v>
      </c>
      <c r="DJ157" s="228">
        <v>34.6</v>
      </c>
      <c r="DK157" s="228">
        <v>-1.57</v>
      </c>
      <c r="DL157" s="228">
        <v>-1.57</v>
      </c>
      <c r="DM157" s="228">
        <v>33.770000000000003</v>
      </c>
      <c r="DN157" s="228">
        <v>34.26</v>
      </c>
      <c r="DO157" s="228">
        <v>-0.49</v>
      </c>
      <c r="DP157" s="228">
        <v>-0.49</v>
      </c>
      <c r="DQ157" s="228">
        <v>0.96</v>
      </c>
      <c r="DR157" s="228">
        <v>0.95</v>
      </c>
      <c r="DS157" s="228">
        <v>0.01</v>
      </c>
      <c r="DT157" s="229">
        <v>1.0500000000000001E-2</v>
      </c>
      <c r="DU157" s="228">
        <v>600</v>
      </c>
      <c r="DV157" s="228">
        <v>540</v>
      </c>
      <c r="DW157" s="228">
        <v>0.45</v>
      </c>
      <c r="DX157" s="228">
        <v>0.46</v>
      </c>
      <c r="DY157" s="228">
        <v>-0.01</v>
      </c>
      <c r="DZ157" s="229">
        <v>-2.1700000000000001E-2</v>
      </c>
      <c r="EA157" s="229">
        <v>2.8400000000000002E-2</v>
      </c>
      <c r="EB157" s="230">
        <v>292600</v>
      </c>
      <c r="EC157" s="229">
        <v>3.5999999999999999E-3</v>
      </c>
      <c r="ED157" s="229">
        <v>2.8400000000000002E-2</v>
      </c>
      <c r="EE157" s="228">
        <v>3.72</v>
      </c>
      <c r="EF157" s="229">
        <v>6.4000000000000003E-3</v>
      </c>
      <c r="EG157" s="230">
        <v>202805</v>
      </c>
      <c r="EH157" s="230">
        <v>746862</v>
      </c>
      <c r="EI157" s="229">
        <v>-0.72850000000000004</v>
      </c>
      <c r="EJ157" s="229">
        <v>0.32979999999999998</v>
      </c>
      <c r="EK157" s="228">
        <v>104.47</v>
      </c>
      <c r="EL157" s="228">
        <v>43.18</v>
      </c>
      <c r="EM157" s="228">
        <v>53.58</v>
      </c>
      <c r="EN157" s="228">
        <v>85.08</v>
      </c>
      <c r="EO157" s="228">
        <v>201.23</v>
      </c>
      <c r="EP157" s="228">
        <v>754.84</v>
      </c>
      <c r="EQ157" s="228">
        <v>-553.61</v>
      </c>
      <c r="ER157" s="229">
        <v>-0.73340000000000005</v>
      </c>
      <c r="ES157" s="228">
        <v>165.9</v>
      </c>
      <c r="ET157" s="228">
        <v>141.97999999999999</v>
      </c>
      <c r="EU157" s="228">
        <v>605.03</v>
      </c>
      <c r="EV157" s="231">
        <v>24030912</v>
      </c>
      <c r="EW157" s="228">
        <v>912.91</v>
      </c>
      <c r="EX157" s="228">
        <v>897.93</v>
      </c>
      <c r="EY157" s="228">
        <v>14.98</v>
      </c>
      <c r="EZ157" s="229">
        <v>1.67E-2</v>
      </c>
      <c r="FA157" s="229">
        <v>0.6532</v>
      </c>
      <c r="FB157" s="227" t="s">
        <v>556</v>
      </c>
      <c r="FC157">
        <f t="shared" si="3"/>
        <v>0</v>
      </c>
    </row>
    <row r="158" spans="1:159" ht="17.25" thickBot="1" x14ac:dyDescent="0.3">
      <c r="A158" s="226">
        <v>46023</v>
      </c>
      <c r="B158" s="227" t="s">
        <v>206</v>
      </c>
      <c r="C158" s="227" t="s">
        <v>645</v>
      </c>
      <c r="D158" s="228">
        <v>350</v>
      </c>
      <c r="E158" s="228">
        <v>26</v>
      </c>
      <c r="F158" s="231">
        <v>1880.6</v>
      </c>
      <c r="G158" s="231">
        <v>1865.3</v>
      </c>
      <c r="H158" s="228">
        <v>15.3</v>
      </c>
      <c r="I158" s="229">
        <v>8.2000000000000007E-3</v>
      </c>
      <c r="J158" s="231">
        <v>1872.7</v>
      </c>
      <c r="K158" s="231">
        <v>1853.5</v>
      </c>
      <c r="L158" s="228">
        <v>19.2</v>
      </c>
      <c r="M158" s="229">
        <v>1.04E-2</v>
      </c>
      <c r="N158" s="231">
        <v>1880.6</v>
      </c>
      <c r="O158" s="231">
        <v>1865.3</v>
      </c>
      <c r="P158" s="228">
        <v>15.3</v>
      </c>
      <c r="Q158" s="229">
        <v>8.2000000000000007E-3</v>
      </c>
      <c r="R158" s="231">
        <v>1886.8</v>
      </c>
      <c r="S158" s="231">
        <v>1880</v>
      </c>
      <c r="T158" s="228">
        <v>6.8</v>
      </c>
      <c r="U158" s="229">
        <v>3.5999999999999999E-3</v>
      </c>
      <c r="V158" s="228">
        <v>0</v>
      </c>
      <c r="W158" s="228">
        <v>0</v>
      </c>
      <c r="X158" s="228">
        <v>0</v>
      </c>
      <c r="Y158" s="229">
        <v>0</v>
      </c>
      <c r="Z158" s="228">
        <v>7.9</v>
      </c>
      <c r="AA158" s="228">
        <v>11.8</v>
      </c>
      <c r="AB158" s="228">
        <v>-3.9</v>
      </c>
      <c r="AC158" s="229">
        <v>4.1999999999999997E-3</v>
      </c>
      <c r="AD158" s="228">
        <v>7.9</v>
      </c>
      <c r="AE158" s="228">
        <v>11.8</v>
      </c>
      <c r="AF158" s="228">
        <v>-3.9</v>
      </c>
      <c r="AG158" s="229">
        <v>4.1999999999999997E-3</v>
      </c>
      <c r="AH158" s="228">
        <v>14.1</v>
      </c>
      <c r="AI158" s="228">
        <v>26.5</v>
      </c>
      <c r="AJ158" s="228">
        <v>-12.4</v>
      </c>
      <c r="AK158" s="229">
        <v>7.4999999999999997E-3</v>
      </c>
      <c r="AL158" s="228">
        <v>0</v>
      </c>
      <c r="AM158" s="228">
        <v>0</v>
      </c>
      <c r="AN158" s="228">
        <v>0</v>
      </c>
      <c r="AO158" s="229">
        <v>0</v>
      </c>
      <c r="AP158" s="231">
        <v>1874.58</v>
      </c>
      <c r="AQ158" s="231">
        <v>1886.67</v>
      </c>
      <c r="AR158" s="228">
        <v>0</v>
      </c>
      <c r="AS158" s="228">
        <v>67</v>
      </c>
      <c r="AT158" s="228">
        <v>54</v>
      </c>
      <c r="AU158" s="228">
        <v>14</v>
      </c>
      <c r="AV158" s="229">
        <v>0.25340000000000001</v>
      </c>
      <c r="AW158" s="228">
        <v>66</v>
      </c>
      <c r="AX158" s="228">
        <v>52</v>
      </c>
      <c r="AY158" s="228">
        <v>14</v>
      </c>
      <c r="AZ158" s="229">
        <v>0.2591</v>
      </c>
      <c r="BA158" s="228">
        <v>1</v>
      </c>
      <c r="BB158" s="228">
        <v>1</v>
      </c>
      <c r="BC158" s="228">
        <v>0</v>
      </c>
      <c r="BD158" s="229">
        <v>0</v>
      </c>
      <c r="BE158" s="228">
        <v>0</v>
      </c>
      <c r="BF158" s="228">
        <v>0</v>
      </c>
      <c r="BG158" s="228">
        <v>0</v>
      </c>
      <c r="BH158" s="229">
        <v>0</v>
      </c>
      <c r="BI158" s="228">
        <v>87</v>
      </c>
      <c r="BJ158" s="228">
        <v>38</v>
      </c>
      <c r="BK158" s="228">
        <v>48</v>
      </c>
      <c r="BL158" s="229">
        <v>1.2551000000000001</v>
      </c>
      <c r="BM158" s="228">
        <v>27</v>
      </c>
      <c r="BN158" s="228">
        <v>28</v>
      </c>
      <c r="BO158" s="228">
        <v>-1</v>
      </c>
      <c r="BP158" s="229">
        <v>-2.5899999999999999E-2</v>
      </c>
      <c r="BQ158" s="228">
        <v>181</v>
      </c>
      <c r="BR158" s="228">
        <v>120</v>
      </c>
      <c r="BS158" s="228">
        <v>61</v>
      </c>
      <c r="BT158" s="229">
        <v>0.50929999999999997</v>
      </c>
      <c r="BU158" s="230">
        <v>324050</v>
      </c>
      <c r="BV158" s="230">
        <v>235665</v>
      </c>
      <c r="BW158" s="230">
        <v>88385</v>
      </c>
      <c r="BX158" s="229">
        <v>0.375</v>
      </c>
      <c r="BY158" s="228">
        <v>570</v>
      </c>
      <c r="BZ158" s="228">
        <v>586</v>
      </c>
      <c r="CA158" s="228">
        <v>-15</v>
      </c>
      <c r="CB158" s="229">
        <v>-2.64E-2</v>
      </c>
      <c r="CC158" s="228">
        <v>567</v>
      </c>
      <c r="CD158" s="228">
        <v>583</v>
      </c>
      <c r="CE158" s="228">
        <v>-16</v>
      </c>
      <c r="CF158" s="229">
        <v>-2.7E-2</v>
      </c>
      <c r="CG158" s="228">
        <v>3</v>
      </c>
      <c r="CH158" s="228">
        <v>3</v>
      </c>
      <c r="CI158" s="228">
        <v>0</v>
      </c>
      <c r="CJ158" s="229">
        <v>8.8900000000000007E-2</v>
      </c>
      <c r="CK158" s="228">
        <v>0</v>
      </c>
      <c r="CL158" s="228">
        <v>0</v>
      </c>
      <c r="CM158" s="228">
        <v>0</v>
      </c>
      <c r="CN158" s="229">
        <v>0</v>
      </c>
      <c r="CO158" s="228">
        <v>78</v>
      </c>
      <c r="CP158" s="228">
        <v>55</v>
      </c>
      <c r="CQ158" s="228">
        <v>23</v>
      </c>
      <c r="CR158" s="229">
        <v>0.42409999999999998</v>
      </c>
      <c r="CS158" s="228">
        <v>41</v>
      </c>
      <c r="CT158" s="228">
        <v>43</v>
      </c>
      <c r="CU158" s="228">
        <v>-2</v>
      </c>
      <c r="CV158" s="229">
        <v>-4.8599999999999997E-2</v>
      </c>
      <c r="CW158" s="228">
        <v>690</v>
      </c>
      <c r="CX158" s="228">
        <v>684</v>
      </c>
      <c r="CY158" s="228">
        <v>6</v>
      </c>
      <c r="CZ158" s="229">
        <v>8.5000000000000006E-3</v>
      </c>
      <c r="DA158" s="228">
        <v>22.44</v>
      </c>
      <c r="DB158" s="228">
        <v>23.01</v>
      </c>
      <c r="DC158" s="228">
        <v>-0.56999999999999995</v>
      </c>
      <c r="DD158" s="228">
        <v>-0.56999999999999995</v>
      </c>
      <c r="DE158" s="228">
        <v>40.340000000000003</v>
      </c>
      <c r="DF158" s="228">
        <v>40.42</v>
      </c>
      <c r="DG158" s="228">
        <v>-17.899999999999999</v>
      </c>
      <c r="DH158" s="228">
        <v>-0.08</v>
      </c>
      <c r="DI158" s="228">
        <v>22.37</v>
      </c>
      <c r="DJ158" s="228">
        <v>23.24</v>
      </c>
      <c r="DK158" s="228">
        <v>-0.87</v>
      </c>
      <c r="DL158" s="228">
        <v>-0.87</v>
      </c>
      <c r="DM158" s="228">
        <v>22.65</v>
      </c>
      <c r="DN158" s="228">
        <v>22.69</v>
      </c>
      <c r="DO158" s="228">
        <v>-0.04</v>
      </c>
      <c r="DP158" s="228">
        <v>-0.04</v>
      </c>
      <c r="DQ158" s="228">
        <v>0.53</v>
      </c>
      <c r="DR158" s="228">
        <v>0.79</v>
      </c>
      <c r="DS158" s="228">
        <v>-0.26</v>
      </c>
      <c r="DT158" s="229">
        <v>-0.3291</v>
      </c>
      <c r="DU158" s="231">
        <v>1880</v>
      </c>
      <c r="DV158" s="231">
        <v>1880</v>
      </c>
      <c r="DW158" s="228">
        <v>0.31</v>
      </c>
      <c r="DX158" s="228">
        <v>0.73</v>
      </c>
      <c r="DY158" s="228">
        <v>-0.42</v>
      </c>
      <c r="DZ158" s="229">
        <v>-0.57530000000000003</v>
      </c>
      <c r="EA158" s="229">
        <v>5.7000000000000002E-3</v>
      </c>
      <c r="EB158" s="230">
        <v>15750</v>
      </c>
      <c r="EC158" s="229">
        <v>3.3E-3</v>
      </c>
      <c r="ED158" s="229">
        <v>5.7000000000000002E-3</v>
      </c>
      <c r="EE158" s="228">
        <v>12.09</v>
      </c>
      <c r="EF158" s="229">
        <v>6.4000000000000003E-3</v>
      </c>
      <c r="EG158" s="230">
        <v>245465</v>
      </c>
      <c r="EH158" s="230">
        <v>157520</v>
      </c>
      <c r="EI158" s="229">
        <v>0.55830000000000002</v>
      </c>
      <c r="EJ158" s="229">
        <v>0.75749999999999995</v>
      </c>
      <c r="EK158" s="228">
        <v>88.73</v>
      </c>
      <c r="EL158" s="228">
        <v>27.28</v>
      </c>
      <c r="EM158" s="228">
        <v>66.86</v>
      </c>
      <c r="EN158" s="228">
        <v>42.39</v>
      </c>
      <c r="EO158" s="228">
        <v>182.88</v>
      </c>
      <c r="EP158" s="228">
        <v>119.91</v>
      </c>
      <c r="EQ158" s="228">
        <v>62.97</v>
      </c>
      <c r="ER158" s="229">
        <v>0.5252</v>
      </c>
      <c r="ES158" s="228">
        <v>77.069999999999993</v>
      </c>
      <c r="ET158" s="228">
        <v>39.97</v>
      </c>
      <c r="EU158" s="228">
        <v>570.35</v>
      </c>
      <c r="EV158" s="231">
        <v>19533471</v>
      </c>
      <c r="EW158" s="228">
        <v>687.39</v>
      </c>
      <c r="EX158" s="228">
        <v>676.75</v>
      </c>
      <c r="EY158" s="228">
        <v>10.64</v>
      </c>
      <c r="EZ158" s="229">
        <v>1.5699999999999999E-2</v>
      </c>
      <c r="FA158" s="229">
        <v>0.18790000000000001</v>
      </c>
      <c r="FB158" s="227" t="s">
        <v>556</v>
      </c>
      <c r="FC158">
        <f t="shared" si="3"/>
        <v>0</v>
      </c>
    </row>
    <row r="159" spans="1:159" ht="17.25" thickBot="1" x14ac:dyDescent="0.3">
      <c r="A159" s="226">
        <v>46023</v>
      </c>
      <c r="B159" s="227" t="s">
        <v>168</v>
      </c>
      <c r="C159" s="227" t="s">
        <v>274</v>
      </c>
      <c r="D159" s="228">
        <v>500</v>
      </c>
      <c r="E159" s="228">
        <v>26</v>
      </c>
      <c r="F159" s="231">
        <v>1477.5</v>
      </c>
      <c r="G159" s="231">
        <v>1490</v>
      </c>
      <c r="H159" s="228">
        <v>-12.5</v>
      </c>
      <c r="I159" s="229">
        <v>-8.3999999999999995E-3</v>
      </c>
      <c r="J159" s="231">
        <v>1469.3</v>
      </c>
      <c r="K159" s="231">
        <v>1482.4</v>
      </c>
      <c r="L159" s="228">
        <v>-13.1</v>
      </c>
      <c r="M159" s="229">
        <v>-8.8000000000000005E-3</v>
      </c>
      <c r="N159" s="231">
        <v>1477.5</v>
      </c>
      <c r="O159" s="231">
        <v>1490</v>
      </c>
      <c r="P159" s="228">
        <v>-12.5</v>
      </c>
      <c r="Q159" s="229">
        <v>-8.3999999999999995E-3</v>
      </c>
      <c r="R159" s="231">
        <v>1485.9</v>
      </c>
      <c r="S159" s="231">
        <v>1499.3</v>
      </c>
      <c r="T159" s="228">
        <v>-13.4</v>
      </c>
      <c r="U159" s="229">
        <v>-8.8999999999999999E-3</v>
      </c>
      <c r="V159" s="231">
        <v>1501.1</v>
      </c>
      <c r="W159" s="228">
        <v>0</v>
      </c>
      <c r="X159" s="231">
        <v>1501.1</v>
      </c>
      <c r="Y159" s="229">
        <v>0</v>
      </c>
      <c r="Z159" s="228">
        <v>8.1999999999999993</v>
      </c>
      <c r="AA159" s="228">
        <v>7.6</v>
      </c>
      <c r="AB159" s="228">
        <v>0.6</v>
      </c>
      <c r="AC159" s="229">
        <v>5.5999999999999999E-3</v>
      </c>
      <c r="AD159" s="228">
        <v>8.1999999999999993</v>
      </c>
      <c r="AE159" s="228">
        <v>7.6</v>
      </c>
      <c r="AF159" s="228">
        <v>0.6</v>
      </c>
      <c r="AG159" s="229">
        <v>5.5999999999999999E-3</v>
      </c>
      <c r="AH159" s="228">
        <v>16.600000000000001</v>
      </c>
      <c r="AI159" s="228">
        <v>16.899999999999999</v>
      </c>
      <c r="AJ159" s="228">
        <v>-0.3</v>
      </c>
      <c r="AK159" s="229">
        <v>1.1299999999999999E-2</v>
      </c>
      <c r="AL159" s="228">
        <v>31.8</v>
      </c>
      <c r="AM159" s="228">
        <v>0</v>
      </c>
      <c r="AN159" s="228">
        <v>31.8</v>
      </c>
      <c r="AO159" s="229">
        <v>2.1600000000000001E-2</v>
      </c>
      <c r="AP159" s="231">
        <v>1481.22</v>
      </c>
      <c r="AQ159" s="231">
        <v>1491.48</v>
      </c>
      <c r="AR159" s="228">
        <v>0</v>
      </c>
      <c r="AS159" s="228">
        <v>60</v>
      </c>
      <c r="AT159" s="228">
        <v>188</v>
      </c>
      <c r="AU159" s="228">
        <v>-128</v>
      </c>
      <c r="AV159" s="229">
        <v>-0.67900000000000005</v>
      </c>
      <c r="AW159" s="228">
        <v>58</v>
      </c>
      <c r="AX159" s="228">
        <v>180</v>
      </c>
      <c r="AY159" s="228">
        <v>-122</v>
      </c>
      <c r="AZ159" s="229">
        <v>-0.67730000000000001</v>
      </c>
      <c r="BA159" s="228">
        <v>2</v>
      </c>
      <c r="BB159" s="228">
        <v>8</v>
      </c>
      <c r="BC159" s="228">
        <v>-6</v>
      </c>
      <c r="BD159" s="229">
        <v>-0.72319999999999995</v>
      </c>
      <c r="BE159" s="228">
        <v>0</v>
      </c>
      <c r="BF159" s="228">
        <v>0</v>
      </c>
      <c r="BG159" s="228">
        <v>0</v>
      </c>
      <c r="BH159" s="229">
        <v>0</v>
      </c>
      <c r="BI159" s="228">
        <v>86</v>
      </c>
      <c r="BJ159" s="228">
        <v>290</v>
      </c>
      <c r="BK159" s="228">
        <v>-204</v>
      </c>
      <c r="BL159" s="229">
        <v>-0.70399999999999996</v>
      </c>
      <c r="BM159" s="228">
        <v>41</v>
      </c>
      <c r="BN159" s="228">
        <v>109</v>
      </c>
      <c r="BO159" s="228">
        <v>-68</v>
      </c>
      <c r="BP159" s="229">
        <v>-0.62470000000000003</v>
      </c>
      <c r="BQ159" s="228">
        <v>187</v>
      </c>
      <c r="BR159" s="228">
        <v>587</v>
      </c>
      <c r="BS159" s="228">
        <v>-400</v>
      </c>
      <c r="BT159" s="229">
        <v>-0.68120000000000003</v>
      </c>
      <c r="BU159" s="230">
        <v>112500</v>
      </c>
      <c r="BV159" s="230">
        <v>619991</v>
      </c>
      <c r="BW159" s="230">
        <v>-507491</v>
      </c>
      <c r="BX159" s="229">
        <v>-0.81850000000000001</v>
      </c>
      <c r="BY159" s="230">
        <v>1124</v>
      </c>
      <c r="BZ159" s="230">
        <v>1110</v>
      </c>
      <c r="CA159" s="228">
        <v>14</v>
      </c>
      <c r="CB159" s="229">
        <v>1.24E-2</v>
      </c>
      <c r="CC159" s="230">
        <v>1112</v>
      </c>
      <c r="CD159" s="230">
        <v>1099</v>
      </c>
      <c r="CE159" s="228">
        <v>13</v>
      </c>
      <c r="CF159" s="229">
        <v>1.21E-2</v>
      </c>
      <c r="CG159" s="228">
        <v>12</v>
      </c>
      <c r="CH159" s="228">
        <v>11</v>
      </c>
      <c r="CI159" s="228">
        <v>0</v>
      </c>
      <c r="CJ159" s="229">
        <v>3.27E-2</v>
      </c>
      <c r="CK159" s="228">
        <v>0</v>
      </c>
      <c r="CL159" s="228">
        <v>0</v>
      </c>
      <c r="CM159" s="228">
        <v>0</v>
      </c>
      <c r="CN159" s="229">
        <v>0</v>
      </c>
      <c r="CO159" s="228">
        <v>112</v>
      </c>
      <c r="CP159" s="228">
        <v>107</v>
      </c>
      <c r="CQ159" s="228">
        <v>5</v>
      </c>
      <c r="CR159" s="229">
        <v>4.3999999999999997E-2</v>
      </c>
      <c r="CS159" s="228">
        <v>100</v>
      </c>
      <c r="CT159" s="228">
        <v>92</v>
      </c>
      <c r="CU159" s="228">
        <v>7</v>
      </c>
      <c r="CV159" s="229">
        <v>8.09E-2</v>
      </c>
      <c r="CW159" s="230">
        <v>1336</v>
      </c>
      <c r="CX159" s="230">
        <v>1310</v>
      </c>
      <c r="CY159" s="228">
        <v>26</v>
      </c>
      <c r="CZ159" s="229">
        <v>1.9800000000000002E-2</v>
      </c>
      <c r="DA159" s="228">
        <v>17.07</v>
      </c>
      <c r="DB159" s="228">
        <v>17.59</v>
      </c>
      <c r="DC159" s="228">
        <v>-0.52</v>
      </c>
      <c r="DD159" s="228">
        <v>-0.52</v>
      </c>
      <c r="DE159" s="228">
        <v>21.17</v>
      </c>
      <c r="DF159" s="228">
        <v>21.19</v>
      </c>
      <c r="DG159" s="228">
        <v>-4.0999999999999996</v>
      </c>
      <c r="DH159" s="228">
        <v>-0.02</v>
      </c>
      <c r="DI159" s="228">
        <v>17.09</v>
      </c>
      <c r="DJ159" s="228">
        <v>17.41</v>
      </c>
      <c r="DK159" s="228">
        <v>-0.32</v>
      </c>
      <c r="DL159" s="228">
        <v>-0.32</v>
      </c>
      <c r="DM159" s="228">
        <v>17.03</v>
      </c>
      <c r="DN159" s="228">
        <v>18.079999999999998</v>
      </c>
      <c r="DO159" s="228">
        <v>-1.05</v>
      </c>
      <c r="DP159" s="228">
        <v>-1.05</v>
      </c>
      <c r="DQ159" s="228">
        <v>0.89</v>
      </c>
      <c r="DR159" s="228">
        <v>0.86</v>
      </c>
      <c r="DS159" s="228">
        <v>0.03</v>
      </c>
      <c r="DT159" s="229">
        <v>3.49E-2</v>
      </c>
      <c r="DU159" s="231">
        <v>1500</v>
      </c>
      <c r="DV159" s="231">
        <v>1400</v>
      </c>
      <c r="DW159" s="228">
        <v>0.48</v>
      </c>
      <c r="DX159" s="228">
        <v>0.38</v>
      </c>
      <c r="DY159" s="228">
        <v>0.1</v>
      </c>
      <c r="DZ159" s="229">
        <v>0.26319999999999999</v>
      </c>
      <c r="EA159" s="229">
        <v>1.04E-2</v>
      </c>
      <c r="EB159" s="230">
        <v>76500</v>
      </c>
      <c r="EC159" s="229">
        <v>5.7000000000000002E-3</v>
      </c>
      <c r="ED159" s="229">
        <v>1.04E-2</v>
      </c>
      <c r="EE159" s="228">
        <v>10.26</v>
      </c>
      <c r="EF159" s="229">
        <v>6.8999999999999999E-3</v>
      </c>
      <c r="EG159" s="230">
        <v>59818</v>
      </c>
      <c r="EH159" s="230">
        <v>417263</v>
      </c>
      <c r="EI159" s="229">
        <v>-0.85660000000000003</v>
      </c>
      <c r="EJ159" s="229">
        <v>0.53169999999999995</v>
      </c>
      <c r="EK159" s="228">
        <v>88.81</v>
      </c>
      <c r="EL159" s="228">
        <v>40.19</v>
      </c>
      <c r="EM159" s="228">
        <v>60.6</v>
      </c>
      <c r="EN159" s="228">
        <v>63.67</v>
      </c>
      <c r="EO159" s="228">
        <v>189.6</v>
      </c>
      <c r="EP159" s="228">
        <v>593.82000000000005</v>
      </c>
      <c r="EQ159" s="228">
        <v>-404.22</v>
      </c>
      <c r="ER159" s="229">
        <v>-0.68069999999999997</v>
      </c>
      <c r="ES159" s="228">
        <v>114.81</v>
      </c>
      <c r="ET159" s="228">
        <v>97.22</v>
      </c>
      <c r="EU159" s="231">
        <v>1124.3</v>
      </c>
      <c r="EV159" s="231">
        <v>31214205</v>
      </c>
      <c r="EW159" s="231">
        <v>1336.33</v>
      </c>
      <c r="EX159" s="231">
        <v>1319.59</v>
      </c>
      <c r="EY159" s="228">
        <v>16.739999999999998</v>
      </c>
      <c r="EZ159" s="229">
        <v>1.2699999999999999E-2</v>
      </c>
      <c r="FA159" s="229">
        <v>0.28970000000000001</v>
      </c>
      <c r="FB159" s="227" t="s">
        <v>567</v>
      </c>
      <c r="FC159">
        <f t="shared" si="3"/>
        <v>0</v>
      </c>
    </row>
    <row r="160" spans="1:159" ht="17.25" thickBot="1" x14ac:dyDescent="0.3">
      <c r="A160" s="226">
        <v>46023</v>
      </c>
      <c r="B160" s="227" t="s">
        <v>498</v>
      </c>
      <c r="C160" s="227" t="s">
        <v>483</v>
      </c>
      <c r="D160" s="228">
        <v>175</v>
      </c>
      <c r="E160" s="228">
        <v>26</v>
      </c>
      <c r="F160" s="231">
        <v>3233.4</v>
      </c>
      <c r="G160" s="231">
        <v>3254.3</v>
      </c>
      <c r="H160" s="228">
        <v>-20.9</v>
      </c>
      <c r="I160" s="229">
        <v>-6.4000000000000003E-3</v>
      </c>
      <c r="J160" s="231">
        <v>3219.1</v>
      </c>
      <c r="K160" s="231">
        <v>3238.2</v>
      </c>
      <c r="L160" s="228">
        <v>-19.100000000000001</v>
      </c>
      <c r="M160" s="229">
        <v>-5.8999999999999999E-3</v>
      </c>
      <c r="N160" s="231">
        <v>3233.4</v>
      </c>
      <c r="O160" s="231">
        <v>3254.3</v>
      </c>
      <c r="P160" s="228">
        <v>-20.9</v>
      </c>
      <c r="Q160" s="229">
        <v>-6.4000000000000003E-3</v>
      </c>
      <c r="R160" s="231">
        <v>3227.9</v>
      </c>
      <c r="S160" s="231">
        <v>3248.2</v>
      </c>
      <c r="T160" s="228">
        <v>-20.3</v>
      </c>
      <c r="U160" s="229">
        <v>-6.1999999999999998E-3</v>
      </c>
      <c r="V160" s="231">
        <v>3230</v>
      </c>
      <c r="W160" s="228">
        <v>0</v>
      </c>
      <c r="X160" s="231">
        <v>3230</v>
      </c>
      <c r="Y160" s="229">
        <v>0</v>
      </c>
      <c r="Z160" s="228">
        <v>14.3</v>
      </c>
      <c r="AA160" s="228">
        <v>16.100000000000001</v>
      </c>
      <c r="AB160" s="228">
        <v>-1.8</v>
      </c>
      <c r="AC160" s="229">
        <v>4.4000000000000003E-3</v>
      </c>
      <c r="AD160" s="228">
        <v>14.3</v>
      </c>
      <c r="AE160" s="228">
        <v>16.100000000000001</v>
      </c>
      <c r="AF160" s="228">
        <v>-1.8</v>
      </c>
      <c r="AG160" s="229">
        <v>4.4000000000000003E-3</v>
      </c>
      <c r="AH160" s="228">
        <v>8.8000000000000007</v>
      </c>
      <c r="AI160" s="228">
        <v>10</v>
      </c>
      <c r="AJ160" s="228">
        <v>-1.2</v>
      </c>
      <c r="AK160" s="229">
        <v>2.7000000000000001E-3</v>
      </c>
      <c r="AL160" s="228">
        <v>10.9</v>
      </c>
      <c r="AM160" s="228">
        <v>0</v>
      </c>
      <c r="AN160" s="228">
        <v>10.9</v>
      </c>
      <c r="AO160" s="229">
        <v>3.3999999999999998E-3</v>
      </c>
      <c r="AP160" s="231">
        <v>3230.56</v>
      </c>
      <c r="AQ160" s="231">
        <v>3227.34</v>
      </c>
      <c r="AR160" s="228">
        <v>0</v>
      </c>
      <c r="AS160" s="228">
        <v>69</v>
      </c>
      <c r="AT160" s="228">
        <v>89</v>
      </c>
      <c r="AU160" s="228">
        <v>-20</v>
      </c>
      <c r="AV160" s="229">
        <v>-0.22189999999999999</v>
      </c>
      <c r="AW160" s="228">
        <v>61</v>
      </c>
      <c r="AX160" s="228">
        <v>82</v>
      </c>
      <c r="AY160" s="228">
        <v>-21</v>
      </c>
      <c r="AZ160" s="229">
        <v>-0.25230000000000002</v>
      </c>
      <c r="BA160" s="228">
        <v>8</v>
      </c>
      <c r="BB160" s="228">
        <v>7</v>
      </c>
      <c r="BC160" s="228">
        <v>1</v>
      </c>
      <c r="BD160" s="229">
        <v>0.112</v>
      </c>
      <c r="BE160" s="228">
        <v>0</v>
      </c>
      <c r="BF160" s="228">
        <v>0</v>
      </c>
      <c r="BG160" s="228">
        <v>0</v>
      </c>
      <c r="BH160" s="229">
        <v>0</v>
      </c>
      <c r="BI160" s="228">
        <v>73</v>
      </c>
      <c r="BJ160" s="228">
        <v>86</v>
      </c>
      <c r="BK160" s="228">
        <v>-13</v>
      </c>
      <c r="BL160" s="229">
        <v>-0.15029999999999999</v>
      </c>
      <c r="BM160" s="228">
        <v>32</v>
      </c>
      <c r="BN160" s="228">
        <v>39</v>
      </c>
      <c r="BO160" s="228">
        <v>-6</v>
      </c>
      <c r="BP160" s="229">
        <v>-0.1608</v>
      </c>
      <c r="BQ160" s="228">
        <v>174</v>
      </c>
      <c r="BR160" s="228">
        <v>213</v>
      </c>
      <c r="BS160" s="228">
        <v>-39</v>
      </c>
      <c r="BT160" s="229">
        <v>-0.182</v>
      </c>
      <c r="BU160" s="230">
        <v>44022</v>
      </c>
      <c r="BV160" s="230">
        <v>125795</v>
      </c>
      <c r="BW160" s="230">
        <v>-81773</v>
      </c>
      <c r="BX160" s="229">
        <v>-0.65</v>
      </c>
      <c r="BY160" s="228">
        <v>726</v>
      </c>
      <c r="BZ160" s="228">
        <v>720</v>
      </c>
      <c r="CA160" s="228">
        <v>6</v>
      </c>
      <c r="CB160" s="229">
        <v>8.9999999999999993E-3</v>
      </c>
      <c r="CC160" s="228">
        <v>704</v>
      </c>
      <c r="CD160" s="228">
        <v>702</v>
      </c>
      <c r="CE160" s="228">
        <v>2</v>
      </c>
      <c r="CF160" s="229">
        <v>3.0999999999999999E-3</v>
      </c>
      <c r="CG160" s="228">
        <v>22</v>
      </c>
      <c r="CH160" s="228">
        <v>18</v>
      </c>
      <c r="CI160" s="228">
        <v>4</v>
      </c>
      <c r="CJ160" s="229">
        <v>0.2334</v>
      </c>
      <c r="CK160" s="228">
        <v>0</v>
      </c>
      <c r="CL160" s="228">
        <v>0</v>
      </c>
      <c r="CM160" s="228">
        <v>0</v>
      </c>
      <c r="CN160" s="229">
        <v>0</v>
      </c>
      <c r="CO160" s="228">
        <v>105</v>
      </c>
      <c r="CP160" s="228">
        <v>91</v>
      </c>
      <c r="CQ160" s="228">
        <v>14</v>
      </c>
      <c r="CR160" s="229">
        <v>0.15720000000000001</v>
      </c>
      <c r="CS160" s="228">
        <v>91</v>
      </c>
      <c r="CT160" s="228">
        <v>86</v>
      </c>
      <c r="CU160" s="228">
        <v>5</v>
      </c>
      <c r="CV160" s="229">
        <v>6.3399999999999998E-2</v>
      </c>
      <c r="CW160" s="228">
        <v>922</v>
      </c>
      <c r="CX160" s="228">
        <v>896</v>
      </c>
      <c r="CY160" s="228">
        <v>26</v>
      </c>
      <c r="CZ160" s="229">
        <v>2.92E-2</v>
      </c>
      <c r="DA160" s="228">
        <v>20.88</v>
      </c>
      <c r="DB160" s="228">
        <v>21.69</v>
      </c>
      <c r="DC160" s="228">
        <v>-0.81</v>
      </c>
      <c r="DD160" s="228">
        <v>-0.81</v>
      </c>
      <c r="DE160" s="228">
        <v>28.93</v>
      </c>
      <c r="DF160" s="228">
        <v>28.99</v>
      </c>
      <c r="DG160" s="228">
        <v>-8.0500000000000007</v>
      </c>
      <c r="DH160" s="228">
        <v>-0.06</v>
      </c>
      <c r="DI160" s="228">
        <v>20.85</v>
      </c>
      <c r="DJ160" s="228">
        <v>21.64</v>
      </c>
      <c r="DK160" s="228">
        <v>-0.79</v>
      </c>
      <c r="DL160" s="228">
        <v>-0.79</v>
      </c>
      <c r="DM160" s="228">
        <v>20.96</v>
      </c>
      <c r="DN160" s="228">
        <v>21.81</v>
      </c>
      <c r="DO160" s="228">
        <v>-0.85</v>
      </c>
      <c r="DP160" s="228">
        <v>-0.85</v>
      </c>
      <c r="DQ160" s="228">
        <v>0.87</v>
      </c>
      <c r="DR160" s="228">
        <v>0.95</v>
      </c>
      <c r="DS160" s="228">
        <v>-0.08</v>
      </c>
      <c r="DT160" s="229">
        <v>-8.4199999999999997E-2</v>
      </c>
      <c r="DU160" s="231">
        <v>3300</v>
      </c>
      <c r="DV160" s="231">
        <v>3200</v>
      </c>
      <c r="DW160" s="228">
        <v>0.45</v>
      </c>
      <c r="DX160" s="228">
        <v>0.45</v>
      </c>
      <c r="DY160" s="228">
        <v>0</v>
      </c>
      <c r="DZ160" s="229">
        <v>0</v>
      </c>
      <c r="EA160" s="229">
        <v>3.0599999999999999E-2</v>
      </c>
      <c r="EB160" s="230">
        <v>55475</v>
      </c>
      <c r="EC160" s="229">
        <v>-1.6999999999999999E-3</v>
      </c>
      <c r="ED160" s="229">
        <v>3.0599999999999999E-2</v>
      </c>
      <c r="EE160" s="228">
        <v>-3.22</v>
      </c>
      <c r="EF160" s="229">
        <v>-1E-3</v>
      </c>
      <c r="EG160" s="230">
        <v>19716</v>
      </c>
      <c r="EH160" s="230">
        <v>85377</v>
      </c>
      <c r="EI160" s="229">
        <v>-0.76910000000000001</v>
      </c>
      <c r="EJ160" s="229">
        <v>0.44790000000000002</v>
      </c>
      <c r="EK160" s="228">
        <v>75.78</v>
      </c>
      <c r="EL160" s="228">
        <v>32.19</v>
      </c>
      <c r="EM160" s="228">
        <v>68.959999999999994</v>
      </c>
      <c r="EN160" s="228">
        <v>64.38</v>
      </c>
      <c r="EO160" s="228">
        <v>176.94</v>
      </c>
      <c r="EP160" s="228">
        <v>217.04</v>
      </c>
      <c r="EQ160" s="228">
        <v>-40.11</v>
      </c>
      <c r="ER160" s="229">
        <v>-0.18479999999999999</v>
      </c>
      <c r="ES160" s="228">
        <v>108.99</v>
      </c>
      <c r="ET160" s="228">
        <v>92</v>
      </c>
      <c r="EU160" s="228">
        <v>726.11</v>
      </c>
      <c r="EV160" s="231">
        <v>10712372</v>
      </c>
      <c r="EW160" s="228">
        <v>927.11</v>
      </c>
      <c r="EX160" s="228">
        <v>905.57</v>
      </c>
      <c r="EY160" s="228">
        <v>21.54</v>
      </c>
      <c r="EZ160" s="229">
        <v>2.3800000000000002E-2</v>
      </c>
      <c r="FA160" s="229">
        <v>0.26629999999999998</v>
      </c>
      <c r="FB160" s="227" t="s">
        <v>567</v>
      </c>
      <c r="FC160">
        <f t="shared" si="3"/>
        <v>0</v>
      </c>
    </row>
    <row r="161" spans="1:159" ht="17.25" thickBot="1" x14ac:dyDescent="0.3">
      <c r="A161" s="226">
        <v>46023</v>
      </c>
      <c r="B161" s="227" t="s">
        <v>172</v>
      </c>
      <c r="C161" s="227" t="s">
        <v>275</v>
      </c>
      <c r="D161" s="228">
        <v>8000</v>
      </c>
      <c r="E161" s="228">
        <v>26</v>
      </c>
      <c r="F161" s="228">
        <v>124.65</v>
      </c>
      <c r="G161" s="228">
        <v>124.41</v>
      </c>
      <c r="H161" s="228">
        <v>0.24</v>
      </c>
      <c r="I161" s="229">
        <v>1.9E-3</v>
      </c>
      <c r="J161" s="228">
        <v>123.94</v>
      </c>
      <c r="K161" s="228">
        <v>123.58</v>
      </c>
      <c r="L161" s="228">
        <v>0.36</v>
      </c>
      <c r="M161" s="229">
        <v>2.8999999999999998E-3</v>
      </c>
      <c r="N161" s="228">
        <v>124.65</v>
      </c>
      <c r="O161" s="228">
        <v>124.41</v>
      </c>
      <c r="P161" s="228">
        <v>0.24</v>
      </c>
      <c r="Q161" s="229">
        <v>1.9E-3</v>
      </c>
      <c r="R161" s="228">
        <v>125.42</v>
      </c>
      <c r="S161" s="228">
        <v>125.15</v>
      </c>
      <c r="T161" s="228">
        <v>0.27</v>
      </c>
      <c r="U161" s="229">
        <v>2.2000000000000001E-3</v>
      </c>
      <c r="V161" s="228">
        <v>125.98</v>
      </c>
      <c r="W161" s="228">
        <v>125.65</v>
      </c>
      <c r="X161" s="228">
        <v>0.33</v>
      </c>
      <c r="Y161" s="229">
        <v>2.5999999999999999E-3</v>
      </c>
      <c r="Z161" s="228">
        <v>0.71</v>
      </c>
      <c r="AA161" s="228">
        <v>0.83</v>
      </c>
      <c r="AB161" s="228">
        <v>-0.12</v>
      </c>
      <c r="AC161" s="229">
        <v>5.7000000000000002E-3</v>
      </c>
      <c r="AD161" s="228">
        <v>0.71</v>
      </c>
      <c r="AE161" s="228">
        <v>0.83</v>
      </c>
      <c r="AF161" s="228">
        <v>-0.12</v>
      </c>
      <c r="AG161" s="229">
        <v>5.7000000000000002E-3</v>
      </c>
      <c r="AH161" s="228">
        <v>1.48</v>
      </c>
      <c r="AI161" s="228">
        <v>1.57</v>
      </c>
      <c r="AJ161" s="228">
        <v>-0.09</v>
      </c>
      <c r="AK161" s="229">
        <v>1.1900000000000001E-2</v>
      </c>
      <c r="AL161" s="228">
        <v>2.04</v>
      </c>
      <c r="AM161" s="228">
        <v>2.0699999999999998</v>
      </c>
      <c r="AN161" s="228">
        <v>-0.03</v>
      </c>
      <c r="AO161" s="229">
        <v>1.6500000000000001E-2</v>
      </c>
      <c r="AP161" s="228">
        <v>124.67</v>
      </c>
      <c r="AQ161" s="228">
        <v>125.33</v>
      </c>
      <c r="AR161" s="228">
        <v>0</v>
      </c>
      <c r="AS161" s="228">
        <v>385</v>
      </c>
      <c r="AT161" s="228">
        <v>731</v>
      </c>
      <c r="AU161" s="228">
        <v>-346</v>
      </c>
      <c r="AV161" s="229">
        <v>-0.47299999999999998</v>
      </c>
      <c r="AW161" s="228">
        <v>366</v>
      </c>
      <c r="AX161" s="228">
        <v>680</v>
      </c>
      <c r="AY161" s="228">
        <v>-315</v>
      </c>
      <c r="AZ161" s="229">
        <v>-0.46239999999999998</v>
      </c>
      <c r="BA161" s="228">
        <v>19</v>
      </c>
      <c r="BB161" s="228">
        <v>47</v>
      </c>
      <c r="BC161" s="228">
        <v>-29</v>
      </c>
      <c r="BD161" s="229">
        <v>-0.60840000000000005</v>
      </c>
      <c r="BE161" s="228">
        <v>1</v>
      </c>
      <c r="BF161" s="228">
        <v>3</v>
      </c>
      <c r="BG161" s="228">
        <v>-2</v>
      </c>
      <c r="BH161" s="229">
        <v>-0.75860000000000005</v>
      </c>
      <c r="BI161" s="228">
        <v>505</v>
      </c>
      <c r="BJ161" s="230">
        <v>1332</v>
      </c>
      <c r="BK161" s="228">
        <v>-827</v>
      </c>
      <c r="BL161" s="229">
        <v>-0.62060000000000004</v>
      </c>
      <c r="BM161" s="228">
        <v>379</v>
      </c>
      <c r="BN161" s="230">
        <v>1051</v>
      </c>
      <c r="BO161" s="228">
        <v>-672</v>
      </c>
      <c r="BP161" s="229">
        <v>-0.63919999999999999</v>
      </c>
      <c r="BQ161" s="230">
        <v>1270</v>
      </c>
      <c r="BR161" s="230">
        <v>3114</v>
      </c>
      <c r="BS161" s="230">
        <v>-1844</v>
      </c>
      <c r="BT161" s="229">
        <v>-0.59230000000000005</v>
      </c>
      <c r="BU161" s="230">
        <v>8396699</v>
      </c>
      <c r="BV161" s="230">
        <v>20651418</v>
      </c>
      <c r="BW161" s="230">
        <v>-12254719</v>
      </c>
      <c r="BX161" s="229">
        <v>-0.59340000000000004</v>
      </c>
      <c r="BY161" s="230">
        <v>3009</v>
      </c>
      <c r="BZ161" s="230">
        <v>2983</v>
      </c>
      <c r="CA161" s="228">
        <v>26</v>
      </c>
      <c r="CB161" s="229">
        <v>8.6999999999999994E-3</v>
      </c>
      <c r="CC161" s="230">
        <v>2925</v>
      </c>
      <c r="CD161" s="230">
        <v>2901</v>
      </c>
      <c r="CE161" s="228">
        <v>25</v>
      </c>
      <c r="CF161" s="229">
        <v>8.5000000000000006E-3</v>
      </c>
      <c r="CG161" s="228">
        <v>81</v>
      </c>
      <c r="CH161" s="228">
        <v>80</v>
      </c>
      <c r="CI161" s="228">
        <v>1</v>
      </c>
      <c r="CJ161" s="229">
        <v>1.12E-2</v>
      </c>
      <c r="CK161" s="228">
        <v>2</v>
      </c>
      <c r="CL161" s="228">
        <v>2</v>
      </c>
      <c r="CM161" s="228">
        <v>0</v>
      </c>
      <c r="CN161" s="229">
        <v>0.21049999999999999</v>
      </c>
      <c r="CO161" s="228">
        <v>697</v>
      </c>
      <c r="CP161" s="228">
        <v>643</v>
      </c>
      <c r="CQ161" s="228">
        <v>54</v>
      </c>
      <c r="CR161" s="229">
        <v>8.3599999999999994E-2</v>
      </c>
      <c r="CS161" s="228">
        <v>710</v>
      </c>
      <c r="CT161" s="228">
        <v>659</v>
      </c>
      <c r="CU161" s="228">
        <v>51</v>
      </c>
      <c r="CV161" s="229">
        <v>7.7899999999999997E-2</v>
      </c>
      <c r="CW161" s="230">
        <v>4416</v>
      </c>
      <c r="CX161" s="230">
        <v>4285</v>
      </c>
      <c r="CY161" s="228">
        <v>131</v>
      </c>
      <c r="CZ161" s="229">
        <v>3.0599999999999999E-2</v>
      </c>
      <c r="DA161" s="228">
        <v>25.27</v>
      </c>
      <c r="DB161" s="228">
        <v>25.37</v>
      </c>
      <c r="DC161" s="228">
        <v>-0.1</v>
      </c>
      <c r="DD161" s="228">
        <v>-0.1</v>
      </c>
      <c r="DE161" s="228">
        <v>35.17</v>
      </c>
      <c r="DF161" s="228">
        <v>35.26</v>
      </c>
      <c r="DG161" s="228">
        <v>-9.9</v>
      </c>
      <c r="DH161" s="228">
        <v>-0.09</v>
      </c>
      <c r="DI161" s="228">
        <v>25.14</v>
      </c>
      <c r="DJ161" s="228">
        <v>24.94</v>
      </c>
      <c r="DK161" s="228">
        <v>0.2</v>
      </c>
      <c r="DL161" s="228">
        <v>0.2</v>
      </c>
      <c r="DM161" s="228">
        <v>25.43</v>
      </c>
      <c r="DN161" s="228">
        <v>25.91</v>
      </c>
      <c r="DO161" s="228">
        <v>-0.48</v>
      </c>
      <c r="DP161" s="228">
        <v>-0.48</v>
      </c>
      <c r="DQ161" s="228">
        <v>1.02</v>
      </c>
      <c r="DR161" s="228">
        <v>1.02</v>
      </c>
      <c r="DS161" s="228">
        <v>0</v>
      </c>
      <c r="DT161" s="229">
        <v>0</v>
      </c>
      <c r="DU161" s="228">
        <v>130</v>
      </c>
      <c r="DV161" s="228">
        <v>120</v>
      </c>
      <c r="DW161" s="228">
        <v>0.75</v>
      </c>
      <c r="DX161" s="228">
        <v>0.79</v>
      </c>
      <c r="DY161" s="228">
        <v>-0.04</v>
      </c>
      <c r="DZ161" s="229">
        <v>-5.0599999999999999E-2</v>
      </c>
      <c r="EA161" s="229">
        <v>2.7799999999999998E-2</v>
      </c>
      <c r="EB161" s="230">
        <v>6608000</v>
      </c>
      <c r="EC161" s="229">
        <v>6.1999999999999998E-3</v>
      </c>
      <c r="ED161" s="229">
        <v>2.7799999999999998E-2</v>
      </c>
      <c r="EE161" s="228">
        <v>0.66</v>
      </c>
      <c r="EF161" s="229">
        <v>5.3E-3</v>
      </c>
      <c r="EG161" s="230">
        <v>2588214</v>
      </c>
      <c r="EH161" s="230">
        <v>8100574</v>
      </c>
      <c r="EI161" s="229">
        <v>-0.68049999999999999</v>
      </c>
      <c r="EJ161" s="229">
        <v>0.30819999999999997</v>
      </c>
      <c r="EK161" s="228">
        <v>527.82000000000005</v>
      </c>
      <c r="EL161" s="228">
        <v>372.27</v>
      </c>
      <c r="EM161" s="228">
        <v>385.19</v>
      </c>
      <c r="EN161" s="228">
        <v>163.38999999999999</v>
      </c>
      <c r="EO161" s="231">
        <v>1285.27</v>
      </c>
      <c r="EP161" s="231">
        <v>3142.27</v>
      </c>
      <c r="EQ161" s="231">
        <v>-1857</v>
      </c>
      <c r="ER161" s="229">
        <v>-0.59099999999999997</v>
      </c>
      <c r="ES161" s="228">
        <v>710.27</v>
      </c>
      <c r="ET161" s="228">
        <v>672.93</v>
      </c>
      <c r="EU161" s="231">
        <v>3009.48</v>
      </c>
      <c r="EV161" s="231">
        <v>515822637</v>
      </c>
      <c r="EW161" s="231">
        <v>4392.68</v>
      </c>
      <c r="EX161" s="231">
        <v>4255.4799999999996</v>
      </c>
      <c r="EY161" s="228">
        <v>137.19999999999999</v>
      </c>
      <c r="EZ161" s="229">
        <v>3.2199999999999999E-2</v>
      </c>
      <c r="FA161" s="229">
        <v>0.68679999999999997</v>
      </c>
      <c r="FB161" s="227" t="s">
        <v>555</v>
      </c>
      <c r="FC161">
        <f t="shared" si="3"/>
        <v>0</v>
      </c>
    </row>
    <row r="162" spans="1:159" ht="17.25" thickBot="1" x14ac:dyDescent="0.3">
      <c r="A162" s="226">
        <v>46023</v>
      </c>
      <c r="B162" s="227" t="s">
        <v>175</v>
      </c>
      <c r="C162" s="227" t="s">
        <v>670</v>
      </c>
      <c r="D162" s="228">
        <v>650</v>
      </c>
      <c r="E162" s="228">
        <v>26</v>
      </c>
      <c r="F162" s="228">
        <v>990.35</v>
      </c>
      <c r="G162" s="228">
        <v>956.2</v>
      </c>
      <c r="H162" s="228">
        <v>34.15</v>
      </c>
      <c r="I162" s="229">
        <v>3.5700000000000003E-2</v>
      </c>
      <c r="J162" s="228">
        <v>986.6</v>
      </c>
      <c r="K162" s="228">
        <v>951.5</v>
      </c>
      <c r="L162" s="228">
        <v>35.1</v>
      </c>
      <c r="M162" s="229">
        <v>3.6900000000000002E-2</v>
      </c>
      <c r="N162" s="228">
        <v>990.35</v>
      </c>
      <c r="O162" s="228">
        <v>956.2</v>
      </c>
      <c r="P162" s="228">
        <v>34.15</v>
      </c>
      <c r="Q162" s="229">
        <v>3.5700000000000003E-2</v>
      </c>
      <c r="R162" s="228">
        <v>994.25</v>
      </c>
      <c r="S162" s="228">
        <v>964.05</v>
      </c>
      <c r="T162" s="228">
        <v>30.2</v>
      </c>
      <c r="U162" s="229">
        <v>3.1300000000000001E-2</v>
      </c>
      <c r="V162" s="231">
        <v>1005.2</v>
      </c>
      <c r="W162" s="228">
        <v>966.8</v>
      </c>
      <c r="X162" s="228">
        <v>38.4</v>
      </c>
      <c r="Y162" s="229">
        <v>3.9699999999999999E-2</v>
      </c>
      <c r="Z162" s="228">
        <v>3.75</v>
      </c>
      <c r="AA162" s="228">
        <v>4.7</v>
      </c>
      <c r="AB162" s="228">
        <v>-0.95</v>
      </c>
      <c r="AC162" s="229">
        <v>3.8E-3</v>
      </c>
      <c r="AD162" s="228">
        <v>3.75</v>
      </c>
      <c r="AE162" s="228">
        <v>4.7</v>
      </c>
      <c r="AF162" s="228">
        <v>-0.95</v>
      </c>
      <c r="AG162" s="229">
        <v>3.8E-3</v>
      </c>
      <c r="AH162" s="228">
        <v>7.65</v>
      </c>
      <c r="AI162" s="228">
        <v>12.55</v>
      </c>
      <c r="AJ162" s="228">
        <v>-4.9000000000000004</v>
      </c>
      <c r="AK162" s="229">
        <v>7.7999999999999996E-3</v>
      </c>
      <c r="AL162" s="228">
        <v>18.600000000000001</v>
      </c>
      <c r="AM162" s="228">
        <v>15.3</v>
      </c>
      <c r="AN162" s="228">
        <v>3.3</v>
      </c>
      <c r="AO162" s="229">
        <v>1.89E-2</v>
      </c>
      <c r="AP162" s="228">
        <v>986.26</v>
      </c>
      <c r="AQ162" s="228">
        <v>988.79</v>
      </c>
      <c r="AR162" s="228">
        <v>0</v>
      </c>
      <c r="AS162" s="228">
        <v>445</v>
      </c>
      <c r="AT162" s="228">
        <v>140</v>
      </c>
      <c r="AU162" s="228">
        <v>305</v>
      </c>
      <c r="AV162" s="229">
        <v>2.1827000000000001</v>
      </c>
      <c r="AW162" s="228">
        <v>433</v>
      </c>
      <c r="AX162" s="228">
        <v>136</v>
      </c>
      <c r="AY162" s="228">
        <v>297</v>
      </c>
      <c r="AZ162" s="229">
        <v>2.1796000000000002</v>
      </c>
      <c r="BA162" s="228">
        <v>11</v>
      </c>
      <c r="BB162" s="228">
        <v>4</v>
      </c>
      <c r="BC162" s="228">
        <v>7</v>
      </c>
      <c r="BD162" s="229">
        <v>2.0909</v>
      </c>
      <c r="BE162" s="228">
        <v>1</v>
      </c>
      <c r="BF162" s="228">
        <v>0</v>
      </c>
      <c r="BG162" s="228">
        <v>1</v>
      </c>
      <c r="BH162" s="229">
        <v>8</v>
      </c>
      <c r="BI162" s="230">
        <v>1455</v>
      </c>
      <c r="BJ162" s="228">
        <v>158</v>
      </c>
      <c r="BK162" s="230">
        <v>1297</v>
      </c>
      <c r="BL162" s="229">
        <v>8.1893999999999991</v>
      </c>
      <c r="BM162" s="228">
        <v>364</v>
      </c>
      <c r="BN162" s="228">
        <v>61</v>
      </c>
      <c r="BO162" s="228">
        <v>303</v>
      </c>
      <c r="BP162" s="229">
        <v>4.9443000000000001</v>
      </c>
      <c r="BQ162" s="230">
        <v>2264</v>
      </c>
      <c r="BR162" s="228">
        <v>359</v>
      </c>
      <c r="BS162" s="230">
        <v>1905</v>
      </c>
      <c r="BT162" s="229">
        <v>5.2991999999999999</v>
      </c>
      <c r="BU162" s="230">
        <v>3907019</v>
      </c>
      <c r="BV162" s="230">
        <v>535090</v>
      </c>
      <c r="BW162" s="230">
        <v>3371929</v>
      </c>
      <c r="BX162" s="229">
        <v>6.3015999999999996</v>
      </c>
      <c r="BY162" s="230">
        <v>1536</v>
      </c>
      <c r="BZ162" s="230">
        <v>1554</v>
      </c>
      <c r="CA162" s="228">
        <v>-18</v>
      </c>
      <c r="CB162" s="229">
        <v>-1.1599999999999999E-2</v>
      </c>
      <c r="CC162" s="230">
        <v>1525</v>
      </c>
      <c r="CD162" s="230">
        <v>1544</v>
      </c>
      <c r="CE162" s="228">
        <v>-19</v>
      </c>
      <c r="CF162" s="229">
        <v>-1.2500000000000001E-2</v>
      </c>
      <c r="CG162" s="228">
        <v>10</v>
      </c>
      <c r="CH162" s="228">
        <v>10</v>
      </c>
      <c r="CI162" s="228">
        <v>0</v>
      </c>
      <c r="CJ162" s="229">
        <v>3.2500000000000001E-2</v>
      </c>
      <c r="CK162" s="228">
        <v>1</v>
      </c>
      <c r="CL162" s="228">
        <v>0</v>
      </c>
      <c r="CM162" s="228">
        <v>1</v>
      </c>
      <c r="CN162" s="229">
        <v>7.5</v>
      </c>
      <c r="CO162" s="228">
        <v>285</v>
      </c>
      <c r="CP162" s="228">
        <v>220</v>
      </c>
      <c r="CQ162" s="228">
        <v>65</v>
      </c>
      <c r="CR162" s="229">
        <v>0.29620000000000002</v>
      </c>
      <c r="CS162" s="228">
        <v>183</v>
      </c>
      <c r="CT162" s="228">
        <v>133</v>
      </c>
      <c r="CU162" s="228">
        <v>50</v>
      </c>
      <c r="CV162" s="229">
        <v>0.37480000000000002</v>
      </c>
      <c r="CW162" s="230">
        <v>2004</v>
      </c>
      <c r="CX162" s="230">
        <v>1907</v>
      </c>
      <c r="CY162" s="228">
        <v>97</v>
      </c>
      <c r="CZ162" s="229">
        <v>5.0700000000000002E-2</v>
      </c>
      <c r="DA162" s="228">
        <v>29.56</v>
      </c>
      <c r="DB162" s="228">
        <v>30.45</v>
      </c>
      <c r="DC162" s="228">
        <v>-0.89</v>
      </c>
      <c r="DD162" s="228">
        <v>-0.89</v>
      </c>
      <c r="DE162" s="228">
        <v>46.12</v>
      </c>
      <c r="DF162" s="228">
        <v>45.97</v>
      </c>
      <c r="DG162" s="228">
        <v>-16.559999999999999</v>
      </c>
      <c r="DH162" s="228">
        <v>0.15</v>
      </c>
      <c r="DI162" s="228">
        <v>29.5</v>
      </c>
      <c r="DJ162" s="228">
        <v>30.35</v>
      </c>
      <c r="DK162" s="228">
        <v>-0.85</v>
      </c>
      <c r="DL162" s="228">
        <v>-0.85</v>
      </c>
      <c r="DM162" s="228">
        <v>29.8</v>
      </c>
      <c r="DN162" s="228">
        <v>30.71</v>
      </c>
      <c r="DO162" s="228">
        <v>-0.91</v>
      </c>
      <c r="DP162" s="228">
        <v>-0.91</v>
      </c>
      <c r="DQ162" s="228">
        <v>0.64</v>
      </c>
      <c r="DR162" s="228">
        <v>0.61</v>
      </c>
      <c r="DS162" s="228">
        <v>0.03</v>
      </c>
      <c r="DT162" s="229">
        <v>4.9200000000000001E-2</v>
      </c>
      <c r="DU162" s="231">
        <v>1000</v>
      </c>
      <c r="DV162" s="228">
        <v>950</v>
      </c>
      <c r="DW162" s="228">
        <v>0.25</v>
      </c>
      <c r="DX162" s="228">
        <v>0.39</v>
      </c>
      <c r="DY162" s="228">
        <v>-0.14000000000000001</v>
      </c>
      <c r="DZ162" s="229">
        <v>-0.35899999999999999</v>
      </c>
      <c r="EA162" s="229">
        <v>7.4000000000000003E-3</v>
      </c>
      <c r="EB162" s="230">
        <v>101400</v>
      </c>
      <c r="EC162" s="229">
        <v>3.8999999999999998E-3</v>
      </c>
      <c r="ED162" s="229">
        <v>7.4000000000000003E-3</v>
      </c>
      <c r="EE162" s="228">
        <v>2.5299999999999998</v>
      </c>
      <c r="EF162" s="229">
        <v>2.5999999999999999E-3</v>
      </c>
      <c r="EG162" s="230">
        <v>1330318</v>
      </c>
      <c r="EH162" s="230">
        <v>243213</v>
      </c>
      <c r="EI162" s="229">
        <v>4.4698000000000002</v>
      </c>
      <c r="EJ162" s="229">
        <v>0.34050000000000002</v>
      </c>
      <c r="EK162" s="231">
        <v>1513.15</v>
      </c>
      <c r="EL162" s="228">
        <v>355.26</v>
      </c>
      <c r="EM162" s="228">
        <v>443.4</v>
      </c>
      <c r="EN162" s="228">
        <v>113.23</v>
      </c>
      <c r="EO162" s="231">
        <v>2311.81</v>
      </c>
      <c r="EP162" s="228">
        <v>352.3</v>
      </c>
      <c r="EQ162" s="231">
        <v>1959.51</v>
      </c>
      <c r="ER162" s="229">
        <v>5.5620000000000003</v>
      </c>
      <c r="ES162" s="228">
        <v>287.45</v>
      </c>
      <c r="ET162" s="228">
        <v>172</v>
      </c>
      <c r="EU162" s="231">
        <v>1536.31</v>
      </c>
      <c r="EV162" s="231">
        <v>28118603</v>
      </c>
      <c r="EW162" s="231">
        <v>1995.76</v>
      </c>
      <c r="EX162" s="231">
        <v>1840.9</v>
      </c>
      <c r="EY162" s="228">
        <v>154.86000000000001</v>
      </c>
      <c r="EZ162" s="229">
        <v>8.4099999999999994E-2</v>
      </c>
      <c r="FA162" s="229">
        <v>0.71950000000000003</v>
      </c>
      <c r="FB162" s="227" t="s">
        <v>556</v>
      </c>
      <c r="FC162">
        <f t="shared" si="3"/>
        <v>0</v>
      </c>
    </row>
    <row r="163" spans="1:159" ht="17.25" thickBot="1" x14ac:dyDescent="0.3">
      <c r="A163" s="226">
        <v>46023</v>
      </c>
      <c r="B163" s="227" t="s">
        <v>615</v>
      </c>
      <c r="C163" s="227" t="s">
        <v>573</v>
      </c>
      <c r="D163" s="228">
        <v>350</v>
      </c>
      <c r="E163" s="228">
        <v>26</v>
      </c>
      <c r="F163" s="231">
        <v>1818.3</v>
      </c>
      <c r="G163" s="231">
        <v>1836.6</v>
      </c>
      <c r="H163" s="228">
        <v>-18.3</v>
      </c>
      <c r="I163" s="229">
        <v>-0.01</v>
      </c>
      <c r="J163" s="231">
        <v>1805.8</v>
      </c>
      <c r="K163" s="231">
        <v>1825.6</v>
      </c>
      <c r="L163" s="228">
        <v>-19.8</v>
      </c>
      <c r="M163" s="229">
        <v>-1.0800000000000001E-2</v>
      </c>
      <c r="N163" s="231">
        <v>1818.3</v>
      </c>
      <c r="O163" s="231">
        <v>1836.6</v>
      </c>
      <c r="P163" s="228">
        <v>-18.3</v>
      </c>
      <c r="Q163" s="229">
        <v>-0.01</v>
      </c>
      <c r="R163" s="231">
        <v>1827.6</v>
      </c>
      <c r="S163" s="231">
        <v>1846.9</v>
      </c>
      <c r="T163" s="228">
        <v>-19.3</v>
      </c>
      <c r="U163" s="229">
        <v>-1.04E-2</v>
      </c>
      <c r="V163" s="231">
        <v>1858</v>
      </c>
      <c r="W163" s="231">
        <v>1858</v>
      </c>
      <c r="X163" s="228">
        <v>0</v>
      </c>
      <c r="Y163" s="229">
        <v>0</v>
      </c>
      <c r="Z163" s="228">
        <v>12.5</v>
      </c>
      <c r="AA163" s="228">
        <v>11</v>
      </c>
      <c r="AB163" s="228">
        <v>1.5</v>
      </c>
      <c r="AC163" s="229">
        <v>6.8999999999999999E-3</v>
      </c>
      <c r="AD163" s="228">
        <v>12.5</v>
      </c>
      <c r="AE163" s="228">
        <v>11</v>
      </c>
      <c r="AF163" s="228">
        <v>1.5</v>
      </c>
      <c r="AG163" s="229">
        <v>6.8999999999999999E-3</v>
      </c>
      <c r="AH163" s="228">
        <v>21.8</v>
      </c>
      <c r="AI163" s="228">
        <v>21.3</v>
      </c>
      <c r="AJ163" s="228">
        <v>0.5</v>
      </c>
      <c r="AK163" s="229">
        <v>1.21E-2</v>
      </c>
      <c r="AL163" s="228">
        <v>52.2</v>
      </c>
      <c r="AM163" s="228">
        <v>32.4</v>
      </c>
      <c r="AN163" s="228">
        <v>19.8</v>
      </c>
      <c r="AO163" s="229">
        <v>2.8899999999999999E-2</v>
      </c>
      <c r="AP163" s="231">
        <v>1829.36</v>
      </c>
      <c r="AQ163" s="231">
        <v>1842.25</v>
      </c>
      <c r="AR163" s="228">
        <v>0</v>
      </c>
      <c r="AS163" s="228">
        <v>250</v>
      </c>
      <c r="AT163" s="228">
        <v>270</v>
      </c>
      <c r="AU163" s="228">
        <v>-20</v>
      </c>
      <c r="AV163" s="229">
        <v>-7.3599999999999999E-2</v>
      </c>
      <c r="AW163" s="228">
        <v>244</v>
      </c>
      <c r="AX163" s="228">
        <v>263</v>
      </c>
      <c r="AY163" s="228">
        <v>-19</v>
      </c>
      <c r="AZ163" s="229">
        <v>-7.1599999999999997E-2</v>
      </c>
      <c r="BA163" s="228">
        <v>5</v>
      </c>
      <c r="BB163" s="228">
        <v>6</v>
      </c>
      <c r="BC163" s="228">
        <v>-1</v>
      </c>
      <c r="BD163" s="229">
        <v>-0.1489</v>
      </c>
      <c r="BE163" s="228">
        <v>0</v>
      </c>
      <c r="BF163" s="228">
        <v>1</v>
      </c>
      <c r="BG163" s="228">
        <v>0</v>
      </c>
      <c r="BH163" s="229">
        <v>-0.22220000000000001</v>
      </c>
      <c r="BI163" s="228">
        <v>400</v>
      </c>
      <c r="BJ163" s="228">
        <v>431</v>
      </c>
      <c r="BK163" s="228">
        <v>-31</v>
      </c>
      <c r="BL163" s="229">
        <v>-7.1099999999999997E-2</v>
      </c>
      <c r="BM163" s="228">
        <v>456</v>
      </c>
      <c r="BN163" s="228">
        <v>472</v>
      </c>
      <c r="BO163" s="228">
        <v>-16</v>
      </c>
      <c r="BP163" s="229">
        <v>-3.3599999999999998E-2</v>
      </c>
      <c r="BQ163" s="230">
        <v>1106</v>
      </c>
      <c r="BR163" s="230">
        <v>1173</v>
      </c>
      <c r="BS163" s="228">
        <v>-66</v>
      </c>
      <c r="BT163" s="229">
        <v>-5.6599999999999998E-2</v>
      </c>
      <c r="BU163" s="230">
        <v>456387</v>
      </c>
      <c r="BV163" s="230">
        <v>820571</v>
      </c>
      <c r="BW163" s="230">
        <v>-364184</v>
      </c>
      <c r="BX163" s="229">
        <v>-0.44379999999999997</v>
      </c>
      <c r="BY163" s="230">
        <v>1102</v>
      </c>
      <c r="BZ163" s="230">
        <v>1094</v>
      </c>
      <c r="CA163" s="228">
        <v>8</v>
      </c>
      <c r="CB163" s="229">
        <v>7.7000000000000002E-3</v>
      </c>
      <c r="CC163" s="230">
        <v>1096</v>
      </c>
      <c r="CD163" s="230">
        <v>1088</v>
      </c>
      <c r="CE163" s="228">
        <v>8</v>
      </c>
      <c r="CF163" s="229">
        <v>7.4000000000000003E-3</v>
      </c>
      <c r="CG163" s="228">
        <v>5</v>
      </c>
      <c r="CH163" s="228">
        <v>5</v>
      </c>
      <c r="CI163" s="228">
        <v>0</v>
      </c>
      <c r="CJ163" s="229">
        <v>0</v>
      </c>
      <c r="CK163" s="228">
        <v>1</v>
      </c>
      <c r="CL163" s="228">
        <v>1</v>
      </c>
      <c r="CM163" s="228">
        <v>0</v>
      </c>
      <c r="CN163" s="229">
        <v>0.55559999999999998</v>
      </c>
      <c r="CO163" s="228">
        <v>195</v>
      </c>
      <c r="CP163" s="228">
        <v>161</v>
      </c>
      <c r="CQ163" s="228">
        <v>34</v>
      </c>
      <c r="CR163" s="229">
        <v>0.2112</v>
      </c>
      <c r="CS163" s="228">
        <v>155</v>
      </c>
      <c r="CT163" s="228">
        <v>123</v>
      </c>
      <c r="CU163" s="228">
        <v>33</v>
      </c>
      <c r="CV163" s="229">
        <v>0.26600000000000001</v>
      </c>
      <c r="CW163" s="230">
        <v>1452</v>
      </c>
      <c r="CX163" s="230">
        <v>1377</v>
      </c>
      <c r="CY163" s="228">
        <v>75</v>
      </c>
      <c r="CZ163" s="229">
        <v>5.4399999999999997E-2</v>
      </c>
      <c r="DA163" s="228">
        <v>29.94</v>
      </c>
      <c r="DB163" s="228">
        <v>29.99</v>
      </c>
      <c r="DC163" s="228">
        <v>-0.05</v>
      </c>
      <c r="DD163" s="228">
        <v>-0.05</v>
      </c>
      <c r="DE163" s="228">
        <v>46.44</v>
      </c>
      <c r="DF163" s="228">
        <v>46.53</v>
      </c>
      <c r="DG163" s="228">
        <v>-16.5</v>
      </c>
      <c r="DH163" s="228">
        <v>-0.09</v>
      </c>
      <c r="DI163" s="228">
        <v>29.87</v>
      </c>
      <c r="DJ163" s="228">
        <v>29.49</v>
      </c>
      <c r="DK163" s="228">
        <v>0.38</v>
      </c>
      <c r="DL163" s="228">
        <v>0.38</v>
      </c>
      <c r="DM163" s="228">
        <v>30</v>
      </c>
      <c r="DN163" s="228">
        <v>30.45</v>
      </c>
      <c r="DO163" s="228">
        <v>-0.45</v>
      </c>
      <c r="DP163" s="228">
        <v>-0.45</v>
      </c>
      <c r="DQ163" s="228">
        <v>0.8</v>
      </c>
      <c r="DR163" s="228">
        <v>0.76</v>
      </c>
      <c r="DS163" s="228">
        <v>0.04</v>
      </c>
      <c r="DT163" s="229">
        <v>5.2600000000000001E-2</v>
      </c>
      <c r="DU163" s="231">
        <v>1900</v>
      </c>
      <c r="DV163" s="231">
        <v>1740</v>
      </c>
      <c r="DW163" s="228">
        <v>1.1399999999999999</v>
      </c>
      <c r="DX163" s="228">
        <v>1.1000000000000001</v>
      </c>
      <c r="DY163" s="228">
        <v>0.04</v>
      </c>
      <c r="DZ163" s="229">
        <v>3.6400000000000002E-2</v>
      </c>
      <c r="EA163" s="229">
        <v>5.7999999999999996E-3</v>
      </c>
      <c r="EB163" s="230">
        <v>33250</v>
      </c>
      <c r="EC163" s="229">
        <v>5.1000000000000004E-3</v>
      </c>
      <c r="ED163" s="229">
        <v>5.7999999999999996E-3</v>
      </c>
      <c r="EE163" s="228">
        <v>12.89</v>
      </c>
      <c r="EF163" s="229">
        <v>7.0000000000000001E-3</v>
      </c>
      <c r="EG163" s="230">
        <v>100067</v>
      </c>
      <c r="EH163" s="230">
        <v>355263</v>
      </c>
      <c r="EI163" s="229">
        <v>-0.71830000000000005</v>
      </c>
      <c r="EJ163" s="229">
        <v>0.21929999999999999</v>
      </c>
      <c r="EK163" s="228">
        <v>423.71</v>
      </c>
      <c r="EL163" s="228">
        <v>456.31</v>
      </c>
      <c r="EM163" s="228">
        <v>251.35</v>
      </c>
      <c r="EN163" s="228">
        <v>99.67</v>
      </c>
      <c r="EO163" s="231">
        <v>1131.3599999999999</v>
      </c>
      <c r="EP163" s="231">
        <v>1207.58</v>
      </c>
      <c r="EQ163" s="228">
        <v>-76.22</v>
      </c>
      <c r="ER163" s="229">
        <v>-6.3100000000000003E-2</v>
      </c>
      <c r="ES163" s="228">
        <v>207.24</v>
      </c>
      <c r="ET163" s="228">
        <v>151.81</v>
      </c>
      <c r="EU163" s="231">
        <v>1102.49</v>
      </c>
      <c r="EV163" s="231">
        <v>60642005</v>
      </c>
      <c r="EW163" s="231">
        <v>1461.54</v>
      </c>
      <c r="EX163" s="231">
        <v>1397.42</v>
      </c>
      <c r="EY163" s="228">
        <v>64.12</v>
      </c>
      <c r="EZ163" s="229">
        <v>4.5900000000000003E-2</v>
      </c>
      <c r="FA163" s="229">
        <v>0.13170000000000001</v>
      </c>
      <c r="FB163" s="227" t="s">
        <v>567</v>
      </c>
      <c r="FC163">
        <f t="shared" si="3"/>
        <v>0</v>
      </c>
    </row>
    <row r="164" spans="1:159" ht="17.25" thickBot="1" x14ac:dyDescent="0.3">
      <c r="A164" s="226">
        <v>46023</v>
      </c>
      <c r="B164" s="227" t="s">
        <v>184</v>
      </c>
      <c r="C164" s="227" t="s">
        <v>519</v>
      </c>
      <c r="D164" s="228">
        <v>125</v>
      </c>
      <c r="E164" s="228">
        <v>26</v>
      </c>
      <c r="F164" s="231">
        <v>7718.5</v>
      </c>
      <c r="G164" s="231">
        <v>7668</v>
      </c>
      <c r="H164" s="228">
        <v>50.5</v>
      </c>
      <c r="I164" s="229">
        <v>6.6E-3</v>
      </c>
      <c r="J164" s="231">
        <v>7673</v>
      </c>
      <c r="K164" s="231">
        <v>7619</v>
      </c>
      <c r="L164" s="228">
        <v>54</v>
      </c>
      <c r="M164" s="229">
        <v>7.1000000000000004E-3</v>
      </c>
      <c r="N164" s="231">
        <v>7718.5</v>
      </c>
      <c r="O164" s="231">
        <v>7668</v>
      </c>
      <c r="P164" s="228">
        <v>50.5</v>
      </c>
      <c r="Q164" s="229">
        <v>6.6E-3</v>
      </c>
      <c r="R164" s="231">
        <v>7763</v>
      </c>
      <c r="S164" s="231">
        <v>7716</v>
      </c>
      <c r="T164" s="228">
        <v>47</v>
      </c>
      <c r="U164" s="229">
        <v>6.1000000000000004E-3</v>
      </c>
      <c r="V164" s="231">
        <v>7810</v>
      </c>
      <c r="W164" s="231">
        <v>7750</v>
      </c>
      <c r="X164" s="228">
        <v>60</v>
      </c>
      <c r="Y164" s="229">
        <v>7.7000000000000002E-3</v>
      </c>
      <c r="Z164" s="228">
        <v>45.5</v>
      </c>
      <c r="AA164" s="228">
        <v>49</v>
      </c>
      <c r="AB164" s="228">
        <v>-3.5</v>
      </c>
      <c r="AC164" s="229">
        <v>5.8999999999999999E-3</v>
      </c>
      <c r="AD164" s="228">
        <v>45.5</v>
      </c>
      <c r="AE164" s="228">
        <v>49</v>
      </c>
      <c r="AF164" s="228">
        <v>-3.5</v>
      </c>
      <c r="AG164" s="229">
        <v>5.8999999999999999E-3</v>
      </c>
      <c r="AH164" s="228">
        <v>90</v>
      </c>
      <c r="AI164" s="228">
        <v>97</v>
      </c>
      <c r="AJ164" s="228">
        <v>-7</v>
      </c>
      <c r="AK164" s="229">
        <v>1.17E-2</v>
      </c>
      <c r="AL164" s="228">
        <v>137</v>
      </c>
      <c r="AM164" s="228">
        <v>131</v>
      </c>
      <c r="AN164" s="228">
        <v>6</v>
      </c>
      <c r="AO164" s="229">
        <v>1.7899999999999999E-2</v>
      </c>
      <c r="AP164" s="231">
        <v>7655.09</v>
      </c>
      <c r="AQ164" s="231">
        <v>7703.67</v>
      </c>
      <c r="AR164" s="228">
        <v>0</v>
      </c>
      <c r="AS164" s="228">
        <v>216</v>
      </c>
      <c r="AT164" s="228">
        <v>265</v>
      </c>
      <c r="AU164" s="228">
        <v>-49</v>
      </c>
      <c r="AV164" s="229">
        <v>-0.18659999999999999</v>
      </c>
      <c r="AW164" s="228">
        <v>206</v>
      </c>
      <c r="AX164" s="228">
        <v>254</v>
      </c>
      <c r="AY164" s="228">
        <v>-48</v>
      </c>
      <c r="AZ164" s="229">
        <v>-0.189</v>
      </c>
      <c r="BA164" s="228">
        <v>9</v>
      </c>
      <c r="BB164" s="228">
        <v>11</v>
      </c>
      <c r="BC164" s="228">
        <v>-2</v>
      </c>
      <c r="BD164" s="229">
        <v>-0.15040000000000001</v>
      </c>
      <c r="BE164" s="228">
        <v>0</v>
      </c>
      <c r="BF164" s="228">
        <v>0</v>
      </c>
      <c r="BG164" s="228">
        <v>0</v>
      </c>
      <c r="BH164" s="229">
        <v>2</v>
      </c>
      <c r="BI164" s="228">
        <v>783</v>
      </c>
      <c r="BJ164" s="228">
        <v>706</v>
      </c>
      <c r="BK164" s="228">
        <v>77</v>
      </c>
      <c r="BL164" s="229">
        <v>0.10929999999999999</v>
      </c>
      <c r="BM164" s="228">
        <v>409</v>
      </c>
      <c r="BN164" s="228">
        <v>387</v>
      </c>
      <c r="BO164" s="228">
        <v>22</v>
      </c>
      <c r="BP164" s="229">
        <v>5.79E-2</v>
      </c>
      <c r="BQ164" s="230">
        <v>1408</v>
      </c>
      <c r="BR164" s="230">
        <v>1358</v>
      </c>
      <c r="BS164" s="228">
        <v>50</v>
      </c>
      <c r="BT164" s="229">
        <v>3.6900000000000002E-2</v>
      </c>
      <c r="BU164" s="230">
        <v>146790</v>
      </c>
      <c r="BV164" s="230">
        <v>239962</v>
      </c>
      <c r="BW164" s="230">
        <v>-93172</v>
      </c>
      <c r="BX164" s="229">
        <v>-0.38829999999999998</v>
      </c>
      <c r="BY164" s="230">
        <v>2040</v>
      </c>
      <c r="BZ164" s="230">
        <v>2014</v>
      </c>
      <c r="CA164" s="228">
        <v>27</v>
      </c>
      <c r="CB164" s="229">
        <v>1.32E-2</v>
      </c>
      <c r="CC164" s="230">
        <v>2017</v>
      </c>
      <c r="CD164" s="230">
        <v>1992</v>
      </c>
      <c r="CE164" s="228">
        <v>25</v>
      </c>
      <c r="CF164" s="229">
        <v>1.24E-2</v>
      </c>
      <c r="CG164" s="228">
        <v>23</v>
      </c>
      <c r="CH164" s="228">
        <v>22</v>
      </c>
      <c r="CI164" s="228">
        <v>2</v>
      </c>
      <c r="CJ164" s="229">
        <v>7.5899999999999995E-2</v>
      </c>
      <c r="CK164" s="228">
        <v>0</v>
      </c>
      <c r="CL164" s="228">
        <v>0</v>
      </c>
      <c r="CM164" s="228">
        <v>0</v>
      </c>
      <c r="CN164" s="229">
        <v>1</v>
      </c>
      <c r="CO164" s="228">
        <v>268</v>
      </c>
      <c r="CP164" s="228">
        <v>248</v>
      </c>
      <c r="CQ164" s="228">
        <v>19</v>
      </c>
      <c r="CR164" s="229">
        <v>7.8600000000000003E-2</v>
      </c>
      <c r="CS164" s="228">
        <v>196</v>
      </c>
      <c r="CT164" s="228">
        <v>178</v>
      </c>
      <c r="CU164" s="228">
        <v>18</v>
      </c>
      <c r="CV164" s="229">
        <v>0.1019</v>
      </c>
      <c r="CW164" s="230">
        <v>2504</v>
      </c>
      <c r="CX164" s="230">
        <v>2440</v>
      </c>
      <c r="CY164" s="228">
        <v>64</v>
      </c>
      <c r="CZ164" s="229">
        <v>2.63E-2</v>
      </c>
      <c r="DA164" s="228">
        <v>22.57</v>
      </c>
      <c r="DB164" s="228">
        <v>22.15</v>
      </c>
      <c r="DC164" s="228">
        <v>0.42</v>
      </c>
      <c r="DD164" s="228">
        <v>0.42</v>
      </c>
      <c r="DE164" s="228">
        <v>38.56</v>
      </c>
      <c r="DF164" s="228">
        <v>38.65</v>
      </c>
      <c r="DG164" s="228">
        <v>-15.99</v>
      </c>
      <c r="DH164" s="228">
        <v>-0.09</v>
      </c>
      <c r="DI164" s="228">
        <v>21.89</v>
      </c>
      <c r="DJ164" s="228">
        <v>21.76</v>
      </c>
      <c r="DK164" s="228">
        <v>0.13</v>
      </c>
      <c r="DL164" s="228">
        <v>0.13</v>
      </c>
      <c r="DM164" s="228">
        <v>23.87</v>
      </c>
      <c r="DN164" s="228">
        <v>22.87</v>
      </c>
      <c r="DO164" s="228">
        <v>1</v>
      </c>
      <c r="DP164" s="228">
        <v>1</v>
      </c>
      <c r="DQ164" s="228">
        <v>0.73</v>
      </c>
      <c r="DR164" s="228">
        <v>0.72</v>
      </c>
      <c r="DS164" s="228">
        <v>0.01</v>
      </c>
      <c r="DT164" s="229">
        <v>1.3899999999999999E-2</v>
      </c>
      <c r="DU164" s="231">
        <v>8000</v>
      </c>
      <c r="DV164" s="231">
        <v>7000</v>
      </c>
      <c r="DW164" s="228">
        <v>0.52</v>
      </c>
      <c r="DX164" s="228">
        <v>0.55000000000000004</v>
      </c>
      <c r="DY164" s="228">
        <v>-0.03</v>
      </c>
      <c r="DZ164" s="229">
        <v>-5.45E-2</v>
      </c>
      <c r="EA164" s="229">
        <v>1.15E-2</v>
      </c>
      <c r="EB164" s="230">
        <v>28125</v>
      </c>
      <c r="EC164" s="229">
        <v>5.7999999999999996E-3</v>
      </c>
      <c r="ED164" s="229">
        <v>1.15E-2</v>
      </c>
      <c r="EE164" s="228">
        <v>48.58</v>
      </c>
      <c r="EF164" s="229">
        <v>6.3E-3</v>
      </c>
      <c r="EG164" s="230">
        <v>56135</v>
      </c>
      <c r="EH164" s="230">
        <v>148657</v>
      </c>
      <c r="EI164" s="229">
        <v>-0.62239999999999995</v>
      </c>
      <c r="EJ164" s="229">
        <v>0.38240000000000002</v>
      </c>
      <c r="EK164" s="228">
        <v>807.11</v>
      </c>
      <c r="EL164" s="228">
        <v>397.29</v>
      </c>
      <c r="EM164" s="228">
        <v>214.02</v>
      </c>
      <c r="EN164" s="228">
        <v>93.3</v>
      </c>
      <c r="EO164" s="231">
        <v>1418.42</v>
      </c>
      <c r="EP164" s="231">
        <v>1366.3</v>
      </c>
      <c r="EQ164" s="228">
        <v>52.12</v>
      </c>
      <c r="ER164" s="229">
        <v>3.8100000000000002E-2</v>
      </c>
      <c r="ES164" s="228">
        <v>273.18</v>
      </c>
      <c r="ET164" s="228">
        <v>186.59</v>
      </c>
      <c r="EU164" s="231">
        <v>2040.23</v>
      </c>
      <c r="EV164" s="231">
        <v>8688405</v>
      </c>
      <c r="EW164" s="231">
        <v>2500</v>
      </c>
      <c r="EX164" s="231">
        <v>2423.17</v>
      </c>
      <c r="EY164" s="228">
        <v>76.83</v>
      </c>
      <c r="EZ164" s="229">
        <v>3.1699999999999999E-2</v>
      </c>
      <c r="FA164" s="229">
        <v>0.37340000000000001</v>
      </c>
      <c r="FB164" s="227" t="s">
        <v>555</v>
      </c>
      <c r="FC164">
        <f t="shared" si="3"/>
        <v>0</v>
      </c>
    </row>
    <row r="165" spans="1:159" ht="17.25" thickBot="1" x14ac:dyDescent="0.3">
      <c r="A165" s="226">
        <v>46023</v>
      </c>
      <c r="B165" s="227" t="s">
        <v>161</v>
      </c>
      <c r="C165" s="227" t="s">
        <v>276</v>
      </c>
      <c r="D165" s="228">
        <v>1900</v>
      </c>
      <c r="E165" s="228">
        <v>26</v>
      </c>
      <c r="F165" s="228">
        <v>268.45</v>
      </c>
      <c r="G165" s="228">
        <v>265.60000000000002</v>
      </c>
      <c r="H165" s="228">
        <v>2.85</v>
      </c>
      <c r="I165" s="229">
        <v>1.0699999999999999E-2</v>
      </c>
      <c r="J165" s="228">
        <v>266.8</v>
      </c>
      <c r="K165" s="228">
        <v>264.60000000000002</v>
      </c>
      <c r="L165" s="228">
        <v>2.2000000000000002</v>
      </c>
      <c r="M165" s="229">
        <v>8.3000000000000001E-3</v>
      </c>
      <c r="N165" s="228">
        <v>268.45</v>
      </c>
      <c r="O165" s="228">
        <v>265.60000000000002</v>
      </c>
      <c r="P165" s="228">
        <v>2.85</v>
      </c>
      <c r="Q165" s="229">
        <v>1.0699999999999999E-2</v>
      </c>
      <c r="R165" s="228">
        <v>267.2</v>
      </c>
      <c r="S165" s="228">
        <v>264.45</v>
      </c>
      <c r="T165" s="228">
        <v>2.75</v>
      </c>
      <c r="U165" s="229">
        <v>1.04E-2</v>
      </c>
      <c r="V165" s="228">
        <v>268.95</v>
      </c>
      <c r="W165" s="228">
        <v>266.14999999999998</v>
      </c>
      <c r="X165" s="228">
        <v>2.8</v>
      </c>
      <c r="Y165" s="229">
        <v>1.0500000000000001E-2</v>
      </c>
      <c r="Z165" s="228">
        <v>1.65</v>
      </c>
      <c r="AA165" s="228">
        <v>1</v>
      </c>
      <c r="AB165" s="228">
        <v>0.65</v>
      </c>
      <c r="AC165" s="229">
        <v>6.1999999999999998E-3</v>
      </c>
      <c r="AD165" s="228">
        <v>1.65</v>
      </c>
      <c r="AE165" s="228">
        <v>1</v>
      </c>
      <c r="AF165" s="228">
        <v>0.65</v>
      </c>
      <c r="AG165" s="229">
        <v>6.1999999999999998E-3</v>
      </c>
      <c r="AH165" s="228">
        <v>0.4</v>
      </c>
      <c r="AI165" s="228">
        <v>-0.15</v>
      </c>
      <c r="AJ165" s="228">
        <v>0.55000000000000004</v>
      </c>
      <c r="AK165" s="229">
        <v>1.5E-3</v>
      </c>
      <c r="AL165" s="228">
        <v>2.15</v>
      </c>
      <c r="AM165" s="228">
        <v>1.55</v>
      </c>
      <c r="AN165" s="228">
        <v>0.6</v>
      </c>
      <c r="AO165" s="229">
        <v>8.0999999999999996E-3</v>
      </c>
      <c r="AP165" s="228">
        <v>267.39</v>
      </c>
      <c r="AQ165" s="228">
        <v>266.08999999999997</v>
      </c>
      <c r="AR165" s="228">
        <v>0</v>
      </c>
      <c r="AS165" s="228">
        <v>144</v>
      </c>
      <c r="AT165" s="228">
        <v>216</v>
      </c>
      <c r="AU165" s="228">
        <v>-73</v>
      </c>
      <c r="AV165" s="229">
        <v>-0.33629999999999999</v>
      </c>
      <c r="AW165" s="228">
        <v>130</v>
      </c>
      <c r="AX165" s="228">
        <v>200</v>
      </c>
      <c r="AY165" s="228">
        <v>-70</v>
      </c>
      <c r="AZ165" s="229">
        <v>-0.34899999999999998</v>
      </c>
      <c r="BA165" s="228">
        <v>10</v>
      </c>
      <c r="BB165" s="228">
        <v>16</v>
      </c>
      <c r="BC165" s="228">
        <v>-5</v>
      </c>
      <c r="BD165" s="229">
        <v>-0.3377</v>
      </c>
      <c r="BE165" s="228">
        <v>3</v>
      </c>
      <c r="BF165" s="228">
        <v>1</v>
      </c>
      <c r="BG165" s="228">
        <v>2</v>
      </c>
      <c r="BH165" s="229">
        <v>2.4443999999999999</v>
      </c>
      <c r="BI165" s="228">
        <v>461</v>
      </c>
      <c r="BJ165" s="228">
        <v>515</v>
      </c>
      <c r="BK165" s="228">
        <v>-54</v>
      </c>
      <c r="BL165" s="229">
        <v>-0.1052</v>
      </c>
      <c r="BM165" s="228">
        <v>167</v>
      </c>
      <c r="BN165" s="228">
        <v>233</v>
      </c>
      <c r="BO165" s="228">
        <v>-66</v>
      </c>
      <c r="BP165" s="229">
        <v>-0.28360000000000002</v>
      </c>
      <c r="BQ165" s="228">
        <v>771</v>
      </c>
      <c r="BR165" s="228">
        <v>964</v>
      </c>
      <c r="BS165" s="228">
        <v>-193</v>
      </c>
      <c r="BT165" s="229">
        <v>-0.2001</v>
      </c>
      <c r="BU165" s="230">
        <v>4386952</v>
      </c>
      <c r="BV165" s="230">
        <v>5280319</v>
      </c>
      <c r="BW165" s="230">
        <v>-893367</v>
      </c>
      <c r="BX165" s="229">
        <v>-0.16919999999999999</v>
      </c>
      <c r="BY165" s="230">
        <v>2464</v>
      </c>
      <c r="BZ165" s="230">
        <v>2467</v>
      </c>
      <c r="CA165" s="228">
        <v>-3</v>
      </c>
      <c r="CB165" s="229">
        <v>-1.2999999999999999E-3</v>
      </c>
      <c r="CC165" s="230">
        <v>2246</v>
      </c>
      <c r="CD165" s="230">
        <v>2251</v>
      </c>
      <c r="CE165" s="228">
        <v>-5</v>
      </c>
      <c r="CF165" s="229">
        <v>-2.0999999999999999E-3</v>
      </c>
      <c r="CG165" s="228">
        <v>215</v>
      </c>
      <c r="CH165" s="228">
        <v>216</v>
      </c>
      <c r="CI165" s="228">
        <v>-1</v>
      </c>
      <c r="CJ165" s="229">
        <v>-4.0000000000000001E-3</v>
      </c>
      <c r="CK165" s="228">
        <v>3</v>
      </c>
      <c r="CL165" s="228">
        <v>1</v>
      </c>
      <c r="CM165" s="228">
        <v>2</v>
      </c>
      <c r="CN165" s="229">
        <v>2.7059000000000002</v>
      </c>
      <c r="CO165" s="228">
        <v>553</v>
      </c>
      <c r="CP165" s="228">
        <v>470</v>
      </c>
      <c r="CQ165" s="228">
        <v>84</v>
      </c>
      <c r="CR165" s="229">
        <v>0.17829999999999999</v>
      </c>
      <c r="CS165" s="228">
        <v>438</v>
      </c>
      <c r="CT165" s="228">
        <v>415</v>
      </c>
      <c r="CU165" s="228">
        <v>23</v>
      </c>
      <c r="CV165" s="229">
        <v>5.57E-2</v>
      </c>
      <c r="CW165" s="230">
        <v>3455</v>
      </c>
      <c r="CX165" s="230">
        <v>3352</v>
      </c>
      <c r="CY165" s="228">
        <v>104</v>
      </c>
      <c r="CZ165" s="229">
        <v>3.09E-2</v>
      </c>
      <c r="DA165" s="228">
        <v>17.54</v>
      </c>
      <c r="DB165" s="228">
        <v>17.46</v>
      </c>
      <c r="DC165" s="228">
        <v>0.08</v>
      </c>
      <c r="DD165" s="228">
        <v>0.08</v>
      </c>
      <c r="DE165" s="228">
        <v>27.56</v>
      </c>
      <c r="DF165" s="228">
        <v>27.6</v>
      </c>
      <c r="DG165" s="228">
        <v>-10.02</v>
      </c>
      <c r="DH165" s="228">
        <v>-0.04</v>
      </c>
      <c r="DI165" s="228">
        <v>17.12</v>
      </c>
      <c r="DJ165" s="228">
        <v>17.09</v>
      </c>
      <c r="DK165" s="228">
        <v>0.03</v>
      </c>
      <c r="DL165" s="228">
        <v>0.03</v>
      </c>
      <c r="DM165" s="228">
        <v>18.71</v>
      </c>
      <c r="DN165" s="228">
        <v>18.3</v>
      </c>
      <c r="DO165" s="228">
        <v>0.41</v>
      </c>
      <c r="DP165" s="228">
        <v>0.41</v>
      </c>
      <c r="DQ165" s="228">
        <v>0.79</v>
      </c>
      <c r="DR165" s="228">
        <v>0.88</v>
      </c>
      <c r="DS165" s="228">
        <v>-0.09</v>
      </c>
      <c r="DT165" s="229">
        <v>-0.1023</v>
      </c>
      <c r="DU165" s="228">
        <v>270</v>
      </c>
      <c r="DV165" s="228">
        <v>250</v>
      </c>
      <c r="DW165" s="228">
        <v>0.36</v>
      </c>
      <c r="DX165" s="228">
        <v>0.45</v>
      </c>
      <c r="DY165" s="228">
        <v>-0.09</v>
      </c>
      <c r="DZ165" s="229">
        <v>-0.2</v>
      </c>
      <c r="EA165" s="229">
        <v>8.8599999999999998E-2</v>
      </c>
      <c r="EB165" s="230">
        <v>8078800</v>
      </c>
      <c r="EC165" s="229">
        <v>-4.7000000000000002E-3</v>
      </c>
      <c r="ED165" s="229">
        <v>8.8599999999999998E-2</v>
      </c>
      <c r="EE165" s="228">
        <v>-1.3</v>
      </c>
      <c r="EF165" s="229">
        <v>-4.8999999999999998E-3</v>
      </c>
      <c r="EG165" s="230">
        <v>2221820</v>
      </c>
      <c r="EH165" s="230">
        <v>2966769</v>
      </c>
      <c r="EI165" s="229">
        <v>-0.25109999999999999</v>
      </c>
      <c r="EJ165" s="229">
        <v>0.50649999999999995</v>
      </c>
      <c r="EK165" s="228">
        <v>479.38</v>
      </c>
      <c r="EL165" s="228">
        <v>160.52000000000001</v>
      </c>
      <c r="EM165" s="228">
        <v>143.02000000000001</v>
      </c>
      <c r="EN165" s="228">
        <v>162.53</v>
      </c>
      <c r="EO165" s="228">
        <v>782.91</v>
      </c>
      <c r="EP165" s="228">
        <v>963.95</v>
      </c>
      <c r="EQ165" s="228">
        <v>-181.03</v>
      </c>
      <c r="ER165" s="229">
        <v>-0.18779999999999999</v>
      </c>
      <c r="ES165" s="228">
        <v>575.46</v>
      </c>
      <c r="ET165" s="228">
        <v>433.66</v>
      </c>
      <c r="EU165" s="231">
        <v>2463.1799999999998</v>
      </c>
      <c r="EV165" s="231">
        <v>678857930</v>
      </c>
      <c r="EW165" s="231">
        <v>3472.3</v>
      </c>
      <c r="EX165" s="231">
        <v>3337.43</v>
      </c>
      <c r="EY165" s="228">
        <v>134.87</v>
      </c>
      <c r="EZ165" s="229">
        <v>4.0399999999999998E-2</v>
      </c>
      <c r="FA165" s="229">
        <v>0.18959999999999999</v>
      </c>
      <c r="FB165" s="227" t="s">
        <v>556</v>
      </c>
      <c r="FC165">
        <f t="shared" si="3"/>
        <v>0</v>
      </c>
    </row>
    <row r="166" spans="1:159" ht="17.25" thickBot="1" x14ac:dyDescent="0.3">
      <c r="A166" s="226">
        <v>46023</v>
      </c>
      <c r="B166" s="227" t="s">
        <v>184</v>
      </c>
      <c r="C166" s="227" t="s">
        <v>687</v>
      </c>
      <c r="D166" s="228">
        <v>50</v>
      </c>
      <c r="E166" s="228">
        <v>26</v>
      </c>
      <c r="F166" s="231">
        <v>18592</v>
      </c>
      <c r="G166" s="231">
        <v>18390</v>
      </c>
      <c r="H166" s="228">
        <v>202</v>
      </c>
      <c r="I166" s="229">
        <v>1.0999999999999999E-2</v>
      </c>
      <c r="J166" s="231">
        <v>18482</v>
      </c>
      <c r="K166" s="231">
        <v>18310</v>
      </c>
      <c r="L166" s="228">
        <v>172</v>
      </c>
      <c r="M166" s="229">
        <v>9.4000000000000004E-3</v>
      </c>
      <c r="N166" s="231">
        <v>18592</v>
      </c>
      <c r="O166" s="231">
        <v>18390</v>
      </c>
      <c r="P166" s="228">
        <v>202</v>
      </c>
      <c r="Q166" s="229">
        <v>1.0999999999999999E-2</v>
      </c>
      <c r="R166" s="231">
        <v>18686</v>
      </c>
      <c r="S166" s="231">
        <v>18545</v>
      </c>
      <c r="T166" s="228">
        <v>141</v>
      </c>
      <c r="U166" s="229">
        <v>7.6E-3</v>
      </c>
      <c r="V166" s="231">
        <v>18430</v>
      </c>
      <c r="W166" s="231">
        <v>18430</v>
      </c>
      <c r="X166" s="228">
        <v>0</v>
      </c>
      <c r="Y166" s="229">
        <v>0</v>
      </c>
      <c r="Z166" s="228">
        <v>110</v>
      </c>
      <c r="AA166" s="228">
        <v>80</v>
      </c>
      <c r="AB166" s="228">
        <v>30</v>
      </c>
      <c r="AC166" s="229">
        <v>6.0000000000000001E-3</v>
      </c>
      <c r="AD166" s="228">
        <v>110</v>
      </c>
      <c r="AE166" s="228">
        <v>80</v>
      </c>
      <c r="AF166" s="228">
        <v>30</v>
      </c>
      <c r="AG166" s="229">
        <v>6.0000000000000001E-3</v>
      </c>
      <c r="AH166" s="228">
        <v>204</v>
      </c>
      <c r="AI166" s="228">
        <v>235</v>
      </c>
      <c r="AJ166" s="228">
        <v>-31</v>
      </c>
      <c r="AK166" s="229">
        <v>1.0999999999999999E-2</v>
      </c>
      <c r="AL166" s="228">
        <v>-52</v>
      </c>
      <c r="AM166" s="228">
        <v>120</v>
      </c>
      <c r="AN166" s="228">
        <v>-172</v>
      </c>
      <c r="AO166" s="229">
        <v>-2.8E-3</v>
      </c>
      <c r="AP166" s="231">
        <v>18494.009999999998</v>
      </c>
      <c r="AQ166" s="231">
        <v>18532.2</v>
      </c>
      <c r="AR166" s="228">
        <v>0</v>
      </c>
      <c r="AS166" s="228">
        <v>44</v>
      </c>
      <c r="AT166" s="228">
        <v>88</v>
      </c>
      <c r="AU166" s="228">
        <v>-45</v>
      </c>
      <c r="AV166" s="229">
        <v>-0.50419999999999998</v>
      </c>
      <c r="AW166" s="228">
        <v>40</v>
      </c>
      <c r="AX166" s="228">
        <v>83</v>
      </c>
      <c r="AY166" s="228">
        <v>-43</v>
      </c>
      <c r="AZ166" s="229">
        <v>-0.51570000000000005</v>
      </c>
      <c r="BA166" s="228">
        <v>4</v>
      </c>
      <c r="BB166" s="228">
        <v>6</v>
      </c>
      <c r="BC166" s="228">
        <v>-2</v>
      </c>
      <c r="BD166" s="229">
        <v>-0.32790000000000002</v>
      </c>
      <c r="BE166" s="228">
        <v>0</v>
      </c>
      <c r="BF166" s="228">
        <v>0</v>
      </c>
      <c r="BG166" s="228">
        <v>0</v>
      </c>
      <c r="BH166" s="229">
        <v>-1</v>
      </c>
      <c r="BI166" s="228">
        <v>74</v>
      </c>
      <c r="BJ166" s="228">
        <v>136</v>
      </c>
      <c r="BK166" s="228">
        <v>-61</v>
      </c>
      <c r="BL166" s="229">
        <v>-0.45129999999999998</v>
      </c>
      <c r="BM166" s="228">
        <v>24</v>
      </c>
      <c r="BN166" s="228">
        <v>32</v>
      </c>
      <c r="BO166" s="228">
        <v>-8</v>
      </c>
      <c r="BP166" s="229">
        <v>-0.24929999999999999</v>
      </c>
      <c r="BQ166" s="228">
        <v>142</v>
      </c>
      <c r="BR166" s="228">
        <v>256</v>
      </c>
      <c r="BS166" s="228">
        <v>-114</v>
      </c>
      <c r="BT166" s="229">
        <v>-0.44429999999999997</v>
      </c>
      <c r="BU166" s="230">
        <v>38067</v>
      </c>
      <c r="BV166" s="230">
        <v>68817</v>
      </c>
      <c r="BW166" s="230">
        <v>-30750</v>
      </c>
      <c r="BX166" s="229">
        <v>-0.44679999999999997</v>
      </c>
      <c r="BY166" s="228">
        <v>451</v>
      </c>
      <c r="BZ166" s="228">
        <v>446</v>
      </c>
      <c r="CA166" s="228">
        <v>6</v>
      </c>
      <c r="CB166" s="229">
        <v>1.29E-2</v>
      </c>
      <c r="CC166" s="228">
        <v>442</v>
      </c>
      <c r="CD166" s="228">
        <v>437</v>
      </c>
      <c r="CE166" s="228">
        <v>5</v>
      </c>
      <c r="CF166" s="229">
        <v>1.15E-2</v>
      </c>
      <c r="CG166" s="228">
        <v>9</v>
      </c>
      <c r="CH166" s="228">
        <v>8</v>
      </c>
      <c r="CI166" s="228">
        <v>1</v>
      </c>
      <c r="CJ166" s="229">
        <v>8.8900000000000007E-2</v>
      </c>
      <c r="CK166" s="228">
        <v>0</v>
      </c>
      <c r="CL166" s="228">
        <v>0</v>
      </c>
      <c r="CM166" s="228">
        <v>0</v>
      </c>
      <c r="CN166" s="229">
        <v>0</v>
      </c>
      <c r="CO166" s="228">
        <v>123</v>
      </c>
      <c r="CP166" s="228">
        <v>132</v>
      </c>
      <c r="CQ166" s="228">
        <v>-8</v>
      </c>
      <c r="CR166" s="229">
        <v>-6.3500000000000001E-2</v>
      </c>
      <c r="CS166" s="228">
        <v>62</v>
      </c>
      <c r="CT166" s="228">
        <v>58</v>
      </c>
      <c r="CU166" s="228">
        <v>4</v>
      </c>
      <c r="CV166" s="229">
        <v>6.7599999999999993E-2</v>
      </c>
      <c r="CW166" s="228">
        <v>636</v>
      </c>
      <c r="CX166" s="228">
        <v>635</v>
      </c>
      <c r="CY166" s="228">
        <v>1</v>
      </c>
      <c r="CZ166" s="229">
        <v>2E-3</v>
      </c>
      <c r="DA166" s="228">
        <v>32.049999999999997</v>
      </c>
      <c r="DB166" s="228">
        <v>31.79</v>
      </c>
      <c r="DC166" s="228">
        <v>0.26</v>
      </c>
      <c r="DD166" s="228">
        <v>0.26</v>
      </c>
      <c r="DE166" s="228">
        <v>57.39</v>
      </c>
      <c r="DF166" s="228">
        <v>57.52</v>
      </c>
      <c r="DG166" s="228">
        <v>-25.34</v>
      </c>
      <c r="DH166" s="228">
        <v>-0.13</v>
      </c>
      <c r="DI166" s="228">
        <v>32</v>
      </c>
      <c r="DJ166" s="228">
        <v>32.119999999999997</v>
      </c>
      <c r="DK166" s="228">
        <v>-0.12</v>
      </c>
      <c r="DL166" s="228">
        <v>-0.12</v>
      </c>
      <c r="DM166" s="228">
        <v>32.200000000000003</v>
      </c>
      <c r="DN166" s="228">
        <v>30.39</v>
      </c>
      <c r="DO166" s="228">
        <v>1.81</v>
      </c>
      <c r="DP166" s="228">
        <v>1.81</v>
      </c>
      <c r="DQ166" s="228">
        <v>0.5</v>
      </c>
      <c r="DR166" s="228">
        <v>0.44</v>
      </c>
      <c r="DS166" s="228">
        <v>0.06</v>
      </c>
      <c r="DT166" s="229">
        <v>0.13639999999999999</v>
      </c>
      <c r="DU166" s="231">
        <v>21500</v>
      </c>
      <c r="DV166" s="231">
        <v>18000</v>
      </c>
      <c r="DW166" s="228">
        <v>0.32</v>
      </c>
      <c r="DX166" s="228">
        <v>0.24</v>
      </c>
      <c r="DY166" s="228">
        <v>0.08</v>
      </c>
      <c r="DZ166" s="229">
        <v>0.33329999999999999</v>
      </c>
      <c r="EA166" s="229">
        <v>2.0400000000000001E-2</v>
      </c>
      <c r="EB166" s="230">
        <v>4550</v>
      </c>
      <c r="EC166" s="229">
        <v>5.1000000000000004E-3</v>
      </c>
      <c r="ED166" s="229">
        <v>2.0400000000000001E-2</v>
      </c>
      <c r="EE166" s="228">
        <v>38.19</v>
      </c>
      <c r="EF166" s="229">
        <v>2.0999999999999999E-3</v>
      </c>
      <c r="EG166" s="230">
        <v>11235</v>
      </c>
      <c r="EH166" s="230">
        <v>24391</v>
      </c>
      <c r="EI166" s="229">
        <v>-0.53939999999999999</v>
      </c>
      <c r="EJ166" s="229">
        <v>0.29509999999999997</v>
      </c>
      <c r="EK166" s="228">
        <v>79.78</v>
      </c>
      <c r="EL166" s="228">
        <v>23.34</v>
      </c>
      <c r="EM166" s="228">
        <v>43.65</v>
      </c>
      <c r="EN166" s="228">
        <v>31.59</v>
      </c>
      <c r="EO166" s="228">
        <v>146.78</v>
      </c>
      <c r="EP166" s="228">
        <v>262.7</v>
      </c>
      <c r="EQ166" s="228">
        <v>-115.93</v>
      </c>
      <c r="ER166" s="229">
        <v>-0.44130000000000003</v>
      </c>
      <c r="ES166" s="228">
        <v>130.87</v>
      </c>
      <c r="ET166" s="228">
        <v>60.69</v>
      </c>
      <c r="EU166" s="228">
        <v>451.37</v>
      </c>
      <c r="EV166" s="231">
        <v>1917916</v>
      </c>
      <c r="EW166" s="228">
        <v>642.91999999999996</v>
      </c>
      <c r="EX166" s="228">
        <v>638.1</v>
      </c>
      <c r="EY166" s="228">
        <v>4.82</v>
      </c>
      <c r="EZ166" s="229">
        <v>7.6E-3</v>
      </c>
      <c r="FA166" s="229">
        <v>0.17849999999999999</v>
      </c>
      <c r="FB166" s="227" t="s">
        <v>555</v>
      </c>
      <c r="FC166">
        <f t="shared" si="3"/>
        <v>0</v>
      </c>
    </row>
    <row r="167" spans="1:159" ht="17.25" thickBot="1" x14ac:dyDescent="0.3">
      <c r="A167" s="226">
        <v>46023</v>
      </c>
      <c r="B167" s="227" t="s">
        <v>170</v>
      </c>
      <c r="C167" s="227" t="s">
        <v>678</v>
      </c>
      <c r="D167" s="228">
        <v>2625</v>
      </c>
      <c r="E167" s="228">
        <v>26</v>
      </c>
      <c r="F167" s="228">
        <v>171.08</v>
      </c>
      <c r="G167" s="228">
        <v>173.37</v>
      </c>
      <c r="H167" s="228">
        <v>-2.29</v>
      </c>
      <c r="I167" s="229">
        <v>-1.32E-2</v>
      </c>
      <c r="J167" s="228">
        <v>169.88</v>
      </c>
      <c r="K167" s="228">
        <v>172.21</v>
      </c>
      <c r="L167" s="228">
        <v>-2.33</v>
      </c>
      <c r="M167" s="229">
        <v>-1.35E-2</v>
      </c>
      <c r="N167" s="228">
        <v>171.08</v>
      </c>
      <c r="O167" s="228">
        <v>173.37</v>
      </c>
      <c r="P167" s="228">
        <v>-2.29</v>
      </c>
      <c r="Q167" s="229">
        <v>-1.32E-2</v>
      </c>
      <c r="R167" s="228">
        <v>171.8</v>
      </c>
      <c r="S167" s="228">
        <v>174.27</v>
      </c>
      <c r="T167" s="228">
        <v>-2.4700000000000002</v>
      </c>
      <c r="U167" s="229">
        <v>-1.4200000000000001E-2</v>
      </c>
      <c r="V167" s="228">
        <v>172.8</v>
      </c>
      <c r="W167" s="228">
        <v>174.8</v>
      </c>
      <c r="X167" s="228">
        <v>-2</v>
      </c>
      <c r="Y167" s="229">
        <v>-1.14E-2</v>
      </c>
      <c r="Z167" s="228">
        <v>1.2</v>
      </c>
      <c r="AA167" s="228">
        <v>1.1599999999999999</v>
      </c>
      <c r="AB167" s="228">
        <v>0.04</v>
      </c>
      <c r="AC167" s="229">
        <v>7.1000000000000004E-3</v>
      </c>
      <c r="AD167" s="228">
        <v>1.2</v>
      </c>
      <c r="AE167" s="228">
        <v>1.1599999999999999</v>
      </c>
      <c r="AF167" s="228">
        <v>0.04</v>
      </c>
      <c r="AG167" s="229">
        <v>7.1000000000000004E-3</v>
      </c>
      <c r="AH167" s="228">
        <v>1.92</v>
      </c>
      <c r="AI167" s="228">
        <v>2.06</v>
      </c>
      <c r="AJ167" s="228">
        <v>-0.14000000000000001</v>
      </c>
      <c r="AK167" s="229">
        <v>1.1299999999999999E-2</v>
      </c>
      <c r="AL167" s="228">
        <v>2.92</v>
      </c>
      <c r="AM167" s="228">
        <v>2.59</v>
      </c>
      <c r="AN167" s="228">
        <v>0.33</v>
      </c>
      <c r="AO167" s="229">
        <v>1.72E-2</v>
      </c>
      <c r="AP167" s="228">
        <v>171.51</v>
      </c>
      <c r="AQ167" s="228">
        <v>172.62</v>
      </c>
      <c r="AR167" s="228">
        <v>0</v>
      </c>
      <c r="AS167" s="228">
        <v>33</v>
      </c>
      <c r="AT167" s="228">
        <v>41</v>
      </c>
      <c r="AU167" s="228">
        <v>-7</v>
      </c>
      <c r="AV167" s="229">
        <v>-0.17829999999999999</v>
      </c>
      <c r="AW167" s="228">
        <v>31</v>
      </c>
      <c r="AX167" s="228">
        <v>38</v>
      </c>
      <c r="AY167" s="228">
        <v>-7</v>
      </c>
      <c r="AZ167" s="229">
        <v>-0.1953</v>
      </c>
      <c r="BA167" s="228">
        <v>2</v>
      </c>
      <c r="BB167" s="228">
        <v>2</v>
      </c>
      <c r="BC167" s="228">
        <v>0</v>
      </c>
      <c r="BD167" s="229">
        <v>6.1199999999999997E-2</v>
      </c>
      <c r="BE167" s="228">
        <v>0</v>
      </c>
      <c r="BF167" s="228">
        <v>0</v>
      </c>
      <c r="BG167" s="228">
        <v>0</v>
      </c>
      <c r="BH167" s="229">
        <v>0.5</v>
      </c>
      <c r="BI167" s="228">
        <v>40</v>
      </c>
      <c r="BJ167" s="228">
        <v>50</v>
      </c>
      <c r="BK167" s="228">
        <v>-9</v>
      </c>
      <c r="BL167" s="229">
        <v>-0.185</v>
      </c>
      <c r="BM167" s="228">
        <v>19</v>
      </c>
      <c r="BN167" s="228">
        <v>7</v>
      </c>
      <c r="BO167" s="228">
        <v>12</v>
      </c>
      <c r="BP167" s="229">
        <v>1.7467999999999999</v>
      </c>
      <c r="BQ167" s="228">
        <v>93</v>
      </c>
      <c r="BR167" s="228">
        <v>97</v>
      </c>
      <c r="BS167" s="228">
        <v>-4</v>
      </c>
      <c r="BT167" s="229">
        <v>-4.1099999999999998E-2</v>
      </c>
      <c r="BU167" s="230">
        <v>2244541</v>
      </c>
      <c r="BV167" s="230">
        <v>1514663</v>
      </c>
      <c r="BW167" s="230">
        <v>729878</v>
      </c>
      <c r="BX167" s="229">
        <v>0.4819</v>
      </c>
      <c r="BY167" s="228">
        <v>441</v>
      </c>
      <c r="BZ167" s="228">
        <v>436</v>
      </c>
      <c r="CA167" s="228">
        <v>5</v>
      </c>
      <c r="CB167" s="229">
        <v>1.04E-2</v>
      </c>
      <c r="CC167" s="228">
        <v>423</v>
      </c>
      <c r="CD167" s="228">
        <v>419</v>
      </c>
      <c r="CE167" s="228">
        <v>3</v>
      </c>
      <c r="CF167" s="229">
        <v>7.7000000000000002E-3</v>
      </c>
      <c r="CG167" s="228">
        <v>18</v>
      </c>
      <c r="CH167" s="228">
        <v>17</v>
      </c>
      <c r="CI167" s="228">
        <v>1</v>
      </c>
      <c r="CJ167" s="229">
        <v>6.6699999999999995E-2</v>
      </c>
      <c r="CK167" s="228">
        <v>0</v>
      </c>
      <c r="CL167" s="228">
        <v>0</v>
      </c>
      <c r="CM167" s="228">
        <v>0</v>
      </c>
      <c r="CN167" s="229">
        <v>1</v>
      </c>
      <c r="CO167" s="228">
        <v>86</v>
      </c>
      <c r="CP167" s="228">
        <v>79</v>
      </c>
      <c r="CQ167" s="228">
        <v>6</v>
      </c>
      <c r="CR167" s="229">
        <v>7.9799999999999996E-2</v>
      </c>
      <c r="CS167" s="228">
        <v>61</v>
      </c>
      <c r="CT167" s="228">
        <v>56</v>
      </c>
      <c r="CU167" s="228">
        <v>5</v>
      </c>
      <c r="CV167" s="229">
        <v>9.5699999999999993E-2</v>
      </c>
      <c r="CW167" s="228">
        <v>588</v>
      </c>
      <c r="CX167" s="228">
        <v>572</v>
      </c>
      <c r="CY167" s="228">
        <v>16</v>
      </c>
      <c r="CZ167" s="229">
        <v>2.8400000000000002E-2</v>
      </c>
      <c r="DA167" s="228">
        <v>31.36</v>
      </c>
      <c r="DB167" s="228">
        <v>31.26</v>
      </c>
      <c r="DC167" s="228">
        <v>0.1</v>
      </c>
      <c r="DD167" s="228">
        <v>0.1</v>
      </c>
      <c r="DE167" s="228">
        <v>43.18</v>
      </c>
      <c r="DF167" s="228">
        <v>43.25</v>
      </c>
      <c r="DG167" s="228">
        <v>-11.82</v>
      </c>
      <c r="DH167" s="228">
        <v>-7.0000000000000007E-2</v>
      </c>
      <c r="DI167" s="228">
        <v>31.43</v>
      </c>
      <c r="DJ167" s="228">
        <v>31.41</v>
      </c>
      <c r="DK167" s="228">
        <v>0.02</v>
      </c>
      <c r="DL167" s="228">
        <v>0.02</v>
      </c>
      <c r="DM167" s="228">
        <v>31.2</v>
      </c>
      <c r="DN167" s="228">
        <v>30.24</v>
      </c>
      <c r="DO167" s="228">
        <v>0.96</v>
      </c>
      <c r="DP167" s="228">
        <v>0.96</v>
      </c>
      <c r="DQ167" s="228">
        <v>0.71</v>
      </c>
      <c r="DR167" s="228">
        <v>0.7</v>
      </c>
      <c r="DS167" s="228">
        <v>0.01</v>
      </c>
      <c r="DT167" s="229">
        <v>1.43E-2</v>
      </c>
      <c r="DU167" s="228">
        <v>180</v>
      </c>
      <c r="DV167" s="228">
        <v>165</v>
      </c>
      <c r="DW167" s="228">
        <v>0.48</v>
      </c>
      <c r="DX167" s="228">
        <v>0.14000000000000001</v>
      </c>
      <c r="DY167" s="228">
        <v>0.34</v>
      </c>
      <c r="DZ167" s="229">
        <v>2.4285999999999999</v>
      </c>
      <c r="EA167" s="229">
        <v>4.1599999999999998E-2</v>
      </c>
      <c r="EB167" s="230">
        <v>994875</v>
      </c>
      <c r="EC167" s="229">
        <v>4.1999999999999997E-3</v>
      </c>
      <c r="ED167" s="229">
        <v>4.1599999999999998E-2</v>
      </c>
      <c r="EE167" s="228">
        <v>1.1100000000000001</v>
      </c>
      <c r="EF167" s="229">
        <v>6.4999999999999997E-3</v>
      </c>
      <c r="EG167" s="230">
        <v>1041412</v>
      </c>
      <c r="EH167" s="230">
        <v>596744</v>
      </c>
      <c r="EI167" s="229">
        <v>0.74519999999999997</v>
      </c>
      <c r="EJ167" s="229">
        <v>0.46400000000000002</v>
      </c>
      <c r="EK167" s="228">
        <v>43.42</v>
      </c>
      <c r="EL167" s="228">
        <v>19.36</v>
      </c>
      <c r="EM167" s="228">
        <v>33.42</v>
      </c>
      <c r="EN167" s="228">
        <v>54.38</v>
      </c>
      <c r="EO167" s="228">
        <v>96.21</v>
      </c>
      <c r="EP167" s="228">
        <v>102.71</v>
      </c>
      <c r="EQ167" s="228">
        <v>-6.5</v>
      </c>
      <c r="ER167" s="229">
        <v>-6.3299999999999995E-2</v>
      </c>
      <c r="ES167" s="228">
        <v>92.93</v>
      </c>
      <c r="ET167" s="228">
        <v>63.21</v>
      </c>
      <c r="EU167" s="228">
        <v>440.99</v>
      </c>
      <c r="EV167" s="231">
        <v>107697729</v>
      </c>
      <c r="EW167" s="228">
        <v>597.13</v>
      </c>
      <c r="EX167" s="228">
        <v>586.71</v>
      </c>
      <c r="EY167" s="228">
        <v>10.42</v>
      </c>
      <c r="EZ167" s="229">
        <v>1.78E-2</v>
      </c>
      <c r="FA167" s="229">
        <v>0.31909999999999999</v>
      </c>
      <c r="FB167" s="227" t="s">
        <v>567</v>
      </c>
      <c r="FC167">
        <f t="shared" si="3"/>
        <v>0</v>
      </c>
    </row>
    <row r="168" spans="1:159" ht="17.25" thickBot="1" x14ac:dyDescent="0.3">
      <c r="A168" s="226">
        <v>46023</v>
      </c>
      <c r="B168" s="227" t="s">
        <v>694</v>
      </c>
      <c r="C168" s="227" t="s">
        <v>690</v>
      </c>
      <c r="D168" s="228">
        <v>575</v>
      </c>
      <c r="E168" s="228">
        <v>26</v>
      </c>
      <c r="F168" s="228">
        <v>852.05</v>
      </c>
      <c r="G168" s="228">
        <v>844.45</v>
      </c>
      <c r="H168" s="228">
        <v>7.6</v>
      </c>
      <c r="I168" s="229">
        <v>8.9999999999999993E-3</v>
      </c>
      <c r="J168" s="228">
        <v>847.2</v>
      </c>
      <c r="K168" s="228">
        <v>842.15</v>
      </c>
      <c r="L168" s="228">
        <v>5.05</v>
      </c>
      <c r="M168" s="229">
        <v>6.0000000000000001E-3</v>
      </c>
      <c r="N168" s="228">
        <v>852.05</v>
      </c>
      <c r="O168" s="228">
        <v>844.45</v>
      </c>
      <c r="P168" s="228">
        <v>7.6</v>
      </c>
      <c r="Q168" s="229">
        <v>8.9999999999999993E-3</v>
      </c>
      <c r="R168" s="228">
        <v>853.85</v>
      </c>
      <c r="S168" s="228">
        <v>844.8</v>
      </c>
      <c r="T168" s="228">
        <v>9.0500000000000007</v>
      </c>
      <c r="U168" s="229">
        <v>1.0699999999999999E-2</v>
      </c>
      <c r="V168" s="228">
        <v>858.75</v>
      </c>
      <c r="W168" s="228">
        <v>839.5</v>
      </c>
      <c r="X168" s="228">
        <v>19.25</v>
      </c>
      <c r="Y168" s="229">
        <v>2.29E-2</v>
      </c>
      <c r="Z168" s="228">
        <v>4.8499999999999996</v>
      </c>
      <c r="AA168" s="228">
        <v>2.2999999999999998</v>
      </c>
      <c r="AB168" s="228">
        <v>2.5499999999999998</v>
      </c>
      <c r="AC168" s="229">
        <v>5.7000000000000002E-3</v>
      </c>
      <c r="AD168" s="228">
        <v>4.8499999999999996</v>
      </c>
      <c r="AE168" s="228">
        <v>2.2999999999999998</v>
      </c>
      <c r="AF168" s="228">
        <v>2.5499999999999998</v>
      </c>
      <c r="AG168" s="229">
        <v>5.7000000000000002E-3</v>
      </c>
      <c r="AH168" s="228">
        <v>6.65</v>
      </c>
      <c r="AI168" s="228">
        <v>2.65</v>
      </c>
      <c r="AJ168" s="228">
        <v>4</v>
      </c>
      <c r="AK168" s="229">
        <v>7.7999999999999996E-3</v>
      </c>
      <c r="AL168" s="228">
        <v>11.55</v>
      </c>
      <c r="AM168" s="228">
        <v>-2.65</v>
      </c>
      <c r="AN168" s="228">
        <v>14.2</v>
      </c>
      <c r="AO168" s="229">
        <v>1.3599999999999999E-2</v>
      </c>
      <c r="AP168" s="228">
        <v>852.46</v>
      </c>
      <c r="AQ168" s="228">
        <v>857.07</v>
      </c>
      <c r="AR168" s="228">
        <v>0</v>
      </c>
      <c r="AS168" s="228">
        <v>29</v>
      </c>
      <c r="AT168" s="228">
        <v>110</v>
      </c>
      <c r="AU168" s="228">
        <v>-81</v>
      </c>
      <c r="AV168" s="229">
        <v>-0.73399999999999999</v>
      </c>
      <c r="AW168" s="228">
        <v>26</v>
      </c>
      <c r="AX168" s="228">
        <v>104</v>
      </c>
      <c r="AY168" s="228">
        <v>-79</v>
      </c>
      <c r="AZ168" s="229">
        <v>-0.75380000000000003</v>
      </c>
      <c r="BA168" s="228">
        <v>3</v>
      </c>
      <c r="BB168" s="228">
        <v>5</v>
      </c>
      <c r="BC168" s="228">
        <v>-1</v>
      </c>
      <c r="BD168" s="229">
        <v>-0.3</v>
      </c>
      <c r="BE168" s="228">
        <v>0</v>
      </c>
      <c r="BF168" s="228">
        <v>0</v>
      </c>
      <c r="BG168" s="228">
        <v>0</v>
      </c>
      <c r="BH168" s="229">
        <v>-0.88890000000000002</v>
      </c>
      <c r="BI168" s="228">
        <v>44</v>
      </c>
      <c r="BJ168" s="228">
        <v>109</v>
      </c>
      <c r="BK168" s="228">
        <v>-65</v>
      </c>
      <c r="BL168" s="229">
        <v>-0.5968</v>
      </c>
      <c r="BM168" s="228">
        <v>27</v>
      </c>
      <c r="BN168" s="228">
        <v>81</v>
      </c>
      <c r="BO168" s="228">
        <v>-54</v>
      </c>
      <c r="BP168" s="229">
        <v>-0.66869999999999996</v>
      </c>
      <c r="BQ168" s="228">
        <v>100</v>
      </c>
      <c r="BR168" s="228">
        <v>300</v>
      </c>
      <c r="BS168" s="228">
        <v>-200</v>
      </c>
      <c r="BT168" s="229">
        <v>-0.66639999999999999</v>
      </c>
      <c r="BU168" s="230">
        <v>539672</v>
      </c>
      <c r="BV168" s="230">
        <v>2137470</v>
      </c>
      <c r="BW168" s="230">
        <v>-1597798</v>
      </c>
      <c r="BX168" s="229">
        <v>-0.74750000000000005</v>
      </c>
      <c r="BY168" s="228">
        <v>61</v>
      </c>
      <c r="BZ168" s="228">
        <v>54</v>
      </c>
      <c r="CA168" s="228">
        <v>7</v>
      </c>
      <c r="CB168" s="229">
        <v>0.13320000000000001</v>
      </c>
      <c r="CC168" s="228">
        <v>55</v>
      </c>
      <c r="CD168" s="228">
        <v>50</v>
      </c>
      <c r="CE168" s="228">
        <v>4</v>
      </c>
      <c r="CF168" s="229">
        <v>8.5500000000000007E-2</v>
      </c>
      <c r="CG168" s="228">
        <v>6</v>
      </c>
      <c r="CH168" s="228">
        <v>3</v>
      </c>
      <c r="CI168" s="228">
        <v>3</v>
      </c>
      <c r="CJ168" s="229">
        <v>0.86570000000000003</v>
      </c>
      <c r="CK168" s="228">
        <v>0</v>
      </c>
      <c r="CL168" s="228">
        <v>0</v>
      </c>
      <c r="CM168" s="228">
        <v>0</v>
      </c>
      <c r="CN168" s="229">
        <v>0.125</v>
      </c>
      <c r="CO168" s="228">
        <v>45</v>
      </c>
      <c r="CP168" s="228">
        <v>39</v>
      </c>
      <c r="CQ168" s="228">
        <v>5</v>
      </c>
      <c r="CR168" s="229">
        <v>0.1361</v>
      </c>
      <c r="CS168" s="228">
        <v>25</v>
      </c>
      <c r="CT168" s="228">
        <v>20</v>
      </c>
      <c r="CU168" s="228">
        <v>6</v>
      </c>
      <c r="CV168" s="229">
        <v>0.2868</v>
      </c>
      <c r="CW168" s="228">
        <v>131</v>
      </c>
      <c r="CX168" s="228">
        <v>113</v>
      </c>
      <c r="CY168" s="228">
        <v>18</v>
      </c>
      <c r="CZ168" s="229">
        <v>0.16089999999999999</v>
      </c>
      <c r="DA168" s="228">
        <v>34.51</v>
      </c>
      <c r="DB168" s="228">
        <v>37.32</v>
      </c>
      <c r="DC168" s="228">
        <v>-2.81</v>
      </c>
      <c r="DD168" s="228">
        <v>-2.81</v>
      </c>
      <c r="DE168" s="228">
        <v>44.81</v>
      </c>
      <c r="DF168" s="228">
        <v>44.9</v>
      </c>
      <c r="DG168" s="228">
        <v>-10.3</v>
      </c>
      <c r="DH168" s="228">
        <v>-0.09</v>
      </c>
      <c r="DI168" s="228">
        <v>33.9</v>
      </c>
      <c r="DJ168" s="228">
        <v>35.979999999999997</v>
      </c>
      <c r="DK168" s="228">
        <v>-2.08</v>
      </c>
      <c r="DL168" s="228">
        <v>-2.08</v>
      </c>
      <c r="DM168" s="228">
        <v>35.51</v>
      </c>
      <c r="DN168" s="228">
        <v>39.11</v>
      </c>
      <c r="DO168" s="228">
        <v>-3.6</v>
      </c>
      <c r="DP168" s="228">
        <v>-3.6</v>
      </c>
      <c r="DQ168" s="228">
        <v>0.56999999999999995</v>
      </c>
      <c r="DR168" s="228">
        <v>0.5</v>
      </c>
      <c r="DS168" s="228">
        <v>7.0000000000000007E-2</v>
      </c>
      <c r="DT168" s="229">
        <v>0.14000000000000001</v>
      </c>
      <c r="DU168" s="228">
        <v>900</v>
      </c>
      <c r="DV168" s="228">
        <v>800</v>
      </c>
      <c r="DW168" s="228">
        <v>0.61</v>
      </c>
      <c r="DX168" s="228">
        <v>0.75</v>
      </c>
      <c r="DY168" s="228">
        <v>-0.14000000000000001</v>
      </c>
      <c r="DZ168" s="229">
        <v>-0.1867</v>
      </c>
      <c r="EA168" s="229">
        <v>0.1071</v>
      </c>
      <c r="EB168" s="230">
        <v>43125</v>
      </c>
      <c r="EC168" s="229">
        <v>2.0999999999999999E-3</v>
      </c>
      <c r="ED168" s="229">
        <v>0.1071</v>
      </c>
      <c r="EE168" s="228">
        <v>4.6100000000000003</v>
      </c>
      <c r="EF168" s="229">
        <v>5.4000000000000003E-3</v>
      </c>
      <c r="EG168" s="230">
        <v>180539</v>
      </c>
      <c r="EH168" s="230">
        <v>684315</v>
      </c>
      <c r="EI168" s="229">
        <v>-0.73619999999999997</v>
      </c>
      <c r="EJ168" s="229">
        <v>0.33450000000000002</v>
      </c>
      <c r="EK168" s="228">
        <v>47.12</v>
      </c>
      <c r="EL168" s="228">
        <v>25.47</v>
      </c>
      <c r="EM168" s="228">
        <v>29.23</v>
      </c>
      <c r="EN168" s="228">
        <v>22.41</v>
      </c>
      <c r="EO168" s="228">
        <v>101.83</v>
      </c>
      <c r="EP168" s="228">
        <v>303.89999999999998</v>
      </c>
      <c r="EQ168" s="228">
        <v>-202.07</v>
      </c>
      <c r="ER168" s="229">
        <v>-0.66490000000000005</v>
      </c>
      <c r="ES168" s="228">
        <v>46.22</v>
      </c>
      <c r="ET168" s="228">
        <v>23.97</v>
      </c>
      <c r="EU168" s="228">
        <v>61.31</v>
      </c>
      <c r="EV168" s="231">
        <v>23923093</v>
      </c>
      <c r="EW168" s="228">
        <v>131.5</v>
      </c>
      <c r="EX168" s="228">
        <v>112.99</v>
      </c>
      <c r="EY168" s="228">
        <v>18.510000000000002</v>
      </c>
      <c r="EZ168" s="229">
        <v>0.1638</v>
      </c>
      <c r="FA168" s="229">
        <v>6.4299999999999996E-2</v>
      </c>
      <c r="FB168" s="227" t="s">
        <v>555</v>
      </c>
      <c r="FC168">
        <f t="shared" si="3"/>
        <v>0</v>
      </c>
    </row>
    <row r="169" spans="1:159" ht="17.25" thickBot="1" x14ac:dyDescent="0.3">
      <c r="A169" s="226">
        <v>46023</v>
      </c>
      <c r="B169" s="227" t="s">
        <v>206</v>
      </c>
      <c r="C169" s="227" t="s">
        <v>605</v>
      </c>
      <c r="D169" s="228">
        <v>450</v>
      </c>
      <c r="E169" s="228">
        <v>26</v>
      </c>
      <c r="F169" s="231">
        <v>1614.8</v>
      </c>
      <c r="G169" s="231">
        <v>1600.5</v>
      </c>
      <c r="H169" s="228">
        <v>14.3</v>
      </c>
      <c r="I169" s="229">
        <v>8.8999999999999999E-3</v>
      </c>
      <c r="J169" s="231">
        <v>1604.1</v>
      </c>
      <c r="K169" s="231">
        <v>1594.8</v>
      </c>
      <c r="L169" s="228">
        <v>9.3000000000000007</v>
      </c>
      <c r="M169" s="229">
        <v>5.7999999999999996E-3</v>
      </c>
      <c r="N169" s="231">
        <v>1614.8</v>
      </c>
      <c r="O169" s="231">
        <v>1600.5</v>
      </c>
      <c r="P169" s="228">
        <v>14.3</v>
      </c>
      <c r="Q169" s="229">
        <v>8.8999999999999999E-3</v>
      </c>
      <c r="R169" s="231">
        <v>1618.4</v>
      </c>
      <c r="S169" s="231">
        <v>1613</v>
      </c>
      <c r="T169" s="228">
        <v>5.4</v>
      </c>
      <c r="U169" s="229">
        <v>3.3E-3</v>
      </c>
      <c r="V169" s="228">
        <v>0</v>
      </c>
      <c r="W169" s="228">
        <v>0</v>
      </c>
      <c r="X169" s="228">
        <v>0</v>
      </c>
      <c r="Y169" s="229">
        <v>0</v>
      </c>
      <c r="Z169" s="228">
        <v>10.7</v>
      </c>
      <c r="AA169" s="228">
        <v>5.7</v>
      </c>
      <c r="AB169" s="228">
        <v>5</v>
      </c>
      <c r="AC169" s="229">
        <v>6.7000000000000002E-3</v>
      </c>
      <c r="AD169" s="228">
        <v>10.7</v>
      </c>
      <c r="AE169" s="228">
        <v>5.7</v>
      </c>
      <c r="AF169" s="228">
        <v>5</v>
      </c>
      <c r="AG169" s="229">
        <v>6.7000000000000002E-3</v>
      </c>
      <c r="AH169" s="228">
        <v>14.3</v>
      </c>
      <c r="AI169" s="228">
        <v>18.2</v>
      </c>
      <c r="AJ169" s="228">
        <v>-3.9</v>
      </c>
      <c r="AK169" s="229">
        <v>8.8999999999999999E-3</v>
      </c>
      <c r="AL169" s="228">
        <v>0</v>
      </c>
      <c r="AM169" s="228">
        <v>0</v>
      </c>
      <c r="AN169" s="228">
        <v>0</v>
      </c>
      <c r="AO169" s="229">
        <v>0</v>
      </c>
      <c r="AP169" s="231">
        <v>1613.32</v>
      </c>
      <c r="AQ169" s="231">
        <v>1619.91</v>
      </c>
      <c r="AR169" s="228">
        <v>0</v>
      </c>
      <c r="AS169" s="228">
        <v>91</v>
      </c>
      <c r="AT169" s="228">
        <v>91</v>
      </c>
      <c r="AU169" s="228">
        <v>0</v>
      </c>
      <c r="AV169" s="229">
        <v>-1.6000000000000001E-3</v>
      </c>
      <c r="AW169" s="228">
        <v>89</v>
      </c>
      <c r="AX169" s="228">
        <v>89</v>
      </c>
      <c r="AY169" s="228">
        <v>0</v>
      </c>
      <c r="AZ169" s="229">
        <v>0</v>
      </c>
      <c r="BA169" s="228">
        <v>2</v>
      </c>
      <c r="BB169" s="228">
        <v>2</v>
      </c>
      <c r="BC169" s="228">
        <v>0</v>
      </c>
      <c r="BD169" s="229">
        <v>-7.1400000000000005E-2</v>
      </c>
      <c r="BE169" s="228">
        <v>0</v>
      </c>
      <c r="BF169" s="228">
        <v>0</v>
      </c>
      <c r="BG169" s="228">
        <v>0</v>
      </c>
      <c r="BH169" s="229">
        <v>0</v>
      </c>
      <c r="BI169" s="228">
        <v>97</v>
      </c>
      <c r="BJ169" s="228">
        <v>90</v>
      </c>
      <c r="BK169" s="228">
        <v>7</v>
      </c>
      <c r="BL169" s="229">
        <v>7.9799999999999996E-2</v>
      </c>
      <c r="BM169" s="228">
        <v>34</v>
      </c>
      <c r="BN169" s="228">
        <v>43</v>
      </c>
      <c r="BO169" s="228">
        <v>-9</v>
      </c>
      <c r="BP169" s="229">
        <v>-0.21779999999999999</v>
      </c>
      <c r="BQ169" s="228">
        <v>222</v>
      </c>
      <c r="BR169" s="228">
        <v>224</v>
      </c>
      <c r="BS169" s="228">
        <v>-2</v>
      </c>
      <c r="BT169" s="229">
        <v>-1.0699999999999999E-2</v>
      </c>
      <c r="BU169" s="230">
        <v>731599</v>
      </c>
      <c r="BV169" s="230">
        <v>462235</v>
      </c>
      <c r="BW169" s="230">
        <v>269364</v>
      </c>
      <c r="BX169" s="229">
        <v>0.5827</v>
      </c>
      <c r="BY169" s="228">
        <v>618</v>
      </c>
      <c r="BZ169" s="228">
        <v>610</v>
      </c>
      <c r="CA169" s="228">
        <v>8</v>
      </c>
      <c r="CB169" s="229">
        <v>1.32E-2</v>
      </c>
      <c r="CC169" s="228">
        <v>613</v>
      </c>
      <c r="CD169" s="228">
        <v>605</v>
      </c>
      <c r="CE169" s="228">
        <v>8</v>
      </c>
      <c r="CF169" s="229">
        <v>1.2699999999999999E-2</v>
      </c>
      <c r="CG169" s="228">
        <v>5</v>
      </c>
      <c r="CH169" s="228">
        <v>4</v>
      </c>
      <c r="CI169" s="228">
        <v>0</v>
      </c>
      <c r="CJ169" s="229">
        <v>8.2000000000000003E-2</v>
      </c>
      <c r="CK169" s="228">
        <v>0</v>
      </c>
      <c r="CL169" s="228">
        <v>0</v>
      </c>
      <c r="CM169" s="228">
        <v>0</v>
      </c>
      <c r="CN169" s="229">
        <v>0</v>
      </c>
      <c r="CO169" s="228">
        <v>96</v>
      </c>
      <c r="CP169" s="228">
        <v>93</v>
      </c>
      <c r="CQ169" s="228">
        <v>4</v>
      </c>
      <c r="CR169" s="229">
        <v>3.9199999999999999E-2</v>
      </c>
      <c r="CS169" s="228">
        <v>106</v>
      </c>
      <c r="CT169" s="228">
        <v>99</v>
      </c>
      <c r="CU169" s="228">
        <v>7</v>
      </c>
      <c r="CV169" s="229">
        <v>6.8400000000000002E-2</v>
      </c>
      <c r="CW169" s="228">
        <v>820</v>
      </c>
      <c r="CX169" s="228">
        <v>801</v>
      </c>
      <c r="CY169" s="228">
        <v>18</v>
      </c>
      <c r="CZ169" s="229">
        <v>2.3E-2</v>
      </c>
      <c r="DA169" s="228">
        <v>28.03</v>
      </c>
      <c r="DB169" s="228">
        <v>29.28</v>
      </c>
      <c r="DC169" s="228">
        <v>-1.25</v>
      </c>
      <c r="DD169" s="228">
        <v>-1.25</v>
      </c>
      <c r="DE169" s="228">
        <v>43.93</v>
      </c>
      <c r="DF169" s="228">
        <v>44.02</v>
      </c>
      <c r="DG169" s="228">
        <v>-15.9</v>
      </c>
      <c r="DH169" s="228">
        <v>-0.09</v>
      </c>
      <c r="DI169" s="228">
        <v>27.95</v>
      </c>
      <c r="DJ169" s="228">
        <v>29.19</v>
      </c>
      <c r="DK169" s="228">
        <v>-1.24</v>
      </c>
      <c r="DL169" s="228">
        <v>-1.24</v>
      </c>
      <c r="DM169" s="228">
        <v>28.28</v>
      </c>
      <c r="DN169" s="228">
        <v>29.47</v>
      </c>
      <c r="DO169" s="228">
        <v>-1.19</v>
      </c>
      <c r="DP169" s="228">
        <v>-1.19</v>
      </c>
      <c r="DQ169" s="228">
        <v>1.0900000000000001</v>
      </c>
      <c r="DR169" s="228">
        <v>1.06</v>
      </c>
      <c r="DS169" s="228">
        <v>0.03</v>
      </c>
      <c r="DT169" s="229">
        <v>2.8299999999999999E-2</v>
      </c>
      <c r="DU169" s="231">
        <v>1600</v>
      </c>
      <c r="DV169" s="231">
        <v>1500</v>
      </c>
      <c r="DW169" s="228">
        <v>0.35</v>
      </c>
      <c r="DX169" s="228">
        <v>0.48</v>
      </c>
      <c r="DY169" s="228">
        <v>-0.13</v>
      </c>
      <c r="DZ169" s="229">
        <v>-0.27079999999999999</v>
      </c>
      <c r="EA169" s="229">
        <v>7.7999999999999996E-3</v>
      </c>
      <c r="EB169" s="230">
        <v>27450</v>
      </c>
      <c r="EC169" s="229">
        <v>2.2000000000000001E-3</v>
      </c>
      <c r="ED169" s="229">
        <v>7.7999999999999996E-3</v>
      </c>
      <c r="EE169" s="228">
        <v>6.59</v>
      </c>
      <c r="EF169" s="229">
        <v>4.1000000000000003E-3</v>
      </c>
      <c r="EG169" s="230">
        <v>535314</v>
      </c>
      <c r="EH169" s="230">
        <v>283127</v>
      </c>
      <c r="EI169" s="229">
        <v>0.89070000000000005</v>
      </c>
      <c r="EJ169" s="229">
        <v>0.73170000000000002</v>
      </c>
      <c r="EK169" s="228">
        <v>101.25</v>
      </c>
      <c r="EL169" s="228">
        <v>32.76</v>
      </c>
      <c r="EM169" s="228">
        <v>90.68</v>
      </c>
      <c r="EN169" s="228">
        <v>72.08</v>
      </c>
      <c r="EO169" s="228">
        <v>224.7</v>
      </c>
      <c r="EP169" s="228">
        <v>225.55</v>
      </c>
      <c r="EQ169" s="228">
        <v>-0.85</v>
      </c>
      <c r="ER169" s="229">
        <v>-3.8E-3</v>
      </c>
      <c r="ES169" s="228">
        <v>101.27</v>
      </c>
      <c r="ET169" s="228">
        <v>100.81</v>
      </c>
      <c r="EU169" s="228">
        <v>617.82000000000005</v>
      </c>
      <c r="EV169" s="231">
        <v>22697169</v>
      </c>
      <c r="EW169" s="228">
        <v>819.9</v>
      </c>
      <c r="EX169" s="228">
        <v>796.21</v>
      </c>
      <c r="EY169" s="228">
        <v>23.69</v>
      </c>
      <c r="EZ169" s="229">
        <v>2.98E-2</v>
      </c>
      <c r="FA169" s="229">
        <v>0.22370000000000001</v>
      </c>
      <c r="FB169" s="227" t="s">
        <v>555</v>
      </c>
      <c r="FC169">
        <f t="shared" si="3"/>
        <v>0</v>
      </c>
    </row>
    <row r="170" spans="1:159" ht="17.25" thickBot="1" x14ac:dyDescent="0.3">
      <c r="A170" s="226">
        <v>46023</v>
      </c>
      <c r="B170" s="227" t="s">
        <v>172</v>
      </c>
      <c r="C170" s="227" t="s">
        <v>279</v>
      </c>
      <c r="D170" s="228">
        <v>3175</v>
      </c>
      <c r="E170" s="228">
        <v>26</v>
      </c>
      <c r="F170" s="228">
        <v>317.35000000000002</v>
      </c>
      <c r="G170" s="228">
        <v>316.89999999999998</v>
      </c>
      <c r="H170" s="228">
        <v>0.45</v>
      </c>
      <c r="I170" s="229">
        <v>1.4E-3</v>
      </c>
      <c r="J170" s="228">
        <v>315.3</v>
      </c>
      <c r="K170" s="228">
        <v>315.8</v>
      </c>
      <c r="L170" s="228">
        <v>-0.5</v>
      </c>
      <c r="M170" s="229">
        <v>-1.6000000000000001E-3</v>
      </c>
      <c r="N170" s="228">
        <v>317.35000000000002</v>
      </c>
      <c r="O170" s="228">
        <v>316.89999999999998</v>
      </c>
      <c r="P170" s="228">
        <v>0.45</v>
      </c>
      <c r="Q170" s="229">
        <v>1.4E-3</v>
      </c>
      <c r="R170" s="228">
        <v>319.60000000000002</v>
      </c>
      <c r="S170" s="228">
        <v>318.7</v>
      </c>
      <c r="T170" s="228">
        <v>0.9</v>
      </c>
      <c r="U170" s="229">
        <v>2.8E-3</v>
      </c>
      <c r="V170" s="228">
        <v>321</v>
      </c>
      <c r="W170" s="228">
        <v>314.89999999999998</v>
      </c>
      <c r="X170" s="228">
        <v>6.1</v>
      </c>
      <c r="Y170" s="229">
        <v>1.9400000000000001E-2</v>
      </c>
      <c r="Z170" s="228">
        <v>2.0499999999999998</v>
      </c>
      <c r="AA170" s="228">
        <v>1.1000000000000001</v>
      </c>
      <c r="AB170" s="228">
        <v>0.95</v>
      </c>
      <c r="AC170" s="229">
        <v>6.4999999999999997E-3</v>
      </c>
      <c r="AD170" s="228">
        <v>2.0499999999999998</v>
      </c>
      <c r="AE170" s="228">
        <v>1.1000000000000001</v>
      </c>
      <c r="AF170" s="228">
        <v>0.95</v>
      </c>
      <c r="AG170" s="229">
        <v>6.4999999999999997E-3</v>
      </c>
      <c r="AH170" s="228">
        <v>4.3</v>
      </c>
      <c r="AI170" s="228">
        <v>2.9</v>
      </c>
      <c r="AJ170" s="228">
        <v>1.4</v>
      </c>
      <c r="AK170" s="229">
        <v>1.3599999999999999E-2</v>
      </c>
      <c r="AL170" s="228">
        <v>5.7</v>
      </c>
      <c r="AM170" s="228">
        <v>-0.9</v>
      </c>
      <c r="AN170" s="228">
        <v>6.6</v>
      </c>
      <c r="AO170" s="229">
        <v>1.8100000000000002E-2</v>
      </c>
      <c r="AP170" s="228">
        <v>315.44</v>
      </c>
      <c r="AQ170" s="228">
        <v>317.87</v>
      </c>
      <c r="AR170" s="228">
        <v>0</v>
      </c>
      <c r="AS170" s="228">
        <v>193</v>
      </c>
      <c r="AT170" s="228">
        <v>460</v>
      </c>
      <c r="AU170" s="228">
        <v>-267</v>
      </c>
      <c r="AV170" s="229">
        <v>-0.58079999999999998</v>
      </c>
      <c r="AW170" s="228">
        <v>189</v>
      </c>
      <c r="AX170" s="228">
        <v>454</v>
      </c>
      <c r="AY170" s="228">
        <v>-264</v>
      </c>
      <c r="AZ170" s="229">
        <v>-0.58299999999999996</v>
      </c>
      <c r="BA170" s="228">
        <v>3</v>
      </c>
      <c r="BB170" s="228">
        <v>7</v>
      </c>
      <c r="BC170" s="228">
        <v>-3</v>
      </c>
      <c r="BD170" s="229">
        <v>-0.48480000000000001</v>
      </c>
      <c r="BE170" s="228">
        <v>0</v>
      </c>
      <c r="BF170" s="228">
        <v>0</v>
      </c>
      <c r="BG170" s="228">
        <v>0</v>
      </c>
      <c r="BH170" s="229">
        <v>3</v>
      </c>
      <c r="BI170" s="228">
        <v>393</v>
      </c>
      <c r="BJ170" s="228">
        <v>776</v>
      </c>
      <c r="BK170" s="228">
        <v>-384</v>
      </c>
      <c r="BL170" s="229">
        <v>-0.49440000000000001</v>
      </c>
      <c r="BM170" s="228">
        <v>183</v>
      </c>
      <c r="BN170" s="228">
        <v>415</v>
      </c>
      <c r="BO170" s="228">
        <v>-232</v>
      </c>
      <c r="BP170" s="229">
        <v>-0.55900000000000005</v>
      </c>
      <c r="BQ170" s="228">
        <v>768</v>
      </c>
      <c r="BR170" s="230">
        <v>1652</v>
      </c>
      <c r="BS170" s="228">
        <v>-883</v>
      </c>
      <c r="BT170" s="229">
        <v>-0.53469999999999995</v>
      </c>
      <c r="BU170" s="230">
        <v>2062749</v>
      </c>
      <c r="BV170" s="230">
        <v>8406805</v>
      </c>
      <c r="BW170" s="230">
        <v>-6344056</v>
      </c>
      <c r="BX170" s="229">
        <v>-0.75460000000000005</v>
      </c>
      <c r="BY170" s="230">
        <v>2296</v>
      </c>
      <c r="BZ170" s="230">
        <v>2281</v>
      </c>
      <c r="CA170" s="228">
        <v>15</v>
      </c>
      <c r="CB170" s="229">
        <v>6.4000000000000003E-3</v>
      </c>
      <c r="CC170" s="230">
        <v>2284</v>
      </c>
      <c r="CD170" s="230">
        <v>2270</v>
      </c>
      <c r="CE170" s="228">
        <v>14</v>
      </c>
      <c r="CF170" s="229">
        <v>6.1999999999999998E-3</v>
      </c>
      <c r="CG170" s="228">
        <v>11</v>
      </c>
      <c r="CH170" s="228">
        <v>11</v>
      </c>
      <c r="CI170" s="228">
        <v>1</v>
      </c>
      <c r="CJ170" s="229">
        <v>4.6300000000000001E-2</v>
      </c>
      <c r="CK170" s="228">
        <v>0</v>
      </c>
      <c r="CL170" s="228">
        <v>0</v>
      </c>
      <c r="CM170" s="228">
        <v>0</v>
      </c>
      <c r="CN170" s="229">
        <v>2</v>
      </c>
      <c r="CO170" s="228">
        <v>432</v>
      </c>
      <c r="CP170" s="228">
        <v>405</v>
      </c>
      <c r="CQ170" s="228">
        <v>27</v>
      </c>
      <c r="CR170" s="229">
        <v>6.6100000000000006E-2</v>
      </c>
      <c r="CS170" s="228">
        <v>328</v>
      </c>
      <c r="CT170" s="228">
        <v>329</v>
      </c>
      <c r="CU170" s="228">
        <v>-1</v>
      </c>
      <c r="CV170" s="229">
        <v>-1.8E-3</v>
      </c>
      <c r="CW170" s="230">
        <v>3056</v>
      </c>
      <c r="CX170" s="230">
        <v>3015</v>
      </c>
      <c r="CY170" s="228">
        <v>41</v>
      </c>
      <c r="CZ170" s="229">
        <v>1.3599999999999999E-2</v>
      </c>
      <c r="DA170" s="228">
        <v>21.09</v>
      </c>
      <c r="DB170" s="228">
        <v>20.13</v>
      </c>
      <c r="DC170" s="228">
        <v>0.96</v>
      </c>
      <c r="DD170" s="228">
        <v>0.96</v>
      </c>
      <c r="DE170" s="228">
        <v>43.84</v>
      </c>
      <c r="DF170" s="228">
        <v>43.95</v>
      </c>
      <c r="DG170" s="228">
        <v>-22.75</v>
      </c>
      <c r="DH170" s="228">
        <v>-0.11</v>
      </c>
      <c r="DI170" s="228">
        <v>20.7</v>
      </c>
      <c r="DJ170" s="228">
        <v>19.62</v>
      </c>
      <c r="DK170" s="228">
        <v>1.08</v>
      </c>
      <c r="DL170" s="228">
        <v>1.08</v>
      </c>
      <c r="DM170" s="228">
        <v>21.93</v>
      </c>
      <c r="DN170" s="228">
        <v>21.09</v>
      </c>
      <c r="DO170" s="228">
        <v>0.84</v>
      </c>
      <c r="DP170" s="228">
        <v>0.84</v>
      </c>
      <c r="DQ170" s="228">
        <v>0.76</v>
      </c>
      <c r="DR170" s="228">
        <v>0.81</v>
      </c>
      <c r="DS170" s="228">
        <v>-0.05</v>
      </c>
      <c r="DT170" s="229">
        <v>-6.1699999999999998E-2</v>
      </c>
      <c r="DU170" s="228">
        <v>320</v>
      </c>
      <c r="DV170" s="228">
        <v>300</v>
      </c>
      <c r="DW170" s="228">
        <v>0.47</v>
      </c>
      <c r="DX170" s="228">
        <v>0.53</v>
      </c>
      <c r="DY170" s="228">
        <v>-0.06</v>
      </c>
      <c r="DZ170" s="229">
        <v>-0.1132</v>
      </c>
      <c r="EA170" s="229">
        <v>5.1000000000000004E-3</v>
      </c>
      <c r="EB170" s="230">
        <v>346075</v>
      </c>
      <c r="EC170" s="229">
        <v>7.1000000000000004E-3</v>
      </c>
      <c r="ED170" s="229">
        <v>5.1000000000000004E-3</v>
      </c>
      <c r="EE170" s="228">
        <v>2.4300000000000002</v>
      </c>
      <c r="EF170" s="229">
        <v>7.7000000000000002E-3</v>
      </c>
      <c r="EG170" s="230">
        <v>506542</v>
      </c>
      <c r="EH170" s="230">
        <v>4635272</v>
      </c>
      <c r="EI170" s="229">
        <v>-0.89070000000000005</v>
      </c>
      <c r="EJ170" s="229">
        <v>0.24560000000000001</v>
      </c>
      <c r="EK170" s="228">
        <v>405.65</v>
      </c>
      <c r="EL170" s="228">
        <v>178.65</v>
      </c>
      <c r="EM170" s="228">
        <v>191.82</v>
      </c>
      <c r="EN170" s="228">
        <v>116.53</v>
      </c>
      <c r="EO170" s="228">
        <v>776.11</v>
      </c>
      <c r="EP170" s="231">
        <v>1655.07</v>
      </c>
      <c r="EQ170" s="228">
        <v>-878.96</v>
      </c>
      <c r="ER170" s="229">
        <v>-0.53110000000000002</v>
      </c>
      <c r="ES170" s="228">
        <v>436.65</v>
      </c>
      <c r="ET170" s="228">
        <v>310.45999999999998</v>
      </c>
      <c r="EU170" s="231">
        <v>2295.9699999999998</v>
      </c>
      <c r="EV170" s="231">
        <v>91953095</v>
      </c>
      <c r="EW170" s="231">
        <v>3043.08</v>
      </c>
      <c r="EX170" s="231">
        <v>2996.6</v>
      </c>
      <c r="EY170" s="228">
        <v>46.48</v>
      </c>
      <c r="EZ170" s="229">
        <v>1.55E-2</v>
      </c>
      <c r="FA170" s="229">
        <v>1.0471999999999999</v>
      </c>
      <c r="FB170" s="227" t="s">
        <v>555</v>
      </c>
      <c r="FC170">
        <f t="shared" si="3"/>
        <v>0</v>
      </c>
    </row>
    <row r="171" spans="1:159" ht="17.25" thickBot="1" x14ac:dyDescent="0.3">
      <c r="A171" s="226">
        <v>46023</v>
      </c>
      <c r="B171" s="227" t="s">
        <v>175</v>
      </c>
      <c r="C171" s="227" t="s">
        <v>280</v>
      </c>
      <c r="D171" s="228">
        <v>1400</v>
      </c>
      <c r="E171" s="228">
        <v>26</v>
      </c>
      <c r="F171" s="228">
        <v>368.65</v>
      </c>
      <c r="G171" s="228">
        <v>358.9</v>
      </c>
      <c r="H171" s="228">
        <v>9.75</v>
      </c>
      <c r="I171" s="229">
        <v>2.7199999999999998E-2</v>
      </c>
      <c r="J171" s="228">
        <v>367.7</v>
      </c>
      <c r="K171" s="228">
        <v>356.8</v>
      </c>
      <c r="L171" s="228">
        <v>10.9</v>
      </c>
      <c r="M171" s="229">
        <v>3.0499999999999999E-2</v>
      </c>
      <c r="N171" s="228">
        <v>368.65</v>
      </c>
      <c r="O171" s="228">
        <v>358.9</v>
      </c>
      <c r="P171" s="228">
        <v>9.75</v>
      </c>
      <c r="Q171" s="229">
        <v>2.7199999999999998E-2</v>
      </c>
      <c r="R171" s="228">
        <v>368.25</v>
      </c>
      <c r="S171" s="228">
        <v>358.3</v>
      </c>
      <c r="T171" s="228">
        <v>9.9499999999999993</v>
      </c>
      <c r="U171" s="229">
        <v>2.7799999999999998E-2</v>
      </c>
      <c r="V171" s="228">
        <v>367.85</v>
      </c>
      <c r="W171" s="228">
        <v>358.45</v>
      </c>
      <c r="X171" s="228">
        <v>9.4</v>
      </c>
      <c r="Y171" s="229">
        <v>2.6200000000000001E-2</v>
      </c>
      <c r="Z171" s="228">
        <v>0.95</v>
      </c>
      <c r="AA171" s="228">
        <v>2.1</v>
      </c>
      <c r="AB171" s="228">
        <v>-1.1499999999999999</v>
      </c>
      <c r="AC171" s="229">
        <v>2.5999999999999999E-3</v>
      </c>
      <c r="AD171" s="228">
        <v>0.95</v>
      </c>
      <c r="AE171" s="228">
        <v>2.1</v>
      </c>
      <c r="AF171" s="228">
        <v>-1.1499999999999999</v>
      </c>
      <c r="AG171" s="229">
        <v>2.5999999999999999E-3</v>
      </c>
      <c r="AH171" s="228">
        <v>0.55000000000000004</v>
      </c>
      <c r="AI171" s="228">
        <v>1.5</v>
      </c>
      <c r="AJ171" s="228">
        <v>-0.95</v>
      </c>
      <c r="AK171" s="229">
        <v>1.5E-3</v>
      </c>
      <c r="AL171" s="228">
        <v>0.15</v>
      </c>
      <c r="AM171" s="228">
        <v>1.65</v>
      </c>
      <c r="AN171" s="228">
        <v>-1.5</v>
      </c>
      <c r="AO171" s="229">
        <v>4.0000000000000002E-4</v>
      </c>
      <c r="AP171" s="228">
        <v>365.49</v>
      </c>
      <c r="AQ171" s="228">
        <v>364.96</v>
      </c>
      <c r="AR171" s="228">
        <v>0</v>
      </c>
      <c r="AS171" s="228">
        <v>762</v>
      </c>
      <c r="AT171" s="228">
        <v>498</v>
      </c>
      <c r="AU171" s="228">
        <v>264</v>
      </c>
      <c r="AV171" s="229">
        <v>0.53100000000000003</v>
      </c>
      <c r="AW171" s="228">
        <v>675</v>
      </c>
      <c r="AX171" s="228">
        <v>440</v>
      </c>
      <c r="AY171" s="228">
        <v>235</v>
      </c>
      <c r="AZ171" s="229">
        <v>0.53380000000000005</v>
      </c>
      <c r="BA171" s="228">
        <v>72</v>
      </c>
      <c r="BB171" s="228">
        <v>49</v>
      </c>
      <c r="BC171" s="228">
        <v>23</v>
      </c>
      <c r="BD171" s="229">
        <v>0.47399999999999998</v>
      </c>
      <c r="BE171" s="228">
        <v>16</v>
      </c>
      <c r="BF171" s="228">
        <v>9</v>
      </c>
      <c r="BG171" s="228">
        <v>6</v>
      </c>
      <c r="BH171" s="229">
        <v>0.69830000000000003</v>
      </c>
      <c r="BI171" s="230">
        <v>3384</v>
      </c>
      <c r="BJ171" s="230">
        <v>1639</v>
      </c>
      <c r="BK171" s="230">
        <v>1744</v>
      </c>
      <c r="BL171" s="229">
        <v>1.0639000000000001</v>
      </c>
      <c r="BM171" s="228">
        <v>864</v>
      </c>
      <c r="BN171" s="228">
        <v>641</v>
      </c>
      <c r="BO171" s="228">
        <v>223</v>
      </c>
      <c r="BP171" s="229">
        <v>0.34789999999999999</v>
      </c>
      <c r="BQ171" s="230">
        <v>5010</v>
      </c>
      <c r="BR171" s="230">
        <v>2778</v>
      </c>
      <c r="BS171" s="230">
        <v>2232</v>
      </c>
      <c r="BT171" s="229">
        <v>0.80320000000000003</v>
      </c>
      <c r="BU171" s="230">
        <v>14349134</v>
      </c>
      <c r="BV171" s="230">
        <v>6319543</v>
      </c>
      <c r="BW171" s="230">
        <v>8029591</v>
      </c>
      <c r="BX171" s="229">
        <v>1.2706</v>
      </c>
      <c r="BY171" s="230">
        <v>3213</v>
      </c>
      <c r="BZ171" s="230">
        <v>3271</v>
      </c>
      <c r="CA171" s="228">
        <v>-58</v>
      </c>
      <c r="CB171" s="229">
        <v>-1.78E-2</v>
      </c>
      <c r="CC171" s="230">
        <v>2986</v>
      </c>
      <c r="CD171" s="230">
        <v>3046</v>
      </c>
      <c r="CE171" s="228">
        <v>-60</v>
      </c>
      <c r="CF171" s="229">
        <v>-1.9599999999999999E-2</v>
      </c>
      <c r="CG171" s="228">
        <v>213</v>
      </c>
      <c r="CH171" s="228">
        <v>218</v>
      </c>
      <c r="CI171" s="228">
        <v>-5</v>
      </c>
      <c r="CJ171" s="229">
        <v>-2.4899999999999999E-2</v>
      </c>
      <c r="CK171" s="228">
        <v>14</v>
      </c>
      <c r="CL171" s="228">
        <v>7</v>
      </c>
      <c r="CM171" s="228">
        <v>7</v>
      </c>
      <c r="CN171" s="229">
        <v>0.95</v>
      </c>
      <c r="CO171" s="230">
        <v>1204</v>
      </c>
      <c r="CP171" s="230">
        <v>1052</v>
      </c>
      <c r="CQ171" s="228">
        <v>152</v>
      </c>
      <c r="CR171" s="229">
        <v>0.1447</v>
      </c>
      <c r="CS171" s="228">
        <v>885</v>
      </c>
      <c r="CT171" s="228">
        <v>800</v>
      </c>
      <c r="CU171" s="228">
        <v>85</v>
      </c>
      <c r="CV171" s="229">
        <v>0.1066</v>
      </c>
      <c r="CW171" s="230">
        <v>5302</v>
      </c>
      <c r="CX171" s="230">
        <v>5123</v>
      </c>
      <c r="CY171" s="228">
        <v>179</v>
      </c>
      <c r="CZ171" s="229">
        <v>3.5000000000000003E-2</v>
      </c>
      <c r="DA171" s="228">
        <v>23.78</v>
      </c>
      <c r="DB171" s="228">
        <v>23.09</v>
      </c>
      <c r="DC171" s="228">
        <v>0.69</v>
      </c>
      <c r="DD171" s="228">
        <v>0.69</v>
      </c>
      <c r="DE171" s="228">
        <v>41.53</v>
      </c>
      <c r="DF171" s="228">
        <v>41.47</v>
      </c>
      <c r="DG171" s="228">
        <v>-17.75</v>
      </c>
      <c r="DH171" s="228">
        <v>0.06</v>
      </c>
      <c r="DI171" s="228">
        <v>23.83</v>
      </c>
      <c r="DJ171" s="228">
        <v>23.26</v>
      </c>
      <c r="DK171" s="228">
        <v>0.56999999999999995</v>
      </c>
      <c r="DL171" s="228">
        <v>0.56999999999999995</v>
      </c>
      <c r="DM171" s="228">
        <v>23.57</v>
      </c>
      <c r="DN171" s="228">
        <v>22.64</v>
      </c>
      <c r="DO171" s="228">
        <v>0.93</v>
      </c>
      <c r="DP171" s="228">
        <v>0.93</v>
      </c>
      <c r="DQ171" s="228">
        <v>0.74</v>
      </c>
      <c r="DR171" s="228">
        <v>0.76</v>
      </c>
      <c r="DS171" s="228">
        <v>-0.02</v>
      </c>
      <c r="DT171" s="229">
        <v>-2.63E-2</v>
      </c>
      <c r="DU171" s="228">
        <v>360</v>
      </c>
      <c r="DV171" s="228">
        <v>360</v>
      </c>
      <c r="DW171" s="228">
        <v>0.26</v>
      </c>
      <c r="DX171" s="228">
        <v>0.39</v>
      </c>
      <c r="DY171" s="228">
        <v>-0.13</v>
      </c>
      <c r="DZ171" s="229">
        <v>-0.33329999999999999</v>
      </c>
      <c r="EA171" s="229">
        <v>7.0499999999999993E-2</v>
      </c>
      <c r="EB171" s="230">
        <v>6108200</v>
      </c>
      <c r="EC171" s="229">
        <v>-1.1000000000000001E-3</v>
      </c>
      <c r="ED171" s="229">
        <v>7.0499999999999993E-2</v>
      </c>
      <c r="EE171" s="228">
        <v>-0.53</v>
      </c>
      <c r="EF171" s="229">
        <v>-1.5E-3</v>
      </c>
      <c r="EG171" s="230">
        <v>6204372</v>
      </c>
      <c r="EH171" s="230">
        <v>2837953</v>
      </c>
      <c r="EI171" s="229">
        <v>1.1861999999999999</v>
      </c>
      <c r="EJ171" s="229">
        <v>0.43240000000000001</v>
      </c>
      <c r="EK171" s="231">
        <v>3507.83</v>
      </c>
      <c r="EL171" s="228">
        <v>847.12</v>
      </c>
      <c r="EM171" s="228">
        <v>755.6</v>
      </c>
      <c r="EN171" s="228">
        <v>315.72000000000003</v>
      </c>
      <c r="EO171" s="231">
        <v>5110.55</v>
      </c>
      <c r="EP171" s="231">
        <v>2785.22</v>
      </c>
      <c r="EQ171" s="231">
        <v>2325.33</v>
      </c>
      <c r="ER171" s="229">
        <v>0.83489999999999998</v>
      </c>
      <c r="ES171" s="231">
        <v>1226.1600000000001</v>
      </c>
      <c r="ET171" s="228">
        <v>862</v>
      </c>
      <c r="EU171" s="231">
        <v>3212.52</v>
      </c>
      <c r="EV171" s="231">
        <v>187084550</v>
      </c>
      <c r="EW171" s="231">
        <v>5300.68</v>
      </c>
      <c r="EX171" s="231">
        <v>5020.91</v>
      </c>
      <c r="EY171" s="228">
        <v>279.77</v>
      </c>
      <c r="EZ171" s="229">
        <v>5.57E-2</v>
      </c>
      <c r="FA171" s="229">
        <v>0.76880000000000004</v>
      </c>
      <c r="FB171" s="227" t="s">
        <v>556</v>
      </c>
      <c r="FC171">
        <f t="shared" si="3"/>
        <v>0</v>
      </c>
    </row>
    <row r="172" spans="1:159" ht="17.25" thickBot="1" x14ac:dyDescent="0.3">
      <c r="A172" s="226">
        <v>46023</v>
      </c>
      <c r="B172" s="227" t="s">
        <v>193</v>
      </c>
      <c r="C172" s="227" t="s">
        <v>281</v>
      </c>
      <c r="D172" s="228">
        <v>500</v>
      </c>
      <c r="E172" s="228">
        <v>26</v>
      </c>
      <c r="F172" s="231">
        <v>1584</v>
      </c>
      <c r="G172" s="231">
        <v>1578</v>
      </c>
      <c r="H172" s="228">
        <v>6</v>
      </c>
      <c r="I172" s="229">
        <v>3.8E-3</v>
      </c>
      <c r="J172" s="231">
        <v>1575.6</v>
      </c>
      <c r="K172" s="231">
        <v>1570.4</v>
      </c>
      <c r="L172" s="228">
        <v>5.2</v>
      </c>
      <c r="M172" s="229">
        <v>3.3E-3</v>
      </c>
      <c r="N172" s="231">
        <v>1584</v>
      </c>
      <c r="O172" s="231">
        <v>1578</v>
      </c>
      <c r="P172" s="228">
        <v>6</v>
      </c>
      <c r="Q172" s="229">
        <v>3.8E-3</v>
      </c>
      <c r="R172" s="231">
        <v>1592.2</v>
      </c>
      <c r="S172" s="231">
        <v>1587.2</v>
      </c>
      <c r="T172" s="228">
        <v>5</v>
      </c>
      <c r="U172" s="229">
        <v>3.2000000000000002E-3</v>
      </c>
      <c r="V172" s="231">
        <v>1603</v>
      </c>
      <c r="W172" s="231">
        <v>1595.9</v>
      </c>
      <c r="X172" s="228">
        <v>7.1</v>
      </c>
      <c r="Y172" s="229">
        <v>4.4000000000000003E-3</v>
      </c>
      <c r="Z172" s="228">
        <v>8.4</v>
      </c>
      <c r="AA172" s="228">
        <v>7.6</v>
      </c>
      <c r="AB172" s="228">
        <v>0.8</v>
      </c>
      <c r="AC172" s="229">
        <v>5.3E-3</v>
      </c>
      <c r="AD172" s="228">
        <v>8.4</v>
      </c>
      <c r="AE172" s="228">
        <v>7.6</v>
      </c>
      <c r="AF172" s="228">
        <v>0.8</v>
      </c>
      <c r="AG172" s="229">
        <v>5.3E-3</v>
      </c>
      <c r="AH172" s="228">
        <v>16.600000000000001</v>
      </c>
      <c r="AI172" s="228">
        <v>16.8</v>
      </c>
      <c r="AJ172" s="228">
        <v>-0.2</v>
      </c>
      <c r="AK172" s="229">
        <v>1.0500000000000001E-2</v>
      </c>
      <c r="AL172" s="228">
        <v>27.4</v>
      </c>
      <c r="AM172" s="228">
        <v>25.5</v>
      </c>
      <c r="AN172" s="228">
        <v>1.9</v>
      </c>
      <c r="AO172" s="229">
        <v>1.7399999999999999E-2</v>
      </c>
      <c r="AP172" s="231">
        <v>1588.51</v>
      </c>
      <c r="AQ172" s="231">
        <v>1598.15</v>
      </c>
      <c r="AR172" s="228">
        <v>0</v>
      </c>
      <c r="AS172" s="230">
        <v>1275</v>
      </c>
      <c r="AT172" s="230">
        <v>1801</v>
      </c>
      <c r="AU172" s="228">
        <v>-526</v>
      </c>
      <c r="AV172" s="229">
        <v>-0.29199999999999998</v>
      </c>
      <c r="AW172" s="230">
        <v>1185</v>
      </c>
      <c r="AX172" s="230">
        <v>1725</v>
      </c>
      <c r="AY172" s="228">
        <v>-540</v>
      </c>
      <c r="AZ172" s="229">
        <v>-0.313</v>
      </c>
      <c r="BA172" s="228">
        <v>67</v>
      </c>
      <c r="BB172" s="228">
        <v>67</v>
      </c>
      <c r="BC172" s="228">
        <v>0</v>
      </c>
      <c r="BD172" s="229">
        <v>3.5999999999999999E-3</v>
      </c>
      <c r="BE172" s="228">
        <v>22</v>
      </c>
      <c r="BF172" s="228">
        <v>8</v>
      </c>
      <c r="BG172" s="228">
        <v>14</v>
      </c>
      <c r="BH172" s="229">
        <v>1.6541999999999999</v>
      </c>
      <c r="BI172" s="230">
        <v>8703</v>
      </c>
      <c r="BJ172" s="230">
        <v>8596</v>
      </c>
      <c r="BK172" s="228">
        <v>108</v>
      </c>
      <c r="BL172" s="229">
        <v>1.2500000000000001E-2</v>
      </c>
      <c r="BM172" s="230">
        <v>4071</v>
      </c>
      <c r="BN172" s="230">
        <v>4652</v>
      </c>
      <c r="BO172" s="228">
        <v>-582</v>
      </c>
      <c r="BP172" s="229">
        <v>-0.125</v>
      </c>
      <c r="BQ172" s="230">
        <v>14049</v>
      </c>
      <c r="BR172" s="230">
        <v>15049</v>
      </c>
      <c r="BS172" s="230">
        <v>-1000</v>
      </c>
      <c r="BT172" s="229">
        <v>-6.6400000000000001E-2</v>
      </c>
      <c r="BU172" s="230">
        <v>7279321</v>
      </c>
      <c r="BV172" s="230">
        <v>6209385</v>
      </c>
      <c r="BW172" s="230">
        <v>1069936</v>
      </c>
      <c r="BX172" s="229">
        <v>0.17230000000000001</v>
      </c>
      <c r="BY172" s="230">
        <v>15861</v>
      </c>
      <c r="BZ172" s="230">
        <v>15769</v>
      </c>
      <c r="CA172" s="228">
        <v>92</v>
      </c>
      <c r="CB172" s="229">
        <v>5.7999999999999996E-3</v>
      </c>
      <c r="CC172" s="230">
        <v>15555</v>
      </c>
      <c r="CD172" s="230">
        <v>15486</v>
      </c>
      <c r="CE172" s="228">
        <v>69</v>
      </c>
      <c r="CF172" s="229">
        <v>4.4999999999999997E-3</v>
      </c>
      <c r="CG172" s="228">
        <v>286</v>
      </c>
      <c r="CH172" s="228">
        <v>278</v>
      </c>
      <c r="CI172" s="228">
        <v>8</v>
      </c>
      <c r="CJ172" s="229">
        <v>3.0499999999999999E-2</v>
      </c>
      <c r="CK172" s="228">
        <v>19</v>
      </c>
      <c r="CL172" s="228">
        <v>5</v>
      </c>
      <c r="CM172" s="228">
        <v>14</v>
      </c>
      <c r="CN172" s="229">
        <v>2.6716000000000002</v>
      </c>
      <c r="CO172" s="230">
        <v>4396</v>
      </c>
      <c r="CP172" s="230">
        <v>3714</v>
      </c>
      <c r="CQ172" s="228">
        <v>682</v>
      </c>
      <c r="CR172" s="229">
        <v>0.1837</v>
      </c>
      <c r="CS172" s="230">
        <v>2734</v>
      </c>
      <c r="CT172" s="230">
        <v>2609</v>
      </c>
      <c r="CU172" s="228">
        <v>125</v>
      </c>
      <c r="CV172" s="229">
        <v>4.7800000000000002E-2</v>
      </c>
      <c r="CW172" s="230">
        <v>22991</v>
      </c>
      <c r="CX172" s="230">
        <v>22092</v>
      </c>
      <c r="CY172" s="228">
        <v>899</v>
      </c>
      <c r="CZ172" s="229">
        <v>4.07E-2</v>
      </c>
      <c r="DA172" s="228">
        <v>15.52</v>
      </c>
      <c r="DB172" s="228">
        <v>16.239999999999998</v>
      </c>
      <c r="DC172" s="228">
        <v>-0.72</v>
      </c>
      <c r="DD172" s="228">
        <v>-0.72</v>
      </c>
      <c r="DE172" s="228">
        <v>23.06</v>
      </c>
      <c r="DF172" s="228">
        <v>23.12</v>
      </c>
      <c r="DG172" s="228">
        <v>-7.54</v>
      </c>
      <c r="DH172" s="228">
        <v>-0.06</v>
      </c>
      <c r="DI172" s="228">
        <v>15.3</v>
      </c>
      <c r="DJ172" s="228">
        <v>15.98</v>
      </c>
      <c r="DK172" s="228">
        <v>-0.68</v>
      </c>
      <c r="DL172" s="228">
        <v>-0.68</v>
      </c>
      <c r="DM172" s="228">
        <v>15.98</v>
      </c>
      <c r="DN172" s="228">
        <v>16.73</v>
      </c>
      <c r="DO172" s="228">
        <v>-0.75</v>
      </c>
      <c r="DP172" s="228">
        <v>-0.75</v>
      </c>
      <c r="DQ172" s="228">
        <v>0.62</v>
      </c>
      <c r="DR172" s="228">
        <v>0.7</v>
      </c>
      <c r="DS172" s="228">
        <v>-0.08</v>
      </c>
      <c r="DT172" s="229">
        <v>-0.1143</v>
      </c>
      <c r="DU172" s="231">
        <v>1600</v>
      </c>
      <c r="DV172" s="231">
        <v>1550</v>
      </c>
      <c r="DW172" s="228">
        <v>0.47</v>
      </c>
      <c r="DX172" s="228">
        <v>0.54</v>
      </c>
      <c r="DY172" s="228">
        <v>-7.0000000000000007E-2</v>
      </c>
      <c r="DZ172" s="229">
        <v>-0.12959999999999999</v>
      </c>
      <c r="EA172" s="229">
        <v>1.9300000000000001E-2</v>
      </c>
      <c r="EB172" s="230">
        <v>1787500</v>
      </c>
      <c r="EC172" s="229">
        <v>5.1999999999999998E-3</v>
      </c>
      <c r="ED172" s="229">
        <v>1.9300000000000001E-2</v>
      </c>
      <c r="EE172" s="228">
        <v>9.64</v>
      </c>
      <c r="EF172" s="229">
        <v>6.1000000000000004E-3</v>
      </c>
      <c r="EG172" s="230">
        <v>2255336</v>
      </c>
      <c r="EH172" s="230">
        <v>3249428</v>
      </c>
      <c r="EI172" s="229">
        <v>-0.30590000000000001</v>
      </c>
      <c r="EJ172" s="229">
        <v>0.30980000000000002</v>
      </c>
      <c r="EK172" s="231">
        <v>8986.2999999999993</v>
      </c>
      <c r="EL172" s="231">
        <v>4026.97</v>
      </c>
      <c r="EM172" s="231">
        <v>1279.25</v>
      </c>
      <c r="EN172" s="228">
        <v>625.73</v>
      </c>
      <c r="EO172" s="231">
        <v>14292.53</v>
      </c>
      <c r="EP172" s="231">
        <v>15132.19</v>
      </c>
      <c r="EQ172" s="228">
        <v>-839.67</v>
      </c>
      <c r="ER172" s="229">
        <v>-5.5500000000000001E-2</v>
      </c>
      <c r="ES172" s="231">
        <v>4464.8100000000004</v>
      </c>
      <c r="ET172" s="231">
        <v>2648.43</v>
      </c>
      <c r="EU172" s="231">
        <v>15862.86</v>
      </c>
      <c r="EV172" s="231">
        <v>664266681</v>
      </c>
      <c r="EW172" s="231">
        <v>22976.11</v>
      </c>
      <c r="EX172" s="231">
        <v>21994.75</v>
      </c>
      <c r="EY172" s="228">
        <v>981.36</v>
      </c>
      <c r="EZ172" s="229">
        <v>4.4600000000000001E-2</v>
      </c>
      <c r="FA172" s="229">
        <v>0.2185</v>
      </c>
      <c r="FB172" s="227" t="s">
        <v>555</v>
      </c>
      <c r="FC172">
        <f t="shared" si="3"/>
        <v>0</v>
      </c>
    </row>
    <row r="173" spans="1:159" ht="17.25" thickBot="1" x14ac:dyDescent="0.3">
      <c r="A173" s="226">
        <v>46023</v>
      </c>
      <c r="B173" s="227" t="s">
        <v>215</v>
      </c>
      <c r="C173" s="227" t="s">
        <v>675</v>
      </c>
      <c r="D173" s="228">
        <v>1525</v>
      </c>
      <c r="E173" s="228">
        <v>26</v>
      </c>
      <c r="F173" s="228">
        <v>357.6</v>
      </c>
      <c r="G173" s="228">
        <v>351.9</v>
      </c>
      <c r="H173" s="228">
        <v>5.7</v>
      </c>
      <c r="I173" s="229">
        <v>1.6199999999999999E-2</v>
      </c>
      <c r="J173" s="228">
        <v>361.5</v>
      </c>
      <c r="K173" s="228">
        <v>357.25</v>
      </c>
      <c r="L173" s="228">
        <v>4.25</v>
      </c>
      <c r="M173" s="229">
        <v>1.1900000000000001E-2</v>
      </c>
      <c r="N173" s="228">
        <v>357.6</v>
      </c>
      <c r="O173" s="228">
        <v>351.9</v>
      </c>
      <c r="P173" s="228">
        <v>5.7</v>
      </c>
      <c r="Q173" s="229">
        <v>1.6199999999999999E-2</v>
      </c>
      <c r="R173" s="228">
        <v>351.45</v>
      </c>
      <c r="S173" s="228">
        <v>345.65</v>
      </c>
      <c r="T173" s="228">
        <v>5.8</v>
      </c>
      <c r="U173" s="229">
        <v>1.6799999999999999E-2</v>
      </c>
      <c r="V173" s="228">
        <v>347.65</v>
      </c>
      <c r="W173" s="228">
        <v>341.3</v>
      </c>
      <c r="X173" s="228">
        <v>6.35</v>
      </c>
      <c r="Y173" s="229">
        <v>1.8599999999999998E-2</v>
      </c>
      <c r="Z173" s="228">
        <v>-3.9</v>
      </c>
      <c r="AA173" s="228">
        <v>-5.35</v>
      </c>
      <c r="AB173" s="228">
        <v>1.45</v>
      </c>
      <c r="AC173" s="229">
        <v>-1.0800000000000001E-2</v>
      </c>
      <c r="AD173" s="228">
        <v>-3.9</v>
      </c>
      <c r="AE173" s="228">
        <v>-5.35</v>
      </c>
      <c r="AF173" s="228">
        <v>1.45</v>
      </c>
      <c r="AG173" s="229">
        <v>-1.0800000000000001E-2</v>
      </c>
      <c r="AH173" s="228">
        <v>-10.050000000000001</v>
      </c>
      <c r="AI173" s="228">
        <v>-11.6</v>
      </c>
      <c r="AJ173" s="228">
        <v>1.55</v>
      </c>
      <c r="AK173" s="229">
        <v>-2.7799999999999998E-2</v>
      </c>
      <c r="AL173" s="228">
        <v>-13.85</v>
      </c>
      <c r="AM173" s="228">
        <v>-15.95</v>
      </c>
      <c r="AN173" s="228">
        <v>2.1</v>
      </c>
      <c r="AO173" s="229">
        <v>-3.8300000000000001E-2</v>
      </c>
      <c r="AP173" s="228">
        <v>355.24</v>
      </c>
      <c r="AQ173" s="228">
        <v>348.74</v>
      </c>
      <c r="AR173" s="228">
        <v>0</v>
      </c>
      <c r="AS173" s="228">
        <v>203</v>
      </c>
      <c r="AT173" s="228">
        <v>338</v>
      </c>
      <c r="AU173" s="228">
        <v>-134</v>
      </c>
      <c r="AV173" s="229">
        <v>-0.3982</v>
      </c>
      <c r="AW173" s="228">
        <v>176</v>
      </c>
      <c r="AX173" s="228">
        <v>290</v>
      </c>
      <c r="AY173" s="228">
        <v>-114</v>
      </c>
      <c r="AZ173" s="229">
        <v>-0.3921</v>
      </c>
      <c r="BA173" s="228">
        <v>23</v>
      </c>
      <c r="BB173" s="228">
        <v>42</v>
      </c>
      <c r="BC173" s="228">
        <v>-19</v>
      </c>
      <c r="BD173" s="229">
        <v>-0.45190000000000002</v>
      </c>
      <c r="BE173" s="228">
        <v>4</v>
      </c>
      <c r="BF173" s="228">
        <v>5</v>
      </c>
      <c r="BG173" s="228">
        <v>-2</v>
      </c>
      <c r="BH173" s="229">
        <v>-0.30609999999999998</v>
      </c>
      <c r="BI173" s="230">
        <v>1095</v>
      </c>
      <c r="BJ173" s="230">
        <v>1747</v>
      </c>
      <c r="BK173" s="228">
        <v>-653</v>
      </c>
      <c r="BL173" s="229">
        <v>-0.3735</v>
      </c>
      <c r="BM173" s="228">
        <v>286</v>
      </c>
      <c r="BN173" s="228">
        <v>513</v>
      </c>
      <c r="BO173" s="228">
        <v>-226</v>
      </c>
      <c r="BP173" s="229">
        <v>-0.44140000000000001</v>
      </c>
      <c r="BQ173" s="230">
        <v>1584</v>
      </c>
      <c r="BR173" s="230">
        <v>2598</v>
      </c>
      <c r="BS173" s="230">
        <v>-1013</v>
      </c>
      <c r="BT173" s="229">
        <v>-0.3901</v>
      </c>
      <c r="BU173" s="230">
        <v>8479581</v>
      </c>
      <c r="BV173" s="230">
        <v>13842022</v>
      </c>
      <c r="BW173" s="230">
        <v>-5362441</v>
      </c>
      <c r="BX173" s="229">
        <v>-0.38740000000000002</v>
      </c>
      <c r="BY173" s="230">
        <v>1527</v>
      </c>
      <c r="BZ173" s="230">
        <v>1527</v>
      </c>
      <c r="CA173" s="228">
        <v>0</v>
      </c>
      <c r="CB173" s="229">
        <v>-2.0000000000000001E-4</v>
      </c>
      <c r="CC173" s="230">
        <v>1422</v>
      </c>
      <c r="CD173" s="230">
        <v>1425</v>
      </c>
      <c r="CE173" s="228">
        <v>-3</v>
      </c>
      <c r="CF173" s="229">
        <v>-2.3999999999999998E-3</v>
      </c>
      <c r="CG173" s="228">
        <v>100</v>
      </c>
      <c r="CH173" s="228">
        <v>97</v>
      </c>
      <c r="CI173" s="228">
        <v>2</v>
      </c>
      <c r="CJ173" s="229">
        <v>2.24E-2</v>
      </c>
      <c r="CK173" s="228">
        <v>5</v>
      </c>
      <c r="CL173" s="228">
        <v>4</v>
      </c>
      <c r="CM173" s="228">
        <v>1</v>
      </c>
      <c r="CN173" s="229">
        <v>0.2208</v>
      </c>
      <c r="CO173" s="230">
        <v>1472</v>
      </c>
      <c r="CP173" s="230">
        <v>1475</v>
      </c>
      <c r="CQ173" s="228">
        <v>-3</v>
      </c>
      <c r="CR173" s="229">
        <v>-2.0999999999999999E-3</v>
      </c>
      <c r="CS173" s="228">
        <v>518</v>
      </c>
      <c r="CT173" s="228">
        <v>513</v>
      </c>
      <c r="CU173" s="228">
        <v>5</v>
      </c>
      <c r="CV173" s="229">
        <v>8.9999999999999993E-3</v>
      </c>
      <c r="CW173" s="230">
        <v>3516</v>
      </c>
      <c r="CX173" s="230">
        <v>3515</v>
      </c>
      <c r="CY173" s="228">
        <v>1</v>
      </c>
      <c r="CZ173" s="229">
        <v>2.9999999999999997E-4</v>
      </c>
      <c r="DA173" s="228">
        <v>45.55</v>
      </c>
      <c r="DB173" s="228">
        <v>47.11</v>
      </c>
      <c r="DC173" s="228">
        <v>-1.56</v>
      </c>
      <c r="DD173" s="228">
        <v>-1.56</v>
      </c>
      <c r="DE173" s="228">
        <v>56.21</v>
      </c>
      <c r="DF173" s="228">
        <v>56.31</v>
      </c>
      <c r="DG173" s="228">
        <v>-10.66</v>
      </c>
      <c r="DH173" s="228">
        <v>-0.1</v>
      </c>
      <c r="DI173" s="228">
        <v>45.56</v>
      </c>
      <c r="DJ173" s="228">
        <v>47.37</v>
      </c>
      <c r="DK173" s="228">
        <v>-1.81</v>
      </c>
      <c r="DL173" s="228">
        <v>-1.81</v>
      </c>
      <c r="DM173" s="228">
        <v>45.51</v>
      </c>
      <c r="DN173" s="228">
        <v>46.19</v>
      </c>
      <c r="DO173" s="228">
        <v>-0.68</v>
      </c>
      <c r="DP173" s="228">
        <v>-0.68</v>
      </c>
      <c r="DQ173" s="228">
        <v>0.35</v>
      </c>
      <c r="DR173" s="228">
        <v>0.35</v>
      </c>
      <c r="DS173" s="228">
        <v>0</v>
      </c>
      <c r="DT173" s="229">
        <v>0</v>
      </c>
      <c r="DU173" s="228">
        <v>400</v>
      </c>
      <c r="DV173" s="228">
        <v>320</v>
      </c>
      <c r="DW173" s="228">
        <v>0.26</v>
      </c>
      <c r="DX173" s="228">
        <v>0.28999999999999998</v>
      </c>
      <c r="DY173" s="228">
        <v>-0.03</v>
      </c>
      <c r="DZ173" s="229">
        <v>-0.10340000000000001</v>
      </c>
      <c r="EA173" s="229">
        <v>6.8599999999999994E-2</v>
      </c>
      <c r="EB173" s="230">
        <v>2842600</v>
      </c>
      <c r="EC173" s="229">
        <v>-1.72E-2</v>
      </c>
      <c r="ED173" s="229">
        <v>6.8599999999999994E-2</v>
      </c>
      <c r="EE173" s="228">
        <v>-6.5</v>
      </c>
      <c r="EF173" s="229">
        <v>-1.83E-2</v>
      </c>
      <c r="EG173" s="230">
        <v>1766698</v>
      </c>
      <c r="EH173" s="230">
        <v>3181895</v>
      </c>
      <c r="EI173" s="229">
        <v>-0.44479999999999997</v>
      </c>
      <c r="EJ173" s="229">
        <v>0.20830000000000001</v>
      </c>
      <c r="EK173" s="231">
        <v>1197.1199999999999</v>
      </c>
      <c r="EL173" s="228">
        <v>277.63</v>
      </c>
      <c r="EM173" s="228">
        <v>201.32</v>
      </c>
      <c r="EN173" s="228">
        <v>271.35000000000002</v>
      </c>
      <c r="EO173" s="231">
        <v>1676.07</v>
      </c>
      <c r="EP173" s="231">
        <v>2756.17</v>
      </c>
      <c r="EQ173" s="231">
        <v>-1080.0999999999999</v>
      </c>
      <c r="ER173" s="229">
        <v>-0.39190000000000003</v>
      </c>
      <c r="ES173" s="231">
        <v>1597.54</v>
      </c>
      <c r="ET173" s="228">
        <v>489.56</v>
      </c>
      <c r="EU173" s="231">
        <v>1524.93</v>
      </c>
      <c r="EV173" s="231">
        <v>84941460</v>
      </c>
      <c r="EW173" s="231">
        <v>3612.03</v>
      </c>
      <c r="EX173" s="231">
        <v>3585.32</v>
      </c>
      <c r="EY173" s="228">
        <v>26.71</v>
      </c>
      <c r="EZ173" s="229">
        <v>7.4000000000000003E-3</v>
      </c>
      <c r="FA173" s="229">
        <v>1.1577</v>
      </c>
      <c r="FB173" s="227" t="s">
        <v>556</v>
      </c>
      <c r="FC173">
        <f t="shared" si="3"/>
        <v>0</v>
      </c>
    </row>
    <row r="174" spans="1:159" ht="17.25" thickBot="1" x14ac:dyDescent="0.3">
      <c r="A174" s="226">
        <v>46023</v>
      </c>
      <c r="B174" s="227" t="s">
        <v>227</v>
      </c>
      <c r="C174" s="227" t="s">
        <v>282</v>
      </c>
      <c r="D174" s="228">
        <v>4700</v>
      </c>
      <c r="E174" s="228">
        <v>26</v>
      </c>
      <c r="F174" s="228">
        <v>149.33000000000001</v>
      </c>
      <c r="G174" s="228">
        <v>147.86000000000001</v>
      </c>
      <c r="H174" s="228">
        <v>1.47</v>
      </c>
      <c r="I174" s="229">
        <v>9.9000000000000008E-3</v>
      </c>
      <c r="J174" s="228">
        <v>148.44999999999999</v>
      </c>
      <c r="K174" s="228">
        <v>146.99</v>
      </c>
      <c r="L174" s="228">
        <v>1.46</v>
      </c>
      <c r="M174" s="229">
        <v>9.9000000000000008E-3</v>
      </c>
      <c r="N174" s="228">
        <v>149.33000000000001</v>
      </c>
      <c r="O174" s="228">
        <v>147.86000000000001</v>
      </c>
      <c r="P174" s="228">
        <v>1.47</v>
      </c>
      <c r="Q174" s="229">
        <v>9.9000000000000008E-3</v>
      </c>
      <c r="R174" s="228">
        <v>149.94999999999999</v>
      </c>
      <c r="S174" s="228">
        <v>148.49</v>
      </c>
      <c r="T174" s="228">
        <v>1.46</v>
      </c>
      <c r="U174" s="229">
        <v>9.7999999999999997E-3</v>
      </c>
      <c r="V174" s="228">
        <v>150.81</v>
      </c>
      <c r="W174" s="228">
        <v>149.13999999999999</v>
      </c>
      <c r="X174" s="228">
        <v>1.67</v>
      </c>
      <c r="Y174" s="229">
        <v>1.12E-2</v>
      </c>
      <c r="Z174" s="228">
        <v>0.88</v>
      </c>
      <c r="AA174" s="228">
        <v>0.87</v>
      </c>
      <c r="AB174" s="228">
        <v>0.01</v>
      </c>
      <c r="AC174" s="229">
        <v>5.8999999999999999E-3</v>
      </c>
      <c r="AD174" s="228">
        <v>0.88</v>
      </c>
      <c r="AE174" s="228">
        <v>0.87</v>
      </c>
      <c r="AF174" s="228">
        <v>0.01</v>
      </c>
      <c r="AG174" s="229">
        <v>5.8999999999999999E-3</v>
      </c>
      <c r="AH174" s="228">
        <v>1.5</v>
      </c>
      <c r="AI174" s="228">
        <v>1.5</v>
      </c>
      <c r="AJ174" s="228">
        <v>0</v>
      </c>
      <c r="AK174" s="229">
        <v>1.01E-2</v>
      </c>
      <c r="AL174" s="228">
        <v>2.36</v>
      </c>
      <c r="AM174" s="228">
        <v>2.15</v>
      </c>
      <c r="AN174" s="228">
        <v>0.21</v>
      </c>
      <c r="AO174" s="229">
        <v>1.5900000000000001E-2</v>
      </c>
      <c r="AP174" s="228">
        <v>148.87</v>
      </c>
      <c r="AQ174" s="228">
        <v>149.72</v>
      </c>
      <c r="AR174" s="228">
        <v>0</v>
      </c>
      <c r="AS174" s="228">
        <v>484</v>
      </c>
      <c r="AT174" s="230">
        <v>1639</v>
      </c>
      <c r="AU174" s="230">
        <v>-1154</v>
      </c>
      <c r="AV174" s="229">
        <v>-0.70430000000000004</v>
      </c>
      <c r="AW174" s="228">
        <v>430</v>
      </c>
      <c r="AX174" s="230">
        <v>1572</v>
      </c>
      <c r="AY174" s="230">
        <v>-1142</v>
      </c>
      <c r="AZ174" s="229">
        <v>-0.72629999999999995</v>
      </c>
      <c r="BA174" s="228">
        <v>45</v>
      </c>
      <c r="BB174" s="228">
        <v>58</v>
      </c>
      <c r="BC174" s="228">
        <v>-13</v>
      </c>
      <c r="BD174" s="229">
        <v>-0.2316</v>
      </c>
      <c r="BE174" s="228">
        <v>10</v>
      </c>
      <c r="BF174" s="228">
        <v>8</v>
      </c>
      <c r="BG174" s="228">
        <v>1</v>
      </c>
      <c r="BH174" s="229">
        <v>0.124</v>
      </c>
      <c r="BI174" s="230">
        <v>1002</v>
      </c>
      <c r="BJ174" s="230">
        <v>3755</v>
      </c>
      <c r="BK174" s="230">
        <v>-2753</v>
      </c>
      <c r="BL174" s="229">
        <v>-0.73319999999999996</v>
      </c>
      <c r="BM174" s="228">
        <v>629</v>
      </c>
      <c r="BN174" s="230">
        <v>2134</v>
      </c>
      <c r="BO174" s="230">
        <v>-1505</v>
      </c>
      <c r="BP174" s="229">
        <v>-0.70530000000000004</v>
      </c>
      <c r="BQ174" s="230">
        <v>2115</v>
      </c>
      <c r="BR174" s="230">
        <v>7527</v>
      </c>
      <c r="BS174" s="230">
        <v>-5412</v>
      </c>
      <c r="BT174" s="229">
        <v>-0.71899999999999997</v>
      </c>
      <c r="BU174" s="230">
        <v>23853461</v>
      </c>
      <c r="BV174" s="230">
        <v>72050724</v>
      </c>
      <c r="BW174" s="230">
        <v>-48197263</v>
      </c>
      <c r="BX174" s="229">
        <v>-0.66890000000000005</v>
      </c>
      <c r="BY174" s="230">
        <v>3093</v>
      </c>
      <c r="BZ174" s="230">
        <v>3053</v>
      </c>
      <c r="CA174" s="228">
        <v>40</v>
      </c>
      <c r="CB174" s="229">
        <v>1.3100000000000001E-2</v>
      </c>
      <c r="CC174" s="230">
        <v>2983</v>
      </c>
      <c r="CD174" s="230">
        <v>2966</v>
      </c>
      <c r="CE174" s="228">
        <v>17</v>
      </c>
      <c r="CF174" s="229">
        <v>5.7999999999999996E-3</v>
      </c>
      <c r="CG174" s="228">
        <v>99</v>
      </c>
      <c r="CH174" s="228">
        <v>83</v>
      </c>
      <c r="CI174" s="228">
        <v>17</v>
      </c>
      <c r="CJ174" s="229">
        <v>0.20319999999999999</v>
      </c>
      <c r="CK174" s="228">
        <v>11</v>
      </c>
      <c r="CL174" s="228">
        <v>5</v>
      </c>
      <c r="CM174" s="228">
        <v>6</v>
      </c>
      <c r="CN174" s="229">
        <v>1.2794000000000001</v>
      </c>
      <c r="CO174" s="228">
        <v>791</v>
      </c>
      <c r="CP174" s="228">
        <v>770</v>
      </c>
      <c r="CQ174" s="228">
        <v>20</v>
      </c>
      <c r="CR174" s="229">
        <v>2.6499999999999999E-2</v>
      </c>
      <c r="CS174" s="228">
        <v>617</v>
      </c>
      <c r="CT174" s="228">
        <v>596</v>
      </c>
      <c r="CU174" s="228">
        <v>22</v>
      </c>
      <c r="CV174" s="229">
        <v>3.6299999999999999E-2</v>
      </c>
      <c r="CW174" s="230">
        <v>4501</v>
      </c>
      <c r="CX174" s="230">
        <v>4419</v>
      </c>
      <c r="CY174" s="228">
        <v>82</v>
      </c>
      <c r="CZ174" s="229">
        <v>1.8599999999999998E-2</v>
      </c>
      <c r="DA174" s="228">
        <v>34.69</v>
      </c>
      <c r="DB174" s="228">
        <v>35.520000000000003</v>
      </c>
      <c r="DC174" s="228">
        <v>-0.83</v>
      </c>
      <c r="DD174" s="228">
        <v>-0.83</v>
      </c>
      <c r="DE174" s="228">
        <v>43.63</v>
      </c>
      <c r="DF174" s="228">
        <v>43.72</v>
      </c>
      <c r="DG174" s="228">
        <v>-8.94</v>
      </c>
      <c r="DH174" s="228">
        <v>-0.09</v>
      </c>
      <c r="DI174" s="228">
        <v>34.4</v>
      </c>
      <c r="DJ174" s="228">
        <v>35.24</v>
      </c>
      <c r="DK174" s="228">
        <v>-0.84</v>
      </c>
      <c r="DL174" s="228">
        <v>-0.84</v>
      </c>
      <c r="DM174" s="228">
        <v>35.159999999999997</v>
      </c>
      <c r="DN174" s="228">
        <v>36</v>
      </c>
      <c r="DO174" s="228">
        <v>-0.84</v>
      </c>
      <c r="DP174" s="228">
        <v>-0.84</v>
      </c>
      <c r="DQ174" s="228">
        <v>0.78</v>
      </c>
      <c r="DR174" s="228">
        <v>0.77</v>
      </c>
      <c r="DS174" s="228">
        <v>0.01</v>
      </c>
      <c r="DT174" s="229">
        <v>1.2999999999999999E-2</v>
      </c>
      <c r="DU174" s="228">
        <v>150</v>
      </c>
      <c r="DV174" s="228">
        <v>140</v>
      </c>
      <c r="DW174" s="228">
        <v>0.63</v>
      </c>
      <c r="DX174" s="228">
        <v>0.56999999999999995</v>
      </c>
      <c r="DY174" s="228">
        <v>0.06</v>
      </c>
      <c r="DZ174" s="229">
        <v>0.1053</v>
      </c>
      <c r="EA174" s="229">
        <v>3.56E-2</v>
      </c>
      <c r="EB174" s="230">
        <v>5846800</v>
      </c>
      <c r="EC174" s="229">
        <v>4.1999999999999997E-3</v>
      </c>
      <c r="ED174" s="229">
        <v>3.56E-2</v>
      </c>
      <c r="EE174" s="228">
        <v>0.85</v>
      </c>
      <c r="EF174" s="229">
        <v>5.7000000000000002E-3</v>
      </c>
      <c r="EG174" s="230">
        <v>6594692</v>
      </c>
      <c r="EH174" s="230">
        <v>18556171</v>
      </c>
      <c r="EI174" s="229">
        <v>-0.64459999999999995</v>
      </c>
      <c r="EJ174" s="229">
        <v>0.27650000000000002</v>
      </c>
      <c r="EK174" s="231">
        <v>1053.5899999999999</v>
      </c>
      <c r="EL174" s="228">
        <v>606.65</v>
      </c>
      <c r="EM174" s="228">
        <v>483.34</v>
      </c>
      <c r="EN174" s="228">
        <v>285.07</v>
      </c>
      <c r="EO174" s="231">
        <v>2143.58</v>
      </c>
      <c r="EP174" s="231">
        <v>7552.32</v>
      </c>
      <c r="EQ174" s="231">
        <v>-5408.74</v>
      </c>
      <c r="ER174" s="229">
        <v>-0.71619999999999995</v>
      </c>
      <c r="ES174" s="228">
        <v>787.92</v>
      </c>
      <c r="ET174" s="228">
        <v>560.09</v>
      </c>
      <c r="EU174" s="231">
        <v>3093.72</v>
      </c>
      <c r="EV174" s="231">
        <v>216861410</v>
      </c>
      <c r="EW174" s="231">
        <v>4441.72</v>
      </c>
      <c r="EX174" s="231">
        <v>4326.51</v>
      </c>
      <c r="EY174" s="228">
        <v>115.21</v>
      </c>
      <c r="EZ174" s="229">
        <v>2.6599999999999999E-2</v>
      </c>
      <c r="FA174" s="229">
        <v>1.3898999999999999</v>
      </c>
      <c r="FB174" s="227" t="s">
        <v>555</v>
      </c>
      <c r="FC174">
        <f t="shared" si="3"/>
        <v>0</v>
      </c>
    </row>
    <row r="175" spans="1:159" ht="17.25" thickBot="1" x14ac:dyDescent="0.3">
      <c r="A175" s="226">
        <v>46023</v>
      </c>
      <c r="B175" s="227" t="s">
        <v>175</v>
      </c>
      <c r="C175" s="227" t="s">
        <v>686</v>
      </c>
      <c r="D175" s="228">
        <v>4300</v>
      </c>
      <c r="E175" s="228">
        <v>26</v>
      </c>
      <c r="F175" s="228">
        <v>145.30000000000001</v>
      </c>
      <c r="G175" s="228">
        <v>146.69</v>
      </c>
      <c r="H175" s="228">
        <v>-1.39</v>
      </c>
      <c r="I175" s="229">
        <v>-9.4999999999999998E-3</v>
      </c>
      <c r="J175" s="228">
        <v>144.21</v>
      </c>
      <c r="K175" s="228">
        <v>145.63999999999999</v>
      </c>
      <c r="L175" s="228">
        <v>-1.43</v>
      </c>
      <c r="M175" s="229">
        <v>-9.7999999999999997E-3</v>
      </c>
      <c r="N175" s="228">
        <v>145.30000000000001</v>
      </c>
      <c r="O175" s="228">
        <v>146.69</v>
      </c>
      <c r="P175" s="228">
        <v>-1.39</v>
      </c>
      <c r="Q175" s="229">
        <v>-9.4999999999999998E-3</v>
      </c>
      <c r="R175" s="228">
        <v>146.11000000000001</v>
      </c>
      <c r="S175" s="228">
        <v>147.69</v>
      </c>
      <c r="T175" s="228">
        <v>-1.58</v>
      </c>
      <c r="U175" s="229">
        <v>-1.0699999999999999E-2</v>
      </c>
      <c r="V175" s="228">
        <v>147.09</v>
      </c>
      <c r="W175" s="228">
        <v>148.62</v>
      </c>
      <c r="X175" s="228">
        <v>-1.53</v>
      </c>
      <c r="Y175" s="229">
        <v>-1.03E-2</v>
      </c>
      <c r="Z175" s="228">
        <v>1.0900000000000001</v>
      </c>
      <c r="AA175" s="228">
        <v>1.05</v>
      </c>
      <c r="AB175" s="228">
        <v>0.04</v>
      </c>
      <c r="AC175" s="229">
        <v>7.6E-3</v>
      </c>
      <c r="AD175" s="228">
        <v>1.0900000000000001</v>
      </c>
      <c r="AE175" s="228">
        <v>1.05</v>
      </c>
      <c r="AF175" s="228">
        <v>0.04</v>
      </c>
      <c r="AG175" s="229">
        <v>7.6E-3</v>
      </c>
      <c r="AH175" s="228">
        <v>1.9</v>
      </c>
      <c r="AI175" s="228">
        <v>2.0499999999999998</v>
      </c>
      <c r="AJ175" s="228">
        <v>-0.15</v>
      </c>
      <c r="AK175" s="229">
        <v>1.32E-2</v>
      </c>
      <c r="AL175" s="228">
        <v>2.88</v>
      </c>
      <c r="AM175" s="228">
        <v>2.98</v>
      </c>
      <c r="AN175" s="228">
        <v>-0.1</v>
      </c>
      <c r="AO175" s="229">
        <v>0.02</v>
      </c>
      <c r="AP175" s="228">
        <v>145.55000000000001</v>
      </c>
      <c r="AQ175" s="228">
        <v>146.32</v>
      </c>
      <c r="AR175" s="228">
        <v>0</v>
      </c>
      <c r="AS175" s="228">
        <v>121</v>
      </c>
      <c r="AT175" s="228">
        <v>655</v>
      </c>
      <c r="AU175" s="228">
        <v>-535</v>
      </c>
      <c r="AV175" s="229">
        <v>-0.81610000000000005</v>
      </c>
      <c r="AW175" s="228">
        <v>110</v>
      </c>
      <c r="AX175" s="228">
        <v>604</v>
      </c>
      <c r="AY175" s="228">
        <v>-494</v>
      </c>
      <c r="AZ175" s="229">
        <v>-0.81820000000000004</v>
      </c>
      <c r="BA175" s="228">
        <v>10</v>
      </c>
      <c r="BB175" s="228">
        <v>49</v>
      </c>
      <c r="BC175" s="228">
        <v>-40</v>
      </c>
      <c r="BD175" s="229">
        <v>-0.80530000000000002</v>
      </c>
      <c r="BE175" s="228">
        <v>1</v>
      </c>
      <c r="BF175" s="228">
        <v>2</v>
      </c>
      <c r="BG175" s="228">
        <v>-1</v>
      </c>
      <c r="BH175" s="229">
        <v>-0.52500000000000002</v>
      </c>
      <c r="BI175" s="228">
        <v>203</v>
      </c>
      <c r="BJ175" s="230">
        <v>1243</v>
      </c>
      <c r="BK175" s="230">
        <v>-1041</v>
      </c>
      <c r="BL175" s="229">
        <v>-0.83689999999999998</v>
      </c>
      <c r="BM175" s="228">
        <v>175</v>
      </c>
      <c r="BN175" s="228">
        <v>550</v>
      </c>
      <c r="BO175" s="228">
        <v>-374</v>
      </c>
      <c r="BP175" s="229">
        <v>-0.68149999999999999</v>
      </c>
      <c r="BQ175" s="228">
        <v>498</v>
      </c>
      <c r="BR175" s="230">
        <v>2448</v>
      </c>
      <c r="BS175" s="230">
        <v>-1950</v>
      </c>
      <c r="BT175" s="229">
        <v>-0.79649999999999999</v>
      </c>
      <c r="BU175" s="230">
        <v>5883721</v>
      </c>
      <c r="BV175" s="230">
        <v>39493816</v>
      </c>
      <c r="BW175" s="230">
        <v>-33610095</v>
      </c>
      <c r="BX175" s="229">
        <v>-0.85099999999999998</v>
      </c>
      <c r="BY175" s="230">
        <v>1460</v>
      </c>
      <c r="BZ175" s="230">
        <v>1431</v>
      </c>
      <c r="CA175" s="228">
        <v>30</v>
      </c>
      <c r="CB175" s="229">
        <v>2.07E-2</v>
      </c>
      <c r="CC175" s="230">
        <v>1402</v>
      </c>
      <c r="CD175" s="230">
        <v>1378</v>
      </c>
      <c r="CE175" s="228">
        <v>24</v>
      </c>
      <c r="CF175" s="229">
        <v>1.7399999999999999E-2</v>
      </c>
      <c r="CG175" s="228">
        <v>55</v>
      </c>
      <c r="CH175" s="228">
        <v>51</v>
      </c>
      <c r="CI175" s="228">
        <v>5</v>
      </c>
      <c r="CJ175" s="229">
        <v>8.9599999999999999E-2</v>
      </c>
      <c r="CK175" s="228">
        <v>3</v>
      </c>
      <c r="CL175" s="228">
        <v>2</v>
      </c>
      <c r="CM175" s="228">
        <v>1</v>
      </c>
      <c r="CN175" s="229">
        <v>0.61539999999999995</v>
      </c>
      <c r="CO175" s="228">
        <v>371</v>
      </c>
      <c r="CP175" s="228">
        <v>322</v>
      </c>
      <c r="CQ175" s="228">
        <v>49</v>
      </c>
      <c r="CR175" s="229">
        <v>0.15179999999999999</v>
      </c>
      <c r="CS175" s="228">
        <v>278</v>
      </c>
      <c r="CT175" s="228">
        <v>237</v>
      </c>
      <c r="CU175" s="228">
        <v>42</v>
      </c>
      <c r="CV175" s="229">
        <v>0.17560000000000001</v>
      </c>
      <c r="CW175" s="230">
        <v>2110</v>
      </c>
      <c r="CX175" s="230">
        <v>1990</v>
      </c>
      <c r="CY175" s="228">
        <v>120</v>
      </c>
      <c r="CZ175" s="229">
        <v>6.0299999999999999E-2</v>
      </c>
      <c r="DA175" s="228">
        <v>33.659999999999997</v>
      </c>
      <c r="DB175" s="228">
        <v>36.659999999999997</v>
      </c>
      <c r="DC175" s="228">
        <v>-3</v>
      </c>
      <c r="DD175" s="228">
        <v>-3</v>
      </c>
      <c r="DE175" s="228">
        <v>56.46</v>
      </c>
      <c r="DF175" s="228">
        <v>56.58</v>
      </c>
      <c r="DG175" s="228">
        <v>-22.8</v>
      </c>
      <c r="DH175" s="228">
        <v>-0.12</v>
      </c>
      <c r="DI175" s="228">
        <v>34.32</v>
      </c>
      <c r="DJ175" s="228">
        <v>36.83</v>
      </c>
      <c r="DK175" s="228">
        <v>-2.5099999999999998</v>
      </c>
      <c r="DL175" s="228">
        <v>-2.5099999999999998</v>
      </c>
      <c r="DM175" s="228">
        <v>32.89</v>
      </c>
      <c r="DN175" s="228">
        <v>36.26</v>
      </c>
      <c r="DO175" s="228">
        <v>-3.37</v>
      </c>
      <c r="DP175" s="228">
        <v>-3.37</v>
      </c>
      <c r="DQ175" s="228">
        <v>0.75</v>
      </c>
      <c r="DR175" s="228">
        <v>0.73</v>
      </c>
      <c r="DS175" s="228">
        <v>0.02</v>
      </c>
      <c r="DT175" s="229">
        <v>2.7400000000000001E-2</v>
      </c>
      <c r="DU175" s="228">
        <v>150</v>
      </c>
      <c r="DV175" s="228">
        <v>140</v>
      </c>
      <c r="DW175" s="228">
        <v>0.86</v>
      </c>
      <c r="DX175" s="228">
        <v>0.44</v>
      </c>
      <c r="DY175" s="228">
        <v>0.42</v>
      </c>
      <c r="DZ175" s="229">
        <v>0.95450000000000002</v>
      </c>
      <c r="EA175" s="229">
        <v>3.9800000000000002E-2</v>
      </c>
      <c r="EB175" s="230">
        <v>3616300</v>
      </c>
      <c r="EC175" s="229">
        <v>5.5999999999999999E-3</v>
      </c>
      <c r="ED175" s="229">
        <v>3.9800000000000002E-2</v>
      </c>
      <c r="EE175" s="228">
        <v>0.77</v>
      </c>
      <c r="EF175" s="229">
        <v>5.3E-3</v>
      </c>
      <c r="EG175" s="230">
        <v>2404266</v>
      </c>
      <c r="EH175" s="230">
        <v>19707692</v>
      </c>
      <c r="EI175" s="229">
        <v>-0.878</v>
      </c>
      <c r="EJ175" s="229">
        <v>0.40860000000000002</v>
      </c>
      <c r="EK175" s="228">
        <v>217.56</v>
      </c>
      <c r="EL175" s="228">
        <v>170.41</v>
      </c>
      <c r="EM175" s="228">
        <v>120.8</v>
      </c>
      <c r="EN175" s="228">
        <v>105.26</v>
      </c>
      <c r="EO175" s="228">
        <v>508.76</v>
      </c>
      <c r="EP175" s="231">
        <v>2555.69</v>
      </c>
      <c r="EQ175" s="231">
        <v>-2046.93</v>
      </c>
      <c r="ER175" s="229">
        <v>-0.80089999999999995</v>
      </c>
      <c r="ES175" s="228">
        <v>395.31</v>
      </c>
      <c r="ET175" s="228">
        <v>269.62</v>
      </c>
      <c r="EU175" s="231">
        <v>1460.54</v>
      </c>
      <c r="EV175" s="231">
        <v>122326971</v>
      </c>
      <c r="EW175" s="231">
        <v>2125.4699999999998</v>
      </c>
      <c r="EX175" s="231">
        <v>2018.25</v>
      </c>
      <c r="EY175" s="228">
        <v>107.22</v>
      </c>
      <c r="EZ175" s="229">
        <v>5.3100000000000001E-2</v>
      </c>
      <c r="FA175" s="229">
        <v>1.1869000000000001</v>
      </c>
      <c r="FB175" s="227" t="s">
        <v>567</v>
      </c>
      <c r="FC175">
        <f t="shared" si="3"/>
        <v>0</v>
      </c>
    </row>
    <row r="176" spans="1:159" ht="17.25" thickBot="1" x14ac:dyDescent="0.3">
      <c r="A176" s="226">
        <v>46023</v>
      </c>
      <c r="B176" s="227" t="s">
        <v>175</v>
      </c>
      <c r="C176" s="227" t="s">
        <v>536</v>
      </c>
      <c r="D176" s="228">
        <v>800</v>
      </c>
      <c r="E176" s="228">
        <v>26</v>
      </c>
      <c r="F176" s="228">
        <v>861.75</v>
      </c>
      <c r="G176" s="228">
        <v>866.8</v>
      </c>
      <c r="H176" s="228">
        <v>-5.05</v>
      </c>
      <c r="I176" s="229">
        <v>-5.7999999999999996E-3</v>
      </c>
      <c r="J176" s="228">
        <v>859.5</v>
      </c>
      <c r="K176" s="228">
        <v>861.7</v>
      </c>
      <c r="L176" s="228">
        <v>-2.2000000000000002</v>
      </c>
      <c r="M176" s="229">
        <v>-2.5999999999999999E-3</v>
      </c>
      <c r="N176" s="228">
        <v>861.75</v>
      </c>
      <c r="O176" s="228">
        <v>866.8</v>
      </c>
      <c r="P176" s="228">
        <v>-5.05</v>
      </c>
      <c r="Q176" s="229">
        <v>-5.7999999999999996E-3</v>
      </c>
      <c r="R176" s="228">
        <v>856.85</v>
      </c>
      <c r="S176" s="228">
        <v>861.2</v>
      </c>
      <c r="T176" s="228">
        <v>-4.3499999999999996</v>
      </c>
      <c r="U176" s="229">
        <v>-5.1000000000000004E-3</v>
      </c>
      <c r="V176" s="228">
        <v>857</v>
      </c>
      <c r="W176" s="228">
        <v>858.1</v>
      </c>
      <c r="X176" s="228">
        <v>-1.1000000000000001</v>
      </c>
      <c r="Y176" s="229">
        <v>-1.2999999999999999E-3</v>
      </c>
      <c r="Z176" s="228">
        <v>2.25</v>
      </c>
      <c r="AA176" s="228">
        <v>5.0999999999999996</v>
      </c>
      <c r="AB176" s="228">
        <v>-2.85</v>
      </c>
      <c r="AC176" s="229">
        <v>2.5999999999999999E-3</v>
      </c>
      <c r="AD176" s="228">
        <v>2.25</v>
      </c>
      <c r="AE176" s="228">
        <v>5.0999999999999996</v>
      </c>
      <c r="AF176" s="228">
        <v>-2.85</v>
      </c>
      <c r="AG176" s="229">
        <v>2.5999999999999999E-3</v>
      </c>
      <c r="AH176" s="228">
        <v>-2.65</v>
      </c>
      <c r="AI176" s="228">
        <v>-0.5</v>
      </c>
      <c r="AJ176" s="228">
        <v>-2.15</v>
      </c>
      <c r="AK176" s="229">
        <v>-3.0999999999999999E-3</v>
      </c>
      <c r="AL176" s="228">
        <v>-2.5</v>
      </c>
      <c r="AM176" s="228">
        <v>-3.6</v>
      </c>
      <c r="AN176" s="228">
        <v>1.1000000000000001</v>
      </c>
      <c r="AO176" s="229">
        <v>-2.8999999999999998E-3</v>
      </c>
      <c r="AP176" s="228">
        <v>864.37</v>
      </c>
      <c r="AQ176" s="228">
        <v>860.39</v>
      </c>
      <c r="AR176" s="228">
        <v>0</v>
      </c>
      <c r="AS176" s="228">
        <v>148</v>
      </c>
      <c r="AT176" s="228">
        <v>343</v>
      </c>
      <c r="AU176" s="228">
        <v>-196</v>
      </c>
      <c r="AV176" s="229">
        <v>-0.5696</v>
      </c>
      <c r="AW176" s="228">
        <v>136</v>
      </c>
      <c r="AX176" s="228">
        <v>328</v>
      </c>
      <c r="AY176" s="228">
        <v>-192</v>
      </c>
      <c r="AZ176" s="229">
        <v>-0.58599999999999997</v>
      </c>
      <c r="BA176" s="228">
        <v>11</v>
      </c>
      <c r="BB176" s="228">
        <v>14</v>
      </c>
      <c r="BC176" s="228">
        <v>-3</v>
      </c>
      <c r="BD176" s="229">
        <v>-0.2195</v>
      </c>
      <c r="BE176" s="228">
        <v>1</v>
      </c>
      <c r="BF176" s="228">
        <v>1</v>
      </c>
      <c r="BG176" s="228">
        <v>0</v>
      </c>
      <c r="BH176" s="229">
        <v>-0.1875</v>
      </c>
      <c r="BI176" s="228">
        <v>183</v>
      </c>
      <c r="BJ176" s="228">
        <v>580</v>
      </c>
      <c r="BK176" s="228">
        <v>-397</v>
      </c>
      <c r="BL176" s="229">
        <v>-0.6845</v>
      </c>
      <c r="BM176" s="228">
        <v>118</v>
      </c>
      <c r="BN176" s="228">
        <v>311</v>
      </c>
      <c r="BO176" s="228">
        <v>-193</v>
      </c>
      <c r="BP176" s="229">
        <v>-0.62050000000000005</v>
      </c>
      <c r="BQ176" s="228">
        <v>449</v>
      </c>
      <c r="BR176" s="230">
        <v>1234</v>
      </c>
      <c r="BS176" s="228">
        <v>-785</v>
      </c>
      <c r="BT176" s="229">
        <v>-0.63639999999999997</v>
      </c>
      <c r="BU176" s="230">
        <v>509561</v>
      </c>
      <c r="BV176" s="230">
        <v>1131198</v>
      </c>
      <c r="BW176" s="230">
        <v>-621637</v>
      </c>
      <c r="BX176" s="229">
        <v>-0.54949999999999999</v>
      </c>
      <c r="BY176" s="230">
        <v>1415</v>
      </c>
      <c r="BZ176" s="230">
        <v>1392</v>
      </c>
      <c r="CA176" s="228">
        <v>23</v>
      </c>
      <c r="CB176" s="229">
        <v>1.6199999999999999E-2</v>
      </c>
      <c r="CC176" s="230">
        <v>1376</v>
      </c>
      <c r="CD176" s="230">
        <v>1358</v>
      </c>
      <c r="CE176" s="228">
        <v>18</v>
      </c>
      <c r="CF176" s="229">
        <v>1.29E-2</v>
      </c>
      <c r="CG176" s="228">
        <v>37</v>
      </c>
      <c r="CH176" s="228">
        <v>33</v>
      </c>
      <c r="CI176" s="228">
        <v>4</v>
      </c>
      <c r="CJ176" s="229">
        <v>0.1303</v>
      </c>
      <c r="CK176" s="228">
        <v>2</v>
      </c>
      <c r="CL176" s="228">
        <v>1</v>
      </c>
      <c r="CM176" s="228">
        <v>1</v>
      </c>
      <c r="CN176" s="229">
        <v>1.0909</v>
      </c>
      <c r="CO176" s="228">
        <v>311</v>
      </c>
      <c r="CP176" s="228">
        <v>289</v>
      </c>
      <c r="CQ176" s="228">
        <v>22</v>
      </c>
      <c r="CR176" s="229">
        <v>7.5700000000000003E-2</v>
      </c>
      <c r="CS176" s="228">
        <v>247</v>
      </c>
      <c r="CT176" s="228">
        <v>224</v>
      </c>
      <c r="CU176" s="228">
        <v>23</v>
      </c>
      <c r="CV176" s="229">
        <v>0.1033</v>
      </c>
      <c r="CW176" s="230">
        <v>1972</v>
      </c>
      <c r="CX176" s="230">
        <v>1905</v>
      </c>
      <c r="CY176" s="228">
        <v>68</v>
      </c>
      <c r="CZ176" s="229">
        <v>3.5499999999999997E-2</v>
      </c>
      <c r="DA176" s="228">
        <v>24.7</v>
      </c>
      <c r="DB176" s="228">
        <v>24.66</v>
      </c>
      <c r="DC176" s="228">
        <v>0.04</v>
      </c>
      <c r="DD176" s="228">
        <v>0.04</v>
      </c>
      <c r="DE176" s="228">
        <v>29.13</v>
      </c>
      <c r="DF176" s="228">
        <v>29.21</v>
      </c>
      <c r="DG176" s="228">
        <v>-4.43</v>
      </c>
      <c r="DH176" s="228">
        <v>-0.08</v>
      </c>
      <c r="DI176" s="228">
        <v>24.81</v>
      </c>
      <c r="DJ176" s="228">
        <v>24.38</v>
      </c>
      <c r="DK176" s="228">
        <v>0.43</v>
      </c>
      <c r="DL176" s="228">
        <v>0.43</v>
      </c>
      <c r="DM176" s="228">
        <v>24.55</v>
      </c>
      <c r="DN176" s="228">
        <v>25.18</v>
      </c>
      <c r="DO176" s="228">
        <v>-0.63</v>
      </c>
      <c r="DP176" s="228">
        <v>-0.63</v>
      </c>
      <c r="DQ176" s="228">
        <v>0.8</v>
      </c>
      <c r="DR176" s="228">
        <v>0.78</v>
      </c>
      <c r="DS176" s="228">
        <v>0.02</v>
      </c>
      <c r="DT176" s="229">
        <v>2.5600000000000001E-2</v>
      </c>
      <c r="DU176" s="228">
        <v>950</v>
      </c>
      <c r="DV176" s="228">
        <v>800</v>
      </c>
      <c r="DW176" s="228">
        <v>0.65</v>
      </c>
      <c r="DX176" s="228">
        <v>0.54</v>
      </c>
      <c r="DY176" s="228">
        <v>0.11</v>
      </c>
      <c r="DZ176" s="229">
        <v>0.20369999999999999</v>
      </c>
      <c r="EA176" s="229">
        <v>2.7300000000000001E-2</v>
      </c>
      <c r="EB176" s="230">
        <v>389600</v>
      </c>
      <c r="EC176" s="229">
        <v>-5.7000000000000002E-3</v>
      </c>
      <c r="ED176" s="229">
        <v>2.7300000000000001E-2</v>
      </c>
      <c r="EE176" s="228">
        <v>-3.98</v>
      </c>
      <c r="EF176" s="229">
        <v>-4.5999999999999999E-3</v>
      </c>
      <c r="EG176" s="230">
        <v>322688</v>
      </c>
      <c r="EH176" s="230">
        <v>595876</v>
      </c>
      <c r="EI176" s="229">
        <v>-0.45850000000000002</v>
      </c>
      <c r="EJ176" s="229">
        <v>0.63329999999999997</v>
      </c>
      <c r="EK176" s="228">
        <v>194.98</v>
      </c>
      <c r="EL176" s="228">
        <v>113.78</v>
      </c>
      <c r="EM176" s="228">
        <v>148.13</v>
      </c>
      <c r="EN176" s="228">
        <v>135.18</v>
      </c>
      <c r="EO176" s="228">
        <v>456.89</v>
      </c>
      <c r="EP176" s="231">
        <v>1257.8699999999999</v>
      </c>
      <c r="EQ176" s="228">
        <v>-800.98</v>
      </c>
      <c r="ER176" s="229">
        <v>-0.63680000000000003</v>
      </c>
      <c r="ES176" s="228">
        <v>329.56</v>
      </c>
      <c r="ET176" s="228">
        <v>234.67</v>
      </c>
      <c r="EU176" s="231">
        <v>1414.36</v>
      </c>
      <c r="EV176" s="231">
        <v>44836888</v>
      </c>
      <c r="EW176" s="231">
        <v>1978.59</v>
      </c>
      <c r="EX176" s="231">
        <v>1919.6</v>
      </c>
      <c r="EY176" s="228">
        <v>58.99</v>
      </c>
      <c r="EZ176" s="229">
        <v>3.0700000000000002E-2</v>
      </c>
      <c r="FA176" s="229">
        <v>0.51049999999999995</v>
      </c>
      <c r="FB176" s="227" t="s">
        <v>567</v>
      </c>
      <c r="FC176">
        <f t="shared" si="3"/>
        <v>0</v>
      </c>
    </row>
    <row r="177" spans="1:159" ht="17.25" thickBot="1" x14ac:dyDescent="0.3">
      <c r="A177" s="226">
        <v>46023</v>
      </c>
      <c r="B177" s="227" t="s">
        <v>175</v>
      </c>
      <c r="C177" s="227" t="s">
        <v>462</v>
      </c>
      <c r="D177" s="228">
        <v>375</v>
      </c>
      <c r="E177" s="228">
        <v>26</v>
      </c>
      <c r="F177" s="231">
        <v>2053.4</v>
      </c>
      <c r="G177" s="231">
        <v>2047.7</v>
      </c>
      <c r="H177" s="228">
        <v>5.7</v>
      </c>
      <c r="I177" s="229">
        <v>2.8E-3</v>
      </c>
      <c r="J177" s="231">
        <v>2040.4</v>
      </c>
      <c r="K177" s="231">
        <v>2034.9</v>
      </c>
      <c r="L177" s="228">
        <v>5.5</v>
      </c>
      <c r="M177" s="229">
        <v>2.7000000000000001E-3</v>
      </c>
      <c r="N177" s="231">
        <v>2053.4</v>
      </c>
      <c r="O177" s="231">
        <v>2047.7</v>
      </c>
      <c r="P177" s="228">
        <v>5.7</v>
      </c>
      <c r="Q177" s="229">
        <v>2.8E-3</v>
      </c>
      <c r="R177" s="231">
        <v>2065.4</v>
      </c>
      <c r="S177" s="231">
        <v>2058.8000000000002</v>
      </c>
      <c r="T177" s="228">
        <v>6.6</v>
      </c>
      <c r="U177" s="229">
        <v>3.2000000000000002E-3</v>
      </c>
      <c r="V177" s="231">
        <v>2073.4</v>
      </c>
      <c r="W177" s="231">
        <v>2061.1</v>
      </c>
      <c r="X177" s="228">
        <v>12.3</v>
      </c>
      <c r="Y177" s="229">
        <v>6.0000000000000001E-3</v>
      </c>
      <c r="Z177" s="228">
        <v>13</v>
      </c>
      <c r="AA177" s="228">
        <v>12.8</v>
      </c>
      <c r="AB177" s="228">
        <v>0.2</v>
      </c>
      <c r="AC177" s="229">
        <v>6.4000000000000003E-3</v>
      </c>
      <c r="AD177" s="228">
        <v>13</v>
      </c>
      <c r="AE177" s="228">
        <v>12.8</v>
      </c>
      <c r="AF177" s="228">
        <v>0.2</v>
      </c>
      <c r="AG177" s="229">
        <v>6.4000000000000003E-3</v>
      </c>
      <c r="AH177" s="228">
        <v>25</v>
      </c>
      <c r="AI177" s="228">
        <v>23.9</v>
      </c>
      <c r="AJ177" s="228">
        <v>1.1000000000000001</v>
      </c>
      <c r="AK177" s="229">
        <v>1.23E-2</v>
      </c>
      <c r="AL177" s="228">
        <v>33</v>
      </c>
      <c r="AM177" s="228">
        <v>26.2</v>
      </c>
      <c r="AN177" s="228">
        <v>6.8</v>
      </c>
      <c r="AO177" s="229">
        <v>1.6199999999999999E-2</v>
      </c>
      <c r="AP177" s="231">
        <v>2048.2600000000002</v>
      </c>
      <c r="AQ177" s="231">
        <v>2057.83</v>
      </c>
      <c r="AR177" s="228">
        <v>0</v>
      </c>
      <c r="AS177" s="228">
        <v>101</v>
      </c>
      <c r="AT177" s="228">
        <v>209</v>
      </c>
      <c r="AU177" s="228">
        <v>-108</v>
      </c>
      <c r="AV177" s="229">
        <v>-0.51859999999999995</v>
      </c>
      <c r="AW177" s="228">
        <v>95</v>
      </c>
      <c r="AX177" s="228">
        <v>200</v>
      </c>
      <c r="AY177" s="228">
        <v>-105</v>
      </c>
      <c r="AZ177" s="229">
        <v>-0.52500000000000002</v>
      </c>
      <c r="BA177" s="228">
        <v>4</v>
      </c>
      <c r="BB177" s="228">
        <v>7</v>
      </c>
      <c r="BC177" s="228">
        <v>-3</v>
      </c>
      <c r="BD177" s="229">
        <v>-0.46879999999999999</v>
      </c>
      <c r="BE177" s="228">
        <v>2</v>
      </c>
      <c r="BF177" s="228">
        <v>2</v>
      </c>
      <c r="BG177" s="228">
        <v>0</v>
      </c>
      <c r="BH177" s="229">
        <v>4.7600000000000003E-2</v>
      </c>
      <c r="BI177" s="228">
        <v>245</v>
      </c>
      <c r="BJ177" s="228">
        <v>744</v>
      </c>
      <c r="BK177" s="228">
        <v>-499</v>
      </c>
      <c r="BL177" s="229">
        <v>-0.67110000000000003</v>
      </c>
      <c r="BM177" s="228">
        <v>137</v>
      </c>
      <c r="BN177" s="228">
        <v>233</v>
      </c>
      <c r="BO177" s="228">
        <v>-95</v>
      </c>
      <c r="BP177" s="229">
        <v>-0.40970000000000001</v>
      </c>
      <c r="BQ177" s="228">
        <v>483</v>
      </c>
      <c r="BR177" s="230">
        <v>1186</v>
      </c>
      <c r="BS177" s="228">
        <v>-703</v>
      </c>
      <c r="BT177" s="229">
        <v>-0.59289999999999998</v>
      </c>
      <c r="BU177" s="230">
        <v>244601</v>
      </c>
      <c r="BV177" s="230">
        <v>757608</v>
      </c>
      <c r="BW177" s="230">
        <v>-513007</v>
      </c>
      <c r="BX177" s="229">
        <v>-0.67710000000000004</v>
      </c>
      <c r="BY177" s="230">
        <v>1689</v>
      </c>
      <c r="BZ177" s="230">
        <v>1669</v>
      </c>
      <c r="CA177" s="228">
        <v>20</v>
      </c>
      <c r="CB177" s="229">
        <v>1.2E-2</v>
      </c>
      <c r="CC177" s="230">
        <v>1661</v>
      </c>
      <c r="CD177" s="230">
        <v>1643</v>
      </c>
      <c r="CE177" s="228">
        <v>18</v>
      </c>
      <c r="CF177" s="229">
        <v>1.12E-2</v>
      </c>
      <c r="CG177" s="228">
        <v>25</v>
      </c>
      <c r="CH177" s="228">
        <v>24</v>
      </c>
      <c r="CI177" s="228">
        <v>1</v>
      </c>
      <c r="CJ177" s="229">
        <v>2.5600000000000001E-2</v>
      </c>
      <c r="CK177" s="228">
        <v>3</v>
      </c>
      <c r="CL177" s="228">
        <v>2</v>
      </c>
      <c r="CM177" s="228">
        <v>1</v>
      </c>
      <c r="CN177" s="229">
        <v>0.61899999999999999</v>
      </c>
      <c r="CO177" s="228">
        <v>355</v>
      </c>
      <c r="CP177" s="228">
        <v>304</v>
      </c>
      <c r="CQ177" s="228">
        <v>50</v>
      </c>
      <c r="CR177" s="229">
        <v>0.16569999999999999</v>
      </c>
      <c r="CS177" s="228">
        <v>198</v>
      </c>
      <c r="CT177" s="228">
        <v>153</v>
      </c>
      <c r="CU177" s="228">
        <v>46</v>
      </c>
      <c r="CV177" s="229">
        <v>0.2979</v>
      </c>
      <c r="CW177" s="230">
        <v>2242</v>
      </c>
      <c r="CX177" s="230">
        <v>2126</v>
      </c>
      <c r="CY177" s="228">
        <v>116</v>
      </c>
      <c r="CZ177" s="229">
        <v>5.4600000000000003E-2</v>
      </c>
      <c r="DA177" s="228">
        <v>20.149999999999999</v>
      </c>
      <c r="DB177" s="228">
        <v>20.52</v>
      </c>
      <c r="DC177" s="228">
        <v>-0.37</v>
      </c>
      <c r="DD177" s="228">
        <v>-0.37</v>
      </c>
      <c r="DE177" s="228">
        <v>23.98</v>
      </c>
      <c r="DF177" s="228">
        <v>24.04</v>
      </c>
      <c r="DG177" s="228">
        <v>-3.83</v>
      </c>
      <c r="DH177" s="228">
        <v>-0.06</v>
      </c>
      <c r="DI177" s="228">
        <v>19.64</v>
      </c>
      <c r="DJ177" s="228">
        <v>20.21</v>
      </c>
      <c r="DK177" s="228">
        <v>-0.56999999999999995</v>
      </c>
      <c r="DL177" s="228">
        <v>-0.56999999999999995</v>
      </c>
      <c r="DM177" s="228">
        <v>21.06</v>
      </c>
      <c r="DN177" s="228">
        <v>21.51</v>
      </c>
      <c r="DO177" s="228">
        <v>-0.45</v>
      </c>
      <c r="DP177" s="228">
        <v>-0.45</v>
      </c>
      <c r="DQ177" s="228">
        <v>0.56000000000000005</v>
      </c>
      <c r="DR177" s="228">
        <v>0.5</v>
      </c>
      <c r="DS177" s="228">
        <v>0.06</v>
      </c>
      <c r="DT177" s="229">
        <v>0.12</v>
      </c>
      <c r="DU177" s="231">
        <v>2240</v>
      </c>
      <c r="DV177" s="231">
        <v>1840</v>
      </c>
      <c r="DW177" s="228">
        <v>0.56000000000000005</v>
      </c>
      <c r="DX177" s="228">
        <v>0.31</v>
      </c>
      <c r="DY177" s="228">
        <v>0.25</v>
      </c>
      <c r="DZ177" s="229">
        <v>0.80649999999999999</v>
      </c>
      <c r="EA177" s="229">
        <v>1.6199999999999999E-2</v>
      </c>
      <c r="EB177" s="230">
        <v>125250</v>
      </c>
      <c r="EC177" s="229">
        <v>5.7999999999999996E-3</v>
      </c>
      <c r="ED177" s="229">
        <v>1.6199999999999999E-2</v>
      </c>
      <c r="EE177" s="228">
        <v>9.57</v>
      </c>
      <c r="EF177" s="229">
        <v>4.7000000000000002E-3</v>
      </c>
      <c r="EG177" s="230">
        <v>119642</v>
      </c>
      <c r="EH177" s="230">
        <v>440796</v>
      </c>
      <c r="EI177" s="229">
        <v>-0.72860000000000003</v>
      </c>
      <c r="EJ177" s="229">
        <v>0.48909999999999998</v>
      </c>
      <c r="EK177" s="228">
        <v>255.8</v>
      </c>
      <c r="EL177" s="228">
        <v>131.49</v>
      </c>
      <c r="EM177" s="228">
        <v>100.42</v>
      </c>
      <c r="EN177" s="228">
        <v>96.13</v>
      </c>
      <c r="EO177" s="228">
        <v>487.71</v>
      </c>
      <c r="EP177" s="231">
        <v>1199.6300000000001</v>
      </c>
      <c r="EQ177" s="228">
        <v>-711.92</v>
      </c>
      <c r="ER177" s="229">
        <v>-0.59340000000000004</v>
      </c>
      <c r="ES177" s="228">
        <v>367.89</v>
      </c>
      <c r="ET177" s="228">
        <v>187.82</v>
      </c>
      <c r="EU177" s="231">
        <v>1688.91</v>
      </c>
      <c r="EV177" s="231">
        <v>44756800</v>
      </c>
      <c r="EW177" s="231">
        <v>2244.62</v>
      </c>
      <c r="EX177" s="231">
        <v>2123.94</v>
      </c>
      <c r="EY177" s="228">
        <v>120.68</v>
      </c>
      <c r="EZ177" s="229">
        <v>5.6800000000000003E-2</v>
      </c>
      <c r="FA177" s="229">
        <v>0.24390000000000001</v>
      </c>
      <c r="FB177" s="227" t="s">
        <v>555</v>
      </c>
      <c r="FC177">
        <f t="shared" si="3"/>
        <v>0</v>
      </c>
    </row>
    <row r="178" spans="1:159" ht="17.25" thickBot="1" x14ac:dyDescent="0.3">
      <c r="A178" s="226">
        <v>46023</v>
      </c>
      <c r="B178" s="227" t="s">
        <v>172</v>
      </c>
      <c r="C178" s="227" t="s">
        <v>283</v>
      </c>
      <c r="D178" s="228">
        <v>750</v>
      </c>
      <c r="E178" s="228">
        <v>26</v>
      </c>
      <c r="F178" s="228">
        <v>988.85</v>
      </c>
      <c r="G178" s="228">
        <v>986.35</v>
      </c>
      <c r="H178" s="228">
        <v>2.5</v>
      </c>
      <c r="I178" s="229">
        <v>2.5000000000000001E-3</v>
      </c>
      <c r="J178" s="228">
        <v>984.75</v>
      </c>
      <c r="K178" s="228">
        <v>982.2</v>
      </c>
      <c r="L178" s="228">
        <v>2.5499999999999998</v>
      </c>
      <c r="M178" s="229">
        <v>2.5999999999999999E-3</v>
      </c>
      <c r="N178" s="228">
        <v>988.85</v>
      </c>
      <c r="O178" s="228">
        <v>986.35</v>
      </c>
      <c r="P178" s="228">
        <v>2.5</v>
      </c>
      <c r="Q178" s="229">
        <v>2.5000000000000001E-3</v>
      </c>
      <c r="R178" s="228">
        <v>994.65</v>
      </c>
      <c r="S178" s="228">
        <v>992.25</v>
      </c>
      <c r="T178" s="228">
        <v>2.4</v>
      </c>
      <c r="U178" s="229">
        <v>2.3999999999999998E-3</v>
      </c>
      <c r="V178" s="231">
        <v>1000.95</v>
      </c>
      <c r="W178" s="228">
        <v>998.65</v>
      </c>
      <c r="X178" s="228">
        <v>2.2999999999999998</v>
      </c>
      <c r="Y178" s="229">
        <v>2.3E-3</v>
      </c>
      <c r="Z178" s="228">
        <v>4.0999999999999996</v>
      </c>
      <c r="AA178" s="228">
        <v>4.1500000000000004</v>
      </c>
      <c r="AB178" s="228">
        <v>-0.05</v>
      </c>
      <c r="AC178" s="229">
        <v>4.1999999999999997E-3</v>
      </c>
      <c r="AD178" s="228">
        <v>4.0999999999999996</v>
      </c>
      <c r="AE178" s="228">
        <v>4.1500000000000004</v>
      </c>
      <c r="AF178" s="228">
        <v>-0.05</v>
      </c>
      <c r="AG178" s="229">
        <v>4.1999999999999997E-3</v>
      </c>
      <c r="AH178" s="228">
        <v>9.9</v>
      </c>
      <c r="AI178" s="228">
        <v>10.050000000000001</v>
      </c>
      <c r="AJ178" s="228">
        <v>-0.15</v>
      </c>
      <c r="AK178" s="229">
        <v>1.01E-2</v>
      </c>
      <c r="AL178" s="228">
        <v>16.2</v>
      </c>
      <c r="AM178" s="228">
        <v>16.45</v>
      </c>
      <c r="AN178" s="228">
        <v>-0.25</v>
      </c>
      <c r="AO178" s="229">
        <v>1.6500000000000001E-2</v>
      </c>
      <c r="AP178" s="228">
        <v>987.86</v>
      </c>
      <c r="AQ178" s="228">
        <v>993.74</v>
      </c>
      <c r="AR178" s="228">
        <v>0</v>
      </c>
      <c r="AS178" s="228">
        <v>569</v>
      </c>
      <c r="AT178" s="228">
        <v>924</v>
      </c>
      <c r="AU178" s="228">
        <v>-355</v>
      </c>
      <c r="AV178" s="229">
        <v>-0.38450000000000001</v>
      </c>
      <c r="AW178" s="228">
        <v>541</v>
      </c>
      <c r="AX178" s="228">
        <v>868</v>
      </c>
      <c r="AY178" s="228">
        <v>-328</v>
      </c>
      <c r="AZ178" s="229">
        <v>-0.37730000000000002</v>
      </c>
      <c r="BA178" s="228">
        <v>21</v>
      </c>
      <c r="BB178" s="228">
        <v>48</v>
      </c>
      <c r="BC178" s="228">
        <v>-27</v>
      </c>
      <c r="BD178" s="229">
        <v>-0.56940000000000002</v>
      </c>
      <c r="BE178" s="228">
        <v>7</v>
      </c>
      <c r="BF178" s="228">
        <v>7</v>
      </c>
      <c r="BG178" s="228">
        <v>0</v>
      </c>
      <c r="BH178" s="229">
        <v>-0.03</v>
      </c>
      <c r="BI178" s="230">
        <v>2843</v>
      </c>
      <c r="BJ178" s="230">
        <v>3687</v>
      </c>
      <c r="BK178" s="228">
        <v>-844</v>
      </c>
      <c r="BL178" s="229">
        <v>-0.2288</v>
      </c>
      <c r="BM178" s="230">
        <v>1678</v>
      </c>
      <c r="BN178" s="230">
        <v>2474</v>
      </c>
      <c r="BO178" s="228">
        <v>-796</v>
      </c>
      <c r="BP178" s="229">
        <v>-0.32179999999999997</v>
      </c>
      <c r="BQ178" s="230">
        <v>5090</v>
      </c>
      <c r="BR178" s="230">
        <v>7085</v>
      </c>
      <c r="BS178" s="230">
        <v>-1995</v>
      </c>
      <c r="BT178" s="229">
        <v>-0.28160000000000002</v>
      </c>
      <c r="BU178" s="230">
        <v>5177002</v>
      </c>
      <c r="BV178" s="230">
        <v>6140199</v>
      </c>
      <c r="BW178" s="230">
        <v>-963197</v>
      </c>
      <c r="BX178" s="229">
        <v>-0.15690000000000001</v>
      </c>
      <c r="BY178" s="230">
        <v>7200</v>
      </c>
      <c r="BZ178" s="230">
        <v>7214</v>
      </c>
      <c r="CA178" s="228">
        <v>-14</v>
      </c>
      <c r="CB178" s="229">
        <v>-1.9E-3</v>
      </c>
      <c r="CC178" s="230">
        <v>7069</v>
      </c>
      <c r="CD178" s="230">
        <v>7089</v>
      </c>
      <c r="CE178" s="228">
        <v>-20</v>
      </c>
      <c r="CF178" s="229">
        <v>-2.8E-3</v>
      </c>
      <c r="CG178" s="228">
        <v>121</v>
      </c>
      <c r="CH178" s="228">
        <v>120</v>
      </c>
      <c r="CI178" s="228">
        <v>1</v>
      </c>
      <c r="CJ178" s="229">
        <v>1.0500000000000001E-2</v>
      </c>
      <c r="CK178" s="228">
        <v>10</v>
      </c>
      <c r="CL178" s="228">
        <v>5</v>
      </c>
      <c r="CM178" s="228">
        <v>5</v>
      </c>
      <c r="CN178" s="229">
        <v>0.95589999999999997</v>
      </c>
      <c r="CO178" s="230">
        <v>1965</v>
      </c>
      <c r="CP178" s="230">
        <v>1816</v>
      </c>
      <c r="CQ178" s="228">
        <v>149</v>
      </c>
      <c r="CR178" s="229">
        <v>8.2100000000000006E-2</v>
      </c>
      <c r="CS178" s="230">
        <v>1742</v>
      </c>
      <c r="CT178" s="230">
        <v>1577</v>
      </c>
      <c r="CU178" s="228">
        <v>164</v>
      </c>
      <c r="CV178" s="229">
        <v>0.1042</v>
      </c>
      <c r="CW178" s="230">
        <v>10907</v>
      </c>
      <c r="CX178" s="230">
        <v>10607</v>
      </c>
      <c r="CY178" s="228">
        <v>300</v>
      </c>
      <c r="CZ178" s="229">
        <v>2.8299999999999999E-2</v>
      </c>
      <c r="DA178" s="228">
        <v>14.9</v>
      </c>
      <c r="DB178" s="228">
        <v>15.26</v>
      </c>
      <c r="DC178" s="228">
        <v>-0.36</v>
      </c>
      <c r="DD178" s="228">
        <v>-0.36</v>
      </c>
      <c r="DE178" s="228">
        <v>24.3</v>
      </c>
      <c r="DF178" s="228">
        <v>24.35</v>
      </c>
      <c r="DG178" s="228">
        <v>-9.4</v>
      </c>
      <c r="DH178" s="228">
        <v>-0.05</v>
      </c>
      <c r="DI178" s="228">
        <v>14.67</v>
      </c>
      <c r="DJ178" s="228">
        <v>15.05</v>
      </c>
      <c r="DK178" s="228">
        <v>-0.38</v>
      </c>
      <c r="DL178" s="228">
        <v>-0.38</v>
      </c>
      <c r="DM178" s="228">
        <v>15.27</v>
      </c>
      <c r="DN178" s="228">
        <v>15.56</v>
      </c>
      <c r="DO178" s="228">
        <v>-0.28999999999999998</v>
      </c>
      <c r="DP178" s="228">
        <v>-0.28999999999999998</v>
      </c>
      <c r="DQ178" s="228">
        <v>0.89</v>
      </c>
      <c r="DR178" s="228">
        <v>0.87</v>
      </c>
      <c r="DS178" s="228">
        <v>0.02</v>
      </c>
      <c r="DT178" s="229">
        <v>2.3E-2</v>
      </c>
      <c r="DU178" s="231">
        <v>1000</v>
      </c>
      <c r="DV178" s="228">
        <v>980</v>
      </c>
      <c r="DW178" s="228">
        <v>0.59</v>
      </c>
      <c r="DX178" s="228">
        <v>0.67</v>
      </c>
      <c r="DY178" s="228">
        <v>-0.08</v>
      </c>
      <c r="DZ178" s="229">
        <v>-0.11940000000000001</v>
      </c>
      <c r="EA178" s="229">
        <v>1.8200000000000001E-2</v>
      </c>
      <c r="EB178" s="230">
        <v>1264500</v>
      </c>
      <c r="EC178" s="229">
        <v>5.8999999999999999E-3</v>
      </c>
      <c r="ED178" s="229">
        <v>1.8200000000000001E-2</v>
      </c>
      <c r="EE178" s="228">
        <v>5.88</v>
      </c>
      <c r="EF178" s="229">
        <v>6.0000000000000001E-3</v>
      </c>
      <c r="EG178" s="230">
        <v>2766649</v>
      </c>
      <c r="EH178" s="230">
        <v>4063045</v>
      </c>
      <c r="EI178" s="229">
        <v>-0.31909999999999999</v>
      </c>
      <c r="EJ178" s="229">
        <v>0.53439999999999999</v>
      </c>
      <c r="EK178" s="231">
        <v>2911.37</v>
      </c>
      <c r="EL178" s="231">
        <v>1661.44</v>
      </c>
      <c r="EM178" s="228">
        <v>568.26</v>
      </c>
      <c r="EN178" s="228">
        <v>368.25</v>
      </c>
      <c r="EO178" s="231">
        <v>5141.07</v>
      </c>
      <c r="EP178" s="231">
        <v>7124.53</v>
      </c>
      <c r="EQ178" s="231">
        <v>-1983.46</v>
      </c>
      <c r="ER178" s="229">
        <v>-0.27839999999999998</v>
      </c>
      <c r="ES178" s="231">
        <v>1991.92</v>
      </c>
      <c r="ET178" s="231">
        <v>1682.3</v>
      </c>
      <c r="EU178" s="231">
        <v>7201.02</v>
      </c>
      <c r="EV178" s="231">
        <v>436949195</v>
      </c>
      <c r="EW178" s="231">
        <v>10875.25</v>
      </c>
      <c r="EX178" s="231">
        <v>10557.35</v>
      </c>
      <c r="EY178" s="228">
        <v>317.89999999999998</v>
      </c>
      <c r="EZ178" s="229">
        <v>3.0099999999999998E-2</v>
      </c>
      <c r="FA178" s="229">
        <v>0.25240000000000001</v>
      </c>
      <c r="FB178" s="227" t="s">
        <v>556</v>
      </c>
      <c r="FC178">
        <f t="shared" si="3"/>
        <v>0</v>
      </c>
    </row>
    <row r="179" spans="1:159" ht="17.25" thickBot="1" x14ac:dyDescent="0.3">
      <c r="A179" s="226">
        <v>46023</v>
      </c>
      <c r="B179" s="227" t="s">
        <v>157</v>
      </c>
      <c r="C179" s="227" t="s">
        <v>284</v>
      </c>
      <c r="D179" s="228">
        <v>25</v>
      </c>
      <c r="E179" s="228">
        <v>26</v>
      </c>
      <c r="F179" s="231">
        <v>27000</v>
      </c>
      <c r="G179" s="231">
        <v>26655</v>
      </c>
      <c r="H179" s="228">
        <v>345</v>
      </c>
      <c r="I179" s="229">
        <v>1.29E-2</v>
      </c>
      <c r="J179" s="231">
        <v>26835</v>
      </c>
      <c r="K179" s="231">
        <v>26575</v>
      </c>
      <c r="L179" s="228">
        <v>260</v>
      </c>
      <c r="M179" s="229">
        <v>9.7999999999999997E-3</v>
      </c>
      <c r="N179" s="231">
        <v>27000</v>
      </c>
      <c r="O179" s="231">
        <v>26655</v>
      </c>
      <c r="P179" s="228">
        <v>345</v>
      </c>
      <c r="Q179" s="229">
        <v>1.29E-2</v>
      </c>
      <c r="R179" s="231">
        <v>27055</v>
      </c>
      <c r="S179" s="231">
        <v>26695</v>
      </c>
      <c r="T179" s="228">
        <v>360</v>
      </c>
      <c r="U179" s="229">
        <v>1.35E-2</v>
      </c>
      <c r="V179" s="231">
        <v>26755</v>
      </c>
      <c r="W179" s="228">
        <v>0</v>
      </c>
      <c r="X179" s="231">
        <v>26755</v>
      </c>
      <c r="Y179" s="229">
        <v>0</v>
      </c>
      <c r="Z179" s="228">
        <v>165</v>
      </c>
      <c r="AA179" s="228">
        <v>80</v>
      </c>
      <c r="AB179" s="228">
        <v>85</v>
      </c>
      <c r="AC179" s="229">
        <v>6.1000000000000004E-3</v>
      </c>
      <c r="AD179" s="228">
        <v>165</v>
      </c>
      <c r="AE179" s="228">
        <v>80</v>
      </c>
      <c r="AF179" s="228">
        <v>85</v>
      </c>
      <c r="AG179" s="229">
        <v>6.1000000000000004E-3</v>
      </c>
      <c r="AH179" s="228">
        <v>220</v>
      </c>
      <c r="AI179" s="228">
        <v>120</v>
      </c>
      <c r="AJ179" s="228">
        <v>100</v>
      </c>
      <c r="AK179" s="229">
        <v>8.2000000000000007E-3</v>
      </c>
      <c r="AL179" s="228">
        <v>-80</v>
      </c>
      <c r="AM179" s="228">
        <v>0</v>
      </c>
      <c r="AN179" s="228">
        <v>-80</v>
      </c>
      <c r="AO179" s="229">
        <v>-3.0000000000000001E-3</v>
      </c>
      <c r="AP179" s="231">
        <v>26818.46</v>
      </c>
      <c r="AQ179" s="231">
        <v>26852.240000000002</v>
      </c>
      <c r="AR179" s="228">
        <v>0</v>
      </c>
      <c r="AS179" s="228">
        <v>76</v>
      </c>
      <c r="AT179" s="228">
        <v>98</v>
      </c>
      <c r="AU179" s="228">
        <v>-21</v>
      </c>
      <c r="AV179" s="229">
        <v>-0.21820000000000001</v>
      </c>
      <c r="AW179" s="228">
        <v>73</v>
      </c>
      <c r="AX179" s="228">
        <v>95</v>
      </c>
      <c r="AY179" s="228">
        <v>-22</v>
      </c>
      <c r="AZ179" s="229">
        <v>-0.2326</v>
      </c>
      <c r="BA179" s="228">
        <v>3</v>
      </c>
      <c r="BB179" s="228">
        <v>3</v>
      </c>
      <c r="BC179" s="228">
        <v>0</v>
      </c>
      <c r="BD179" s="229">
        <v>0.16669999999999999</v>
      </c>
      <c r="BE179" s="228">
        <v>0</v>
      </c>
      <c r="BF179" s="228">
        <v>0</v>
      </c>
      <c r="BG179" s="228">
        <v>0</v>
      </c>
      <c r="BH179" s="229">
        <v>0</v>
      </c>
      <c r="BI179" s="228">
        <v>117</v>
      </c>
      <c r="BJ179" s="228">
        <v>72</v>
      </c>
      <c r="BK179" s="228">
        <v>45</v>
      </c>
      <c r="BL179" s="229">
        <v>0.63229999999999997</v>
      </c>
      <c r="BM179" s="228">
        <v>86</v>
      </c>
      <c r="BN179" s="228">
        <v>32</v>
      </c>
      <c r="BO179" s="228">
        <v>53</v>
      </c>
      <c r="BP179" s="229">
        <v>1.6451</v>
      </c>
      <c r="BQ179" s="228">
        <v>279</v>
      </c>
      <c r="BR179" s="228">
        <v>202</v>
      </c>
      <c r="BS179" s="228">
        <v>77</v>
      </c>
      <c r="BT179" s="229">
        <v>0.38290000000000002</v>
      </c>
      <c r="BU179" s="230">
        <v>9654</v>
      </c>
      <c r="BV179" s="230">
        <v>25096</v>
      </c>
      <c r="BW179" s="230">
        <v>-15442</v>
      </c>
      <c r="BX179" s="229">
        <v>-0.61529999999999996</v>
      </c>
      <c r="BY179" s="228">
        <v>747</v>
      </c>
      <c r="BZ179" s="228">
        <v>757</v>
      </c>
      <c r="CA179" s="228">
        <v>-10</v>
      </c>
      <c r="CB179" s="229">
        <v>-1.3100000000000001E-2</v>
      </c>
      <c r="CC179" s="228">
        <v>738</v>
      </c>
      <c r="CD179" s="228">
        <v>749</v>
      </c>
      <c r="CE179" s="228">
        <v>-10</v>
      </c>
      <c r="CF179" s="229">
        <v>-1.3599999999999999E-2</v>
      </c>
      <c r="CG179" s="228">
        <v>9</v>
      </c>
      <c r="CH179" s="228">
        <v>9</v>
      </c>
      <c r="CI179" s="228">
        <v>0</v>
      </c>
      <c r="CJ179" s="229">
        <v>0</v>
      </c>
      <c r="CK179" s="228">
        <v>0</v>
      </c>
      <c r="CL179" s="228">
        <v>0</v>
      </c>
      <c r="CM179" s="228">
        <v>0</v>
      </c>
      <c r="CN179" s="229">
        <v>0</v>
      </c>
      <c r="CO179" s="228">
        <v>70</v>
      </c>
      <c r="CP179" s="228">
        <v>57</v>
      </c>
      <c r="CQ179" s="228">
        <v>12</v>
      </c>
      <c r="CR179" s="229">
        <v>0.21579999999999999</v>
      </c>
      <c r="CS179" s="228">
        <v>59</v>
      </c>
      <c r="CT179" s="228">
        <v>53</v>
      </c>
      <c r="CU179" s="228">
        <v>6</v>
      </c>
      <c r="CV179" s="229">
        <v>0.1152</v>
      </c>
      <c r="CW179" s="228">
        <v>877</v>
      </c>
      <c r="CX179" s="228">
        <v>868</v>
      </c>
      <c r="CY179" s="228">
        <v>9</v>
      </c>
      <c r="CZ179" s="229">
        <v>9.9000000000000008E-3</v>
      </c>
      <c r="DA179" s="228">
        <v>20.309999999999999</v>
      </c>
      <c r="DB179" s="228">
        <v>18.309999999999999</v>
      </c>
      <c r="DC179" s="228">
        <v>2</v>
      </c>
      <c r="DD179" s="228">
        <v>2</v>
      </c>
      <c r="DE179" s="228">
        <v>24.37</v>
      </c>
      <c r="DF179" s="228">
        <v>24.37</v>
      </c>
      <c r="DG179" s="228">
        <v>-4.0599999999999996</v>
      </c>
      <c r="DH179" s="228">
        <v>0</v>
      </c>
      <c r="DI179" s="228">
        <v>17.93</v>
      </c>
      <c r="DJ179" s="228">
        <v>18.260000000000002</v>
      </c>
      <c r="DK179" s="228">
        <v>-0.33</v>
      </c>
      <c r="DL179" s="228">
        <v>-0.33</v>
      </c>
      <c r="DM179" s="228">
        <v>23.57</v>
      </c>
      <c r="DN179" s="228">
        <v>18.399999999999999</v>
      </c>
      <c r="DO179" s="228">
        <v>5.17</v>
      </c>
      <c r="DP179" s="228">
        <v>5.17</v>
      </c>
      <c r="DQ179" s="228">
        <v>0.85</v>
      </c>
      <c r="DR179" s="228">
        <v>0.93</v>
      </c>
      <c r="DS179" s="228">
        <v>-0.08</v>
      </c>
      <c r="DT179" s="229">
        <v>-8.5999999999999993E-2</v>
      </c>
      <c r="DU179" s="231">
        <v>28000</v>
      </c>
      <c r="DV179" s="231">
        <v>26500</v>
      </c>
      <c r="DW179" s="228">
        <v>0.73</v>
      </c>
      <c r="DX179" s="228">
        <v>0.45</v>
      </c>
      <c r="DY179" s="228">
        <v>0.28000000000000003</v>
      </c>
      <c r="DZ179" s="229">
        <v>0.62219999999999998</v>
      </c>
      <c r="EA179" s="229">
        <v>1.23E-2</v>
      </c>
      <c r="EB179" s="230">
        <v>3300</v>
      </c>
      <c r="EC179" s="229">
        <v>2E-3</v>
      </c>
      <c r="ED179" s="229">
        <v>1.23E-2</v>
      </c>
      <c r="EE179" s="228">
        <v>33.78</v>
      </c>
      <c r="EF179" s="229">
        <v>1.2999999999999999E-3</v>
      </c>
      <c r="EG179" s="230">
        <v>4267</v>
      </c>
      <c r="EH179" s="230">
        <v>18689</v>
      </c>
      <c r="EI179" s="229">
        <v>-0.77170000000000005</v>
      </c>
      <c r="EJ179" s="229">
        <v>0.442</v>
      </c>
      <c r="EK179" s="228">
        <v>121.7</v>
      </c>
      <c r="EL179" s="228">
        <v>78.16</v>
      </c>
      <c r="EM179" s="228">
        <v>75.900000000000006</v>
      </c>
      <c r="EN179" s="228">
        <v>62.84</v>
      </c>
      <c r="EO179" s="228">
        <v>275.76</v>
      </c>
      <c r="EP179" s="228">
        <v>200.99</v>
      </c>
      <c r="EQ179" s="228">
        <v>74.760000000000005</v>
      </c>
      <c r="ER179" s="229">
        <v>0.372</v>
      </c>
      <c r="ES179" s="228">
        <v>71.28</v>
      </c>
      <c r="ET179" s="228">
        <v>57.14</v>
      </c>
      <c r="EU179" s="228">
        <v>747.51</v>
      </c>
      <c r="EV179" s="231">
        <v>1568093</v>
      </c>
      <c r="EW179" s="228">
        <v>875.93</v>
      </c>
      <c r="EX179" s="228">
        <v>857.05</v>
      </c>
      <c r="EY179" s="228">
        <v>18.88</v>
      </c>
      <c r="EZ179" s="229">
        <v>2.1999999999999999E-2</v>
      </c>
      <c r="FA179" s="229">
        <v>0.20699999999999999</v>
      </c>
      <c r="FB179" s="227" t="s">
        <v>556</v>
      </c>
      <c r="FC179">
        <f t="shared" si="3"/>
        <v>0</v>
      </c>
    </row>
    <row r="180" spans="1:159" ht="17.25" thickBot="1" x14ac:dyDescent="0.3">
      <c r="A180" s="226">
        <v>46023</v>
      </c>
      <c r="B180" s="227" t="s">
        <v>175</v>
      </c>
      <c r="C180" s="227" t="s">
        <v>562</v>
      </c>
      <c r="D180" s="228">
        <v>825</v>
      </c>
      <c r="E180" s="228">
        <v>26</v>
      </c>
      <c r="F180" s="231">
        <v>1023.15</v>
      </c>
      <c r="G180" s="228">
        <v>998.8</v>
      </c>
      <c r="H180" s="228">
        <v>24.35</v>
      </c>
      <c r="I180" s="229">
        <v>2.4400000000000002E-2</v>
      </c>
      <c r="J180" s="231">
        <v>1019.7</v>
      </c>
      <c r="K180" s="228">
        <v>996.2</v>
      </c>
      <c r="L180" s="228">
        <v>23.5</v>
      </c>
      <c r="M180" s="229">
        <v>2.3599999999999999E-2</v>
      </c>
      <c r="N180" s="231">
        <v>1023.15</v>
      </c>
      <c r="O180" s="228">
        <v>998.8</v>
      </c>
      <c r="P180" s="228">
        <v>24.35</v>
      </c>
      <c r="Q180" s="229">
        <v>2.4400000000000002E-2</v>
      </c>
      <c r="R180" s="231">
        <v>1026.95</v>
      </c>
      <c r="S180" s="231">
        <v>1002.65</v>
      </c>
      <c r="T180" s="228">
        <v>24.3</v>
      </c>
      <c r="U180" s="229">
        <v>2.4199999999999999E-2</v>
      </c>
      <c r="V180" s="231">
        <v>1031.8</v>
      </c>
      <c r="W180" s="231">
        <v>1005.8</v>
      </c>
      <c r="X180" s="228">
        <v>26</v>
      </c>
      <c r="Y180" s="229">
        <v>2.5899999999999999E-2</v>
      </c>
      <c r="Z180" s="228">
        <v>3.45</v>
      </c>
      <c r="AA180" s="228">
        <v>2.6</v>
      </c>
      <c r="AB180" s="228">
        <v>0.85</v>
      </c>
      <c r="AC180" s="229">
        <v>3.3999999999999998E-3</v>
      </c>
      <c r="AD180" s="228">
        <v>3.45</v>
      </c>
      <c r="AE180" s="228">
        <v>2.6</v>
      </c>
      <c r="AF180" s="228">
        <v>0.85</v>
      </c>
      <c r="AG180" s="229">
        <v>3.3999999999999998E-3</v>
      </c>
      <c r="AH180" s="228">
        <v>7.25</v>
      </c>
      <c r="AI180" s="228">
        <v>6.45</v>
      </c>
      <c r="AJ180" s="228">
        <v>0.8</v>
      </c>
      <c r="AK180" s="229">
        <v>7.1000000000000004E-3</v>
      </c>
      <c r="AL180" s="228">
        <v>12.1</v>
      </c>
      <c r="AM180" s="228">
        <v>9.6</v>
      </c>
      <c r="AN180" s="228">
        <v>2.5</v>
      </c>
      <c r="AO180" s="229">
        <v>1.1900000000000001E-2</v>
      </c>
      <c r="AP180" s="231">
        <v>1013.54</v>
      </c>
      <c r="AQ180" s="231">
        <v>1016.93</v>
      </c>
      <c r="AR180" s="228">
        <v>0</v>
      </c>
      <c r="AS180" s="228">
        <v>656</v>
      </c>
      <c r="AT180" s="230">
        <v>1105</v>
      </c>
      <c r="AU180" s="228">
        <v>-448</v>
      </c>
      <c r="AV180" s="229">
        <v>-0.40570000000000001</v>
      </c>
      <c r="AW180" s="228">
        <v>604</v>
      </c>
      <c r="AX180" s="230">
        <v>1050</v>
      </c>
      <c r="AY180" s="228">
        <v>-445</v>
      </c>
      <c r="AZ180" s="229">
        <v>-0.42420000000000002</v>
      </c>
      <c r="BA180" s="228">
        <v>43</v>
      </c>
      <c r="BB180" s="228">
        <v>52</v>
      </c>
      <c r="BC180" s="228">
        <v>-9</v>
      </c>
      <c r="BD180" s="229">
        <v>-0.17860000000000001</v>
      </c>
      <c r="BE180" s="228">
        <v>9</v>
      </c>
      <c r="BF180" s="228">
        <v>3</v>
      </c>
      <c r="BG180" s="228">
        <v>6</v>
      </c>
      <c r="BH180" s="229">
        <v>2.1714000000000002</v>
      </c>
      <c r="BI180" s="230">
        <v>2668</v>
      </c>
      <c r="BJ180" s="230">
        <v>3056</v>
      </c>
      <c r="BK180" s="228">
        <v>-388</v>
      </c>
      <c r="BL180" s="229">
        <v>-0.127</v>
      </c>
      <c r="BM180" s="230">
        <v>1374</v>
      </c>
      <c r="BN180" s="230">
        <v>1485</v>
      </c>
      <c r="BO180" s="228">
        <v>-111</v>
      </c>
      <c r="BP180" s="229">
        <v>-7.4499999999999997E-2</v>
      </c>
      <c r="BQ180" s="230">
        <v>4699</v>
      </c>
      <c r="BR180" s="230">
        <v>5646</v>
      </c>
      <c r="BS180" s="228">
        <v>-947</v>
      </c>
      <c r="BT180" s="229">
        <v>-0.16769999999999999</v>
      </c>
      <c r="BU180" s="230">
        <v>4446260</v>
      </c>
      <c r="BV180" s="230">
        <v>10079124</v>
      </c>
      <c r="BW180" s="230">
        <v>-5632864</v>
      </c>
      <c r="BX180" s="229">
        <v>-0.55889999999999995</v>
      </c>
      <c r="BY180" s="230">
        <v>5032</v>
      </c>
      <c r="BZ180" s="230">
        <v>5006</v>
      </c>
      <c r="CA180" s="228">
        <v>26</v>
      </c>
      <c r="CB180" s="229">
        <v>5.1999999999999998E-3</v>
      </c>
      <c r="CC180" s="230">
        <v>4753</v>
      </c>
      <c r="CD180" s="230">
        <v>4734</v>
      </c>
      <c r="CE180" s="228">
        <v>18</v>
      </c>
      <c r="CF180" s="229">
        <v>3.8999999999999998E-3</v>
      </c>
      <c r="CG180" s="228">
        <v>273</v>
      </c>
      <c r="CH180" s="228">
        <v>270</v>
      </c>
      <c r="CI180" s="228">
        <v>4</v>
      </c>
      <c r="CJ180" s="229">
        <v>1.3100000000000001E-2</v>
      </c>
      <c r="CK180" s="228">
        <v>6</v>
      </c>
      <c r="CL180" s="228">
        <v>2</v>
      </c>
      <c r="CM180" s="228">
        <v>4</v>
      </c>
      <c r="CN180" s="229">
        <v>2.0417000000000001</v>
      </c>
      <c r="CO180" s="230">
        <v>1399</v>
      </c>
      <c r="CP180" s="230">
        <v>1179</v>
      </c>
      <c r="CQ180" s="228">
        <v>220</v>
      </c>
      <c r="CR180" s="229">
        <v>0.187</v>
      </c>
      <c r="CS180" s="230">
        <v>1244</v>
      </c>
      <c r="CT180" s="228">
        <v>992</v>
      </c>
      <c r="CU180" s="228">
        <v>251</v>
      </c>
      <c r="CV180" s="229">
        <v>0.25330000000000003</v>
      </c>
      <c r="CW180" s="230">
        <v>7675</v>
      </c>
      <c r="CX180" s="230">
        <v>7177</v>
      </c>
      <c r="CY180" s="228">
        <v>498</v>
      </c>
      <c r="CZ180" s="229">
        <v>6.9400000000000003E-2</v>
      </c>
      <c r="DA180" s="228">
        <v>28.73</v>
      </c>
      <c r="DB180" s="228">
        <v>29.11</v>
      </c>
      <c r="DC180" s="228">
        <v>-0.38</v>
      </c>
      <c r="DD180" s="228">
        <v>-0.38</v>
      </c>
      <c r="DE180" s="228">
        <v>39.35</v>
      </c>
      <c r="DF180" s="228">
        <v>39.33</v>
      </c>
      <c r="DG180" s="228">
        <v>-10.62</v>
      </c>
      <c r="DH180" s="228">
        <v>0.02</v>
      </c>
      <c r="DI180" s="228">
        <v>28.14</v>
      </c>
      <c r="DJ180" s="228">
        <v>28.64</v>
      </c>
      <c r="DK180" s="228">
        <v>-0.5</v>
      </c>
      <c r="DL180" s="228">
        <v>-0.5</v>
      </c>
      <c r="DM180" s="228">
        <v>29.88</v>
      </c>
      <c r="DN180" s="228">
        <v>30.1</v>
      </c>
      <c r="DO180" s="228">
        <v>-0.22</v>
      </c>
      <c r="DP180" s="228">
        <v>-0.22</v>
      </c>
      <c r="DQ180" s="228">
        <v>0.89</v>
      </c>
      <c r="DR180" s="228">
        <v>0.84</v>
      </c>
      <c r="DS180" s="228">
        <v>0.05</v>
      </c>
      <c r="DT180" s="229">
        <v>5.9499999999999997E-2</v>
      </c>
      <c r="DU180" s="231">
        <v>1000</v>
      </c>
      <c r="DV180" s="228">
        <v>900</v>
      </c>
      <c r="DW180" s="228">
        <v>0.51</v>
      </c>
      <c r="DX180" s="228">
        <v>0.49</v>
      </c>
      <c r="DY180" s="228">
        <v>0.02</v>
      </c>
      <c r="DZ180" s="229">
        <v>4.0800000000000003E-2</v>
      </c>
      <c r="EA180" s="229">
        <v>5.5500000000000001E-2</v>
      </c>
      <c r="EB180" s="230">
        <v>2654850</v>
      </c>
      <c r="EC180" s="229">
        <v>3.7000000000000002E-3</v>
      </c>
      <c r="ED180" s="229">
        <v>5.5500000000000001E-2</v>
      </c>
      <c r="EE180" s="228">
        <v>3.39</v>
      </c>
      <c r="EF180" s="229">
        <v>3.3E-3</v>
      </c>
      <c r="EG180" s="230">
        <v>1671548</v>
      </c>
      <c r="EH180" s="230">
        <v>5659565</v>
      </c>
      <c r="EI180" s="229">
        <v>-0.70469999999999999</v>
      </c>
      <c r="EJ180" s="229">
        <v>0.37590000000000001</v>
      </c>
      <c r="EK180" s="231">
        <v>2759.75</v>
      </c>
      <c r="EL180" s="231">
        <v>1320.64</v>
      </c>
      <c r="EM180" s="228">
        <v>650.49</v>
      </c>
      <c r="EN180" s="228">
        <v>316.92</v>
      </c>
      <c r="EO180" s="231">
        <v>4730.88</v>
      </c>
      <c r="EP180" s="231">
        <v>5578.98</v>
      </c>
      <c r="EQ180" s="228">
        <v>-848.1</v>
      </c>
      <c r="ER180" s="229">
        <v>-0.152</v>
      </c>
      <c r="ES180" s="231">
        <v>1386.12</v>
      </c>
      <c r="ET180" s="231">
        <v>1132.47</v>
      </c>
      <c r="EU180" s="231">
        <v>5032.99</v>
      </c>
      <c r="EV180" s="231">
        <v>210513975</v>
      </c>
      <c r="EW180" s="231">
        <v>7551.59</v>
      </c>
      <c r="EX180" s="231">
        <v>6927.23</v>
      </c>
      <c r="EY180" s="228">
        <v>624.36</v>
      </c>
      <c r="EZ180" s="229">
        <v>9.01E-2</v>
      </c>
      <c r="FA180" s="229">
        <v>0.35630000000000001</v>
      </c>
      <c r="FB180" s="227" t="s">
        <v>555</v>
      </c>
      <c r="FC180">
        <f t="shared" si="3"/>
        <v>0</v>
      </c>
    </row>
    <row r="181" spans="1:159" ht="17.25" thickBot="1" x14ac:dyDescent="0.3">
      <c r="A181" s="226">
        <v>46023</v>
      </c>
      <c r="B181" s="227" t="s">
        <v>184</v>
      </c>
      <c r="C181" s="227" t="s">
        <v>285</v>
      </c>
      <c r="D181" s="228">
        <v>175</v>
      </c>
      <c r="E181" s="228">
        <v>26</v>
      </c>
      <c r="F181" s="231">
        <v>3107.8</v>
      </c>
      <c r="G181" s="231">
        <v>3077.2</v>
      </c>
      <c r="H181" s="228">
        <v>30.6</v>
      </c>
      <c r="I181" s="229">
        <v>9.9000000000000008E-3</v>
      </c>
      <c r="J181" s="231">
        <v>3091.3</v>
      </c>
      <c r="K181" s="231">
        <v>3063.3</v>
      </c>
      <c r="L181" s="228">
        <v>28</v>
      </c>
      <c r="M181" s="229">
        <v>9.1000000000000004E-3</v>
      </c>
      <c r="N181" s="231">
        <v>3107.8</v>
      </c>
      <c r="O181" s="231">
        <v>3077.2</v>
      </c>
      <c r="P181" s="228">
        <v>30.6</v>
      </c>
      <c r="Q181" s="229">
        <v>9.9000000000000008E-3</v>
      </c>
      <c r="R181" s="231">
        <v>3120.6</v>
      </c>
      <c r="S181" s="231">
        <v>3091.7</v>
      </c>
      <c r="T181" s="228">
        <v>28.9</v>
      </c>
      <c r="U181" s="229">
        <v>9.2999999999999992E-3</v>
      </c>
      <c r="V181" s="231">
        <v>3135.2</v>
      </c>
      <c r="W181" s="228">
        <v>0</v>
      </c>
      <c r="X181" s="231">
        <v>3135.2</v>
      </c>
      <c r="Y181" s="229">
        <v>0</v>
      </c>
      <c r="Z181" s="228">
        <v>16.5</v>
      </c>
      <c r="AA181" s="228">
        <v>13.9</v>
      </c>
      <c r="AB181" s="228">
        <v>2.6</v>
      </c>
      <c r="AC181" s="229">
        <v>5.3E-3</v>
      </c>
      <c r="AD181" s="228">
        <v>16.5</v>
      </c>
      <c r="AE181" s="228">
        <v>13.9</v>
      </c>
      <c r="AF181" s="228">
        <v>2.6</v>
      </c>
      <c r="AG181" s="229">
        <v>5.3E-3</v>
      </c>
      <c r="AH181" s="228">
        <v>29.3</v>
      </c>
      <c r="AI181" s="228">
        <v>28.4</v>
      </c>
      <c r="AJ181" s="228">
        <v>0.9</v>
      </c>
      <c r="AK181" s="229">
        <v>9.4999999999999998E-3</v>
      </c>
      <c r="AL181" s="228">
        <v>43.9</v>
      </c>
      <c r="AM181" s="228">
        <v>0</v>
      </c>
      <c r="AN181" s="228">
        <v>43.9</v>
      </c>
      <c r="AO181" s="229">
        <v>1.4200000000000001E-2</v>
      </c>
      <c r="AP181" s="231">
        <v>3090.56</v>
      </c>
      <c r="AQ181" s="231">
        <v>3101.63</v>
      </c>
      <c r="AR181" s="228">
        <v>0</v>
      </c>
      <c r="AS181" s="228">
        <v>67</v>
      </c>
      <c r="AT181" s="228">
        <v>100</v>
      </c>
      <c r="AU181" s="228">
        <v>-32</v>
      </c>
      <c r="AV181" s="229">
        <v>-0.32300000000000001</v>
      </c>
      <c r="AW181" s="228">
        <v>65</v>
      </c>
      <c r="AX181" s="228">
        <v>96</v>
      </c>
      <c r="AY181" s="228">
        <v>-31</v>
      </c>
      <c r="AZ181" s="229">
        <v>-0.3256</v>
      </c>
      <c r="BA181" s="228">
        <v>2</v>
      </c>
      <c r="BB181" s="228">
        <v>4</v>
      </c>
      <c r="BC181" s="228">
        <v>-2</v>
      </c>
      <c r="BD181" s="229">
        <v>-0.4</v>
      </c>
      <c r="BE181" s="228">
        <v>1</v>
      </c>
      <c r="BF181" s="228">
        <v>0</v>
      </c>
      <c r="BG181" s="228">
        <v>1</v>
      </c>
      <c r="BH181" s="229">
        <v>0</v>
      </c>
      <c r="BI181" s="228">
        <v>235</v>
      </c>
      <c r="BJ181" s="228">
        <v>536</v>
      </c>
      <c r="BK181" s="228">
        <v>-301</v>
      </c>
      <c r="BL181" s="229">
        <v>-0.56130000000000002</v>
      </c>
      <c r="BM181" s="228">
        <v>89</v>
      </c>
      <c r="BN181" s="228">
        <v>186</v>
      </c>
      <c r="BO181" s="228">
        <v>-97</v>
      </c>
      <c r="BP181" s="229">
        <v>-0.5202</v>
      </c>
      <c r="BQ181" s="228">
        <v>392</v>
      </c>
      <c r="BR181" s="228">
        <v>822</v>
      </c>
      <c r="BS181" s="228">
        <v>-430</v>
      </c>
      <c r="BT181" s="229">
        <v>-0.52310000000000001</v>
      </c>
      <c r="BU181" s="230">
        <v>70085</v>
      </c>
      <c r="BV181" s="230">
        <v>121907</v>
      </c>
      <c r="BW181" s="230">
        <v>-51822</v>
      </c>
      <c r="BX181" s="229">
        <v>-0.42509999999999998</v>
      </c>
      <c r="BY181" s="228">
        <v>788</v>
      </c>
      <c r="BZ181" s="228">
        <v>793</v>
      </c>
      <c r="CA181" s="228">
        <v>-6</v>
      </c>
      <c r="CB181" s="229">
        <v>-7.1999999999999998E-3</v>
      </c>
      <c r="CC181" s="228">
        <v>763</v>
      </c>
      <c r="CD181" s="228">
        <v>770</v>
      </c>
      <c r="CE181" s="228">
        <v>-7</v>
      </c>
      <c r="CF181" s="229">
        <v>-8.9999999999999993E-3</v>
      </c>
      <c r="CG181" s="228">
        <v>24</v>
      </c>
      <c r="CH181" s="228">
        <v>23</v>
      </c>
      <c r="CI181" s="228">
        <v>1</v>
      </c>
      <c r="CJ181" s="229">
        <v>3.04E-2</v>
      </c>
      <c r="CK181" s="228">
        <v>0</v>
      </c>
      <c r="CL181" s="228">
        <v>0</v>
      </c>
      <c r="CM181" s="228">
        <v>0</v>
      </c>
      <c r="CN181" s="229">
        <v>0</v>
      </c>
      <c r="CO181" s="228">
        <v>232</v>
      </c>
      <c r="CP181" s="228">
        <v>232</v>
      </c>
      <c r="CQ181" s="228">
        <v>-1</v>
      </c>
      <c r="CR181" s="229">
        <v>-3.0000000000000001E-3</v>
      </c>
      <c r="CS181" s="228">
        <v>127</v>
      </c>
      <c r="CT181" s="228">
        <v>126</v>
      </c>
      <c r="CU181" s="228">
        <v>2</v>
      </c>
      <c r="CV181" s="229">
        <v>1.26E-2</v>
      </c>
      <c r="CW181" s="230">
        <v>1146</v>
      </c>
      <c r="CX181" s="230">
        <v>1151</v>
      </c>
      <c r="CY181" s="228">
        <v>-5</v>
      </c>
      <c r="CZ181" s="229">
        <v>-4.1999999999999997E-3</v>
      </c>
      <c r="DA181" s="228">
        <v>22.92</v>
      </c>
      <c r="DB181" s="228">
        <v>23.29</v>
      </c>
      <c r="DC181" s="228">
        <v>-0.37</v>
      </c>
      <c r="DD181" s="228">
        <v>-0.37</v>
      </c>
      <c r="DE181" s="228">
        <v>37.18</v>
      </c>
      <c r="DF181" s="228">
        <v>37.25</v>
      </c>
      <c r="DG181" s="228">
        <v>-14.26</v>
      </c>
      <c r="DH181" s="228">
        <v>-7.0000000000000007E-2</v>
      </c>
      <c r="DI181" s="228">
        <v>22.79</v>
      </c>
      <c r="DJ181" s="228">
        <v>23.16</v>
      </c>
      <c r="DK181" s="228">
        <v>-0.37</v>
      </c>
      <c r="DL181" s="228">
        <v>-0.37</v>
      </c>
      <c r="DM181" s="228">
        <v>23.24</v>
      </c>
      <c r="DN181" s="228">
        <v>23.69</v>
      </c>
      <c r="DO181" s="228">
        <v>-0.45</v>
      </c>
      <c r="DP181" s="228">
        <v>-0.45</v>
      </c>
      <c r="DQ181" s="228">
        <v>0.55000000000000004</v>
      </c>
      <c r="DR181" s="228">
        <v>0.54</v>
      </c>
      <c r="DS181" s="228">
        <v>0.01</v>
      </c>
      <c r="DT181" s="229">
        <v>1.8499999999999999E-2</v>
      </c>
      <c r="DU181" s="231">
        <v>3300</v>
      </c>
      <c r="DV181" s="231">
        <v>3100</v>
      </c>
      <c r="DW181" s="228">
        <v>0.38</v>
      </c>
      <c r="DX181" s="228">
        <v>0.35</v>
      </c>
      <c r="DY181" s="228">
        <v>0.03</v>
      </c>
      <c r="DZ181" s="229">
        <v>8.5699999999999998E-2</v>
      </c>
      <c r="EA181" s="229">
        <v>3.1099999999999999E-2</v>
      </c>
      <c r="EB181" s="230">
        <v>74900</v>
      </c>
      <c r="EC181" s="229">
        <v>4.1000000000000003E-3</v>
      </c>
      <c r="ED181" s="229">
        <v>3.1099999999999999E-2</v>
      </c>
      <c r="EE181" s="228">
        <v>11.07</v>
      </c>
      <c r="EF181" s="229">
        <v>3.5999999999999999E-3</v>
      </c>
      <c r="EG181" s="230">
        <v>18250</v>
      </c>
      <c r="EH181" s="230">
        <v>64949</v>
      </c>
      <c r="EI181" s="229">
        <v>-0.71899999999999997</v>
      </c>
      <c r="EJ181" s="229">
        <v>0.26040000000000002</v>
      </c>
      <c r="EK181" s="228">
        <v>244.48</v>
      </c>
      <c r="EL181" s="228">
        <v>87.14</v>
      </c>
      <c r="EM181" s="228">
        <v>67.13</v>
      </c>
      <c r="EN181" s="228">
        <v>83.36</v>
      </c>
      <c r="EO181" s="228">
        <v>398.75</v>
      </c>
      <c r="EP181" s="228">
        <v>831.09</v>
      </c>
      <c r="EQ181" s="228">
        <v>-432.34</v>
      </c>
      <c r="ER181" s="229">
        <v>-0.5202</v>
      </c>
      <c r="ES181" s="228">
        <v>240.77</v>
      </c>
      <c r="ET181" s="228">
        <v>122.88</v>
      </c>
      <c r="EU181" s="228">
        <v>787.84</v>
      </c>
      <c r="EV181" s="231">
        <v>13354588</v>
      </c>
      <c r="EW181" s="231">
        <v>1151.49</v>
      </c>
      <c r="EX181" s="231">
        <v>1147.1300000000001</v>
      </c>
      <c r="EY181" s="228">
        <v>4.3600000000000003</v>
      </c>
      <c r="EZ181" s="229">
        <v>3.8E-3</v>
      </c>
      <c r="FA181" s="229">
        <v>0.2762</v>
      </c>
      <c r="FB181" s="227" t="s">
        <v>556</v>
      </c>
      <c r="FC181">
        <f t="shared" si="3"/>
        <v>0</v>
      </c>
    </row>
    <row r="182" spans="1:159" ht="17.25" thickBot="1" x14ac:dyDescent="0.3">
      <c r="A182" s="226">
        <v>46023</v>
      </c>
      <c r="B182" s="227" t="s">
        <v>498</v>
      </c>
      <c r="C182" s="227" t="s">
        <v>646</v>
      </c>
      <c r="D182" s="228">
        <v>50</v>
      </c>
      <c r="E182" s="228">
        <v>26</v>
      </c>
      <c r="F182" s="231">
        <v>12220</v>
      </c>
      <c r="G182" s="231">
        <v>12298</v>
      </c>
      <c r="H182" s="228">
        <v>-78</v>
      </c>
      <c r="I182" s="229">
        <v>-6.3E-3</v>
      </c>
      <c r="J182" s="231">
        <v>12166</v>
      </c>
      <c r="K182" s="231">
        <v>12252</v>
      </c>
      <c r="L182" s="228">
        <v>-86</v>
      </c>
      <c r="M182" s="229">
        <v>-7.0000000000000001E-3</v>
      </c>
      <c r="N182" s="231">
        <v>12220</v>
      </c>
      <c r="O182" s="231">
        <v>12298</v>
      </c>
      <c r="P182" s="228">
        <v>-78</v>
      </c>
      <c r="Q182" s="229">
        <v>-6.3E-3</v>
      </c>
      <c r="R182" s="231">
        <v>12298</v>
      </c>
      <c r="S182" s="231">
        <v>12362</v>
      </c>
      <c r="T182" s="228">
        <v>-64</v>
      </c>
      <c r="U182" s="229">
        <v>-5.1999999999999998E-3</v>
      </c>
      <c r="V182" s="231">
        <v>12350</v>
      </c>
      <c r="W182" s="231">
        <v>12461</v>
      </c>
      <c r="X182" s="228">
        <v>-111</v>
      </c>
      <c r="Y182" s="229">
        <v>-8.8999999999999999E-3</v>
      </c>
      <c r="Z182" s="228">
        <v>54</v>
      </c>
      <c r="AA182" s="228">
        <v>46</v>
      </c>
      <c r="AB182" s="228">
        <v>8</v>
      </c>
      <c r="AC182" s="229">
        <v>4.4000000000000003E-3</v>
      </c>
      <c r="AD182" s="228">
        <v>54</v>
      </c>
      <c r="AE182" s="228">
        <v>46</v>
      </c>
      <c r="AF182" s="228">
        <v>8</v>
      </c>
      <c r="AG182" s="229">
        <v>4.4000000000000003E-3</v>
      </c>
      <c r="AH182" s="228">
        <v>132</v>
      </c>
      <c r="AI182" s="228">
        <v>110</v>
      </c>
      <c r="AJ182" s="228">
        <v>22</v>
      </c>
      <c r="AK182" s="229">
        <v>1.0800000000000001E-2</v>
      </c>
      <c r="AL182" s="228">
        <v>184</v>
      </c>
      <c r="AM182" s="228">
        <v>209</v>
      </c>
      <c r="AN182" s="228">
        <v>-25</v>
      </c>
      <c r="AO182" s="229">
        <v>1.5100000000000001E-2</v>
      </c>
      <c r="AP182" s="231">
        <v>12219.97</v>
      </c>
      <c r="AQ182" s="231">
        <v>12293.88</v>
      </c>
      <c r="AR182" s="228">
        <v>0</v>
      </c>
      <c r="AS182" s="228">
        <v>79</v>
      </c>
      <c r="AT182" s="228">
        <v>210</v>
      </c>
      <c r="AU182" s="228">
        <v>-131</v>
      </c>
      <c r="AV182" s="229">
        <v>-0.62409999999999999</v>
      </c>
      <c r="AW182" s="228">
        <v>75</v>
      </c>
      <c r="AX182" s="228">
        <v>198</v>
      </c>
      <c r="AY182" s="228">
        <v>-123</v>
      </c>
      <c r="AZ182" s="229">
        <v>-0.62070000000000003</v>
      </c>
      <c r="BA182" s="228">
        <v>3</v>
      </c>
      <c r="BB182" s="228">
        <v>9</v>
      </c>
      <c r="BC182" s="228">
        <v>-6</v>
      </c>
      <c r="BD182" s="229">
        <v>-0.66669999999999996</v>
      </c>
      <c r="BE182" s="228">
        <v>1</v>
      </c>
      <c r="BF182" s="228">
        <v>3</v>
      </c>
      <c r="BG182" s="228">
        <v>-2</v>
      </c>
      <c r="BH182" s="229">
        <v>-0.73329999999999995</v>
      </c>
      <c r="BI182" s="228">
        <v>376</v>
      </c>
      <c r="BJ182" s="228">
        <v>947</v>
      </c>
      <c r="BK182" s="228">
        <v>-571</v>
      </c>
      <c r="BL182" s="229">
        <v>-0.60309999999999997</v>
      </c>
      <c r="BM182" s="228">
        <v>192</v>
      </c>
      <c r="BN182" s="228">
        <v>279</v>
      </c>
      <c r="BO182" s="228">
        <v>-88</v>
      </c>
      <c r="BP182" s="229">
        <v>-0.31380000000000002</v>
      </c>
      <c r="BQ182" s="228">
        <v>647</v>
      </c>
      <c r="BR182" s="230">
        <v>1437</v>
      </c>
      <c r="BS182" s="228">
        <v>-790</v>
      </c>
      <c r="BT182" s="229">
        <v>-0.54990000000000006</v>
      </c>
      <c r="BU182" s="230">
        <v>91652</v>
      </c>
      <c r="BV182" s="230">
        <v>181226</v>
      </c>
      <c r="BW182" s="230">
        <v>-89574</v>
      </c>
      <c r="BX182" s="229">
        <v>-0.49430000000000002</v>
      </c>
      <c r="BY182" s="230">
        <v>1466</v>
      </c>
      <c r="BZ182" s="230">
        <v>1467</v>
      </c>
      <c r="CA182" s="228">
        <v>-1</v>
      </c>
      <c r="CB182" s="229">
        <v>-8.0000000000000004E-4</v>
      </c>
      <c r="CC182" s="230">
        <v>1383</v>
      </c>
      <c r="CD182" s="230">
        <v>1386</v>
      </c>
      <c r="CE182" s="228">
        <v>-2</v>
      </c>
      <c r="CF182" s="229">
        <v>-1.6000000000000001E-3</v>
      </c>
      <c r="CG182" s="228">
        <v>79</v>
      </c>
      <c r="CH182" s="228">
        <v>78</v>
      </c>
      <c r="CI182" s="228">
        <v>0</v>
      </c>
      <c r="CJ182" s="229">
        <v>4.7000000000000002E-3</v>
      </c>
      <c r="CK182" s="228">
        <v>3</v>
      </c>
      <c r="CL182" s="228">
        <v>3</v>
      </c>
      <c r="CM182" s="228">
        <v>1</v>
      </c>
      <c r="CN182" s="229">
        <v>0.25</v>
      </c>
      <c r="CO182" s="228">
        <v>486</v>
      </c>
      <c r="CP182" s="228">
        <v>443</v>
      </c>
      <c r="CQ182" s="228">
        <v>43</v>
      </c>
      <c r="CR182" s="229">
        <v>9.7500000000000003E-2</v>
      </c>
      <c r="CS182" s="228">
        <v>276</v>
      </c>
      <c r="CT182" s="228">
        <v>275</v>
      </c>
      <c r="CU182" s="228">
        <v>1</v>
      </c>
      <c r="CV182" s="229">
        <v>4.7000000000000002E-3</v>
      </c>
      <c r="CW182" s="230">
        <v>2228</v>
      </c>
      <c r="CX182" s="230">
        <v>2185</v>
      </c>
      <c r="CY182" s="228">
        <v>43</v>
      </c>
      <c r="CZ182" s="229">
        <v>1.9800000000000002E-2</v>
      </c>
      <c r="DA182" s="228">
        <v>33.119999999999997</v>
      </c>
      <c r="DB182" s="228">
        <v>31.46</v>
      </c>
      <c r="DC182" s="228">
        <v>1.66</v>
      </c>
      <c r="DD182" s="228">
        <v>1.66</v>
      </c>
      <c r="DE182" s="228">
        <v>39.26</v>
      </c>
      <c r="DF182" s="228">
        <v>39.35</v>
      </c>
      <c r="DG182" s="228">
        <v>-6.14</v>
      </c>
      <c r="DH182" s="228">
        <v>-0.09</v>
      </c>
      <c r="DI182" s="228">
        <v>32.49</v>
      </c>
      <c r="DJ182" s="228">
        <v>31.34</v>
      </c>
      <c r="DK182" s="228">
        <v>1.1499999999999999</v>
      </c>
      <c r="DL182" s="228">
        <v>1.1499999999999999</v>
      </c>
      <c r="DM182" s="228">
        <v>34.35</v>
      </c>
      <c r="DN182" s="228">
        <v>31.87</v>
      </c>
      <c r="DO182" s="228">
        <v>2.48</v>
      </c>
      <c r="DP182" s="228">
        <v>2.48</v>
      </c>
      <c r="DQ182" s="228">
        <v>0.56999999999999995</v>
      </c>
      <c r="DR182" s="228">
        <v>0.62</v>
      </c>
      <c r="DS182" s="228">
        <v>-0.05</v>
      </c>
      <c r="DT182" s="229">
        <v>-8.0600000000000005E-2</v>
      </c>
      <c r="DU182" s="231">
        <v>13000</v>
      </c>
      <c r="DV182" s="231">
        <v>12000</v>
      </c>
      <c r="DW182" s="228">
        <v>0.51</v>
      </c>
      <c r="DX182" s="228">
        <v>0.28999999999999998</v>
      </c>
      <c r="DY182" s="228">
        <v>0.22</v>
      </c>
      <c r="DZ182" s="229">
        <v>0.75860000000000005</v>
      </c>
      <c r="EA182" s="229">
        <v>5.6000000000000001E-2</v>
      </c>
      <c r="EB182" s="230">
        <v>66350</v>
      </c>
      <c r="EC182" s="229">
        <v>6.4000000000000003E-3</v>
      </c>
      <c r="ED182" s="229">
        <v>5.6000000000000001E-2</v>
      </c>
      <c r="EE182" s="228">
        <v>73.91</v>
      </c>
      <c r="EF182" s="229">
        <v>6.0000000000000001E-3</v>
      </c>
      <c r="EG182" s="230">
        <v>36122</v>
      </c>
      <c r="EH182" s="230">
        <v>72305</v>
      </c>
      <c r="EI182" s="229">
        <v>-0.50039999999999996</v>
      </c>
      <c r="EJ182" s="229">
        <v>0.39410000000000001</v>
      </c>
      <c r="EK182" s="228">
        <v>415.27</v>
      </c>
      <c r="EL182" s="228">
        <v>177.4</v>
      </c>
      <c r="EM182" s="228">
        <v>79.03</v>
      </c>
      <c r="EN182" s="228">
        <v>124.57</v>
      </c>
      <c r="EO182" s="228">
        <v>671.7</v>
      </c>
      <c r="EP182" s="231">
        <v>1511.11</v>
      </c>
      <c r="EQ182" s="228">
        <v>-839.41</v>
      </c>
      <c r="ER182" s="229">
        <v>-0.55549999999999999</v>
      </c>
      <c r="ES182" s="228">
        <v>524.44000000000005</v>
      </c>
      <c r="ET182" s="228">
        <v>277.73</v>
      </c>
      <c r="EU182" s="231">
        <v>1466.08</v>
      </c>
      <c r="EV182" s="231">
        <v>3644817</v>
      </c>
      <c r="EW182" s="231">
        <v>2268.25</v>
      </c>
      <c r="EX182" s="231">
        <v>2231.61</v>
      </c>
      <c r="EY182" s="228">
        <v>36.64</v>
      </c>
      <c r="EZ182" s="229">
        <v>1.6400000000000001E-2</v>
      </c>
      <c r="FA182" s="229">
        <v>0.50029999999999997</v>
      </c>
      <c r="FB182" s="227" t="s">
        <v>568</v>
      </c>
      <c r="FC182">
        <f t="shared" si="3"/>
        <v>0</v>
      </c>
    </row>
    <row r="183" spans="1:159" ht="17.25" thickBot="1" x14ac:dyDescent="0.3">
      <c r="A183" s="226">
        <v>46023</v>
      </c>
      <c r="B183" s="227" t="s">
        <v>162</v>
      </c>
      <c r="C183" s="227" t="s">
        <v>614</v>
      </c>
      <c r="D183" s="228">
        <v>1225</v>
      </c>
      <c r="E183" s="228">
        <v>26</v>
      </c>
      <c r="F183" s="228">
        <v>476.85</v>
      </c>
      <c r="G183" s="228">
        <v>481.9</v>
      </c>
      <c r="H183" s="228">
        <v>-5.05</v>
      </c>
      <c r="I183" s="229">
        <v>-1.0500000000000001E-2</v>
      </c>
      <c r="J183" s="228">
        <v>474.3</v>
      </c>
      <c r="K183" s="228">
        <v>479.4</v>
      </c>
      <c r="L183" s="228">
        <v>-5.0999999999999996</v>
      </c>
      <c r="M183" s="229">
        <v>-1.06E-2</v>
      </c>
      <c r="N183" s="228">
        <v>476.85</v>
      </c>
      <c r="O183" s="228">
        <v>481.9</v>
      </c>
      <c r="P183" s="228">
        <v>-5.05</v>
      </c>
      <c r="Q183" s="229">
        <v>-1.0500000000000001E-2</v>
      </c>
      <c r="R183" s="228">
        <v>478.8</v>
      </c>
      <c r="S183" s="228">
        <v>484</v>
      </c>
      <c r="T183" s="228">
        <v>-5.2</v>
      </c>
      <c r="U183" s="229">
        <v>-1.0699999999999999E-2</v>
      </c>
      <c r="V183" s="228">
        <v>0</v>
      </c>
      <c r="W183" s="228">
        <v>0</v>
      </c>
      <c r="X183" s="228">
        <v>0</v>
      </c>
      <c r="Y183" s="229">
        <v>0</v>
      </c>
      <c r="Z183" s="228">
        <v>2.5499999999999998</v>
      </c>
      <c r="AA183" s="228">
        <v>2.5</v>
      </c>
      <c r="AB183" s="228">
        <v>0.05</v>
      </c>
      <c r="AC183" s="229">
        <v>5.4000000000000003E-3</v>
      </c>
      <c r="AD183" s="228">
        <v>2.5499999999999998</v>
      </c>
      <c r="AE183" s="228">
        <v>2.5</v>
      </c>
      <c r="AF183" s="228">
        <v>0.05</v>
      </c>
      <c r="AG183" s="229">
        <v>5.4000000000000003E-3</v>
      </c>
      <c r="AH183" s="228">
        <v>4.5</v>
      </c>
      <c r="AI183" s="228">
        <v>4.5999999999999996</v>
      </c>
      <c r="AJ183" s="228">
        <v>-0.1</v>
      </c>
      <c r="AK183" s="229">
        <v>9.4999999999999998E-3</v>
      </c>
      <c r="AL183" s="228">
        <v>0</v>
      </c>
      <c r="AM183" s="228">
        <v>0</v>
      </c>
      <c r="AN183" s="228">
        <v>0</v>
      </c>
      <c r="AO183" s="229">
        <v>0</v>
      </c>
      <c r="AP183" s="228">
        <v>477.84</v>
      </c>
      <c r="AQ183" s="228">
        <v>479.85</v>
      </c>
      <c r="AR183" s="228">
        <v>0</v>
      </c>
      <c r="AS183" s="228">
        <v>37</v>
      </c>
      <c r="AT183" s="228">
        <v>62</v>
      </c>
      <c r="AU183" s="228">
        <v>-24</v>
      </c>
      <c r="AV183" s="229">
        <v>-0.39410000000000001</v>
      </c>
      <c r="AW183" s="228">
        <v>36</v>
      </c>
      <c r="AX183" s="228">
        <v>59</v>
      </c>
      <c r="AY183" s="228">
        <v>-23</v>
      </c>
      <c r="AZ183" s="229">
        <v>-0.39439999999999997</v>
      </c>
      <c r="BA183" s="228">
        <v>2</v>
      </c>
      <c r="BB183" s="228">
        <v>3</v>
      </c>
      <c r="BC183" s="228">
        <v>-1</v>
      </c>
      <c r="BD183" s="229">
        <v>-0.38890000000000002</v>
      </c>
      <c r="BE183" s="228">
        <v>0</v>
      </c>
      <c r="BF183" s="228">
        <v>0</v>
      </c>
      <c r="BG183" s="228">
        <v>0</v>
      </c>
      <c r="BH183" s="229">
        <v>0</v>
      </c>
      <c r="BI183" s="228">
        <v>43</v>
      </c>
      <c r="BJ183" s="228">
        <v>59</v>
      </c>
      <c r="BK183" s="228">
        <v>-16</v>
      </c>
      <c r="BL183" s="229">
        <v>-0.26939999999999997</v>
      </c>
      <c r="BM183" s="228">
        <v>15</v>
      </c>
      <c r="BN183" s="228">
        <v>28</v>
      </c>
      <c r="BO183" s="228">
        <v>-13</v>
      </c>
      <c r="BP183" s="229">
        <v>-0.46300000000000002</v>
      </c>
      <c r="BQ183" s="228">
        <v>96</v>
      </c>
      <c r="BR183" s="228">
        <v>149</v>
      </c>
      <c r="BS183" s="228">
        <v>-53</v>
      </c>
      <c r="BT183" s="229">
        <v>-0.35799999999999998</v>
      </c>
      <c r="BU183" s="230">
        <v>551182</v>
      </c>
      <c r="BV183" s="230">
        <v>634414</v>
      </c>
      <c r="BW183" s="230">
        <v>-83232</v>
      </c>
      <c r="BX183" s="229">
        <v>-0.13120000000000001</v>
      </c>
      <c r="BY183" s="228">
        <v>694</v>
      </c>
      <c r="BZ183" s="228">
        <v>693</v>
      </c>
      <c r="CA183" s="228">
        <v>1</v>
      </c>
      <c r="CB183" s="229">
        <v>1.1999999999999999E-3</v>
      </c>
      <c r="CC183" s="228">
        <v>680</v>
      </c>
      <c r="CD183" s="228">
        <v>680</v>
      </c>
      <c r="CE183" s="228">
        <v>0</v>
      </c>
      <c r="CF183" s="229">
        <v>2.9999999999999997E-4</v>
      </c>
      <c r="CG183" s="228">
        <v>14</v>
      </c>
      <c r="CH183" s="228">
        <v>13</v>
      </c>
      <c r="CI183" s="228">
        <v>1</v>
      </c>
      <c r="CJ183" s="229">
        <v>4.9500000000000002E-2</v>
      </c>
      <c r="CK183" s="228">
        <v>0</v>
      </c>
      <c r="CL183" s="228">
        <v>0</v>
      </c>
      <c r="CM183" s="228">
        <v>0</v>
      </c>
      <c r="CN183" s="229">
        <v>0</v>
      </c>
      <c r="CO183" s="228">
        <v>84</v>
      </c>
      <c r="CP183" s="228">
        <v>72</v>
      </c>
      <c r="CQ183" s="228">
        <v>12</v>
      </c>
      <c r="CR183" s="229">
        <v>0.16800000000000001</v>
      </c>
      <c r="CS183" s="228">
        <v>57</v>
      </c>
      <c r="CT183" s="228">
        <v>54</v>
      </c>
      <c r="CU183" s="228">
        <v>3</v>
      </c>
      <c r="CV183" s="229">
        <v>5.2900000000000003E-2</v>
      </c>
      <c r="CW183" s="228">
        <v>835</v>
      </c>
      <c r="CX183" s="228">
        <v>819</v>
      </c>
      <c r="CY183" s="228">
        <v>16</v>
      </c>
      <c r="CZ183" s="229">
        <v>1.9300000000000001E-2</v>
      </c>
      <c r="DA183" s="228">
        <v>28.74</v>
      </c>
      <c r="DB183" s="228">
        <v>29.37</v>
      </c>
      <c r="DC183" s="228">
        <v>-0.63</v>
      </c>
      <c r="DD183" s="228">
        <v>-0.63</v>
      </c>
      <c r="DE183" s="228">
        <v>38.270000000000003</v>
      </c>
      <c r="DF183" s="228">
        <v>38.340000000000003</v>
      </c>
      <c r="DG183" s="228">
        <v>-9.5299999999999994</v>
      </c>
      <c r="DH183" s="228">
        <v>-7.0000000000000007E-2</v>
      </c>
      <c r="DI183" s="228">
        <v>28.78</v>
      </c>
      <c r="DJ183" s="228">
        <v>29.45</v>
      </c>
      <c r="DK183" s="228">
        <v>-0.67</v>
      </c>
      <c r="DL183" s="228">
        <v>-0.67</v>
      </c>
      <c r="DM183" s="228">
        <v>28.6</v>
      </c>
      <c r="DN183" s="228">
        <v>29.19</v>
      </c>
      <c r="DO183" s="228">
        <v>-0.59</v>
      </c>
      <c r="DP183" s="228">
        <v>-0.59</v>
      </c>
      <c r="DQ183" s="228">
        <v>0.68</v>
      </c>
      <c r="DR183" s="228">
        <v>0.75</v>
      </c>
      <c r="DS183" s="228">
        <v>-7.0000000000000007E-2</v>
      </c>
      <c r="DT183" s="229">
        <v>-9.3299999999999994E-2</v>
      </c>
      <c r="DU183" s="228">
        <v>480</v>
      </c>
      <c r="DV183" s="228">
        <v>480</v>
      </c>
      <c r="DW183" s="228">
        <v>0.36</v>
      </c>
      <c r="DX183" s="228">
        <v>0.48</v>
      </c>
      <c r="DY183" s="228">
        <v>-0.12</v>
      </c>
      <c r="DZ183" s="229">
        <v>-0.25</v>
      </c>
      <c r="EA183" s="229">
        <v>1.9599999999999999E-2</v>
      </c>
      <c r="EB183" s="230">
        <v>271950</v>
      </c>
      <c r="EC183" s="229">
        <v>4.1000000000000003E-3</v>
      </c>
      <c r="ED183" s="229">
        <v>1.9599999999999999E-2</v>
      </c>
      <c r="EE183" s="228">
        <v>2.0099999999999998</v>
      </c>
      <c r="EF183" s="229">
        <v>4.1999999999999997E-3</v>
      </c>
      <c r="EG183" s="230">
        <v>191112</v>
      </c>
      <c r="EH183" s="230">
        <v>272406</v>
      </c>
      <c r="EI183" s="229">
        <v>-0.2984</v>
      </c>
      <c r="EJ183" s="229">
        <v>0.34670000000000001</v>
      </c>
      <c r="EK183" s="228">
        <v>45.29</v>
      </c>
      <c r="EL183" s="228">
        <v>14.95</v>
      </c>
      <c r="EM183" s="228">
        <v>37.53</v>
      </c>
      <c r="EN183" s="228">
        <v>69.489999999999995</v>
      </c>
      <c r="EO183" s="228">
        <v>97.77</v>
      </c>
      <c r="EP183" s="228">
        <v>153.38999999999999</v>
      </c>
      <c r="EQ183" s="228">
        <v>-55.62</v>
      </c>
      <c r="ER183" s="229">
        <v>-0.36259999999999998</v>
      </c>
      <c r="ES183" s="228">
        <v>88.64</v>
      </c>
      <c r="ET183" s="228">
        <v>55.72</v>
      </c>
      <c r="EU183" s="228">
        <v>693.96</v>
      </c>
      <c r="EV183" s="231">
        <v>67126548</v>
      </c>
      <c r="EW183" s="228">
        <v>838.32</v>
      </c>
      <c r="EX183" s="228">
        <v>829.78</v>
      </c>
      <c r="EY183" s="228">
        <v>8.5399999999999991</v>
      </c>
      <c r="EZ183" s="229">
        <v>1.03E-2</v>
      </c>
      <c r="FA183" s="229">
        <v>0.26090000000000002</v>
      </c>
      <c r="FB183" s="227" t="s">
        <v>567</v>
      </c>
      <c r="FC183">
        <f t="shared" si="3"/>
        <v>0</v>
      </c>
    </row>
    <row r="184" spans="1:159" ht="17.25" thickBot="1" x14ac:dyDescent="0.3">
      <c r="A184" s="226">
        <v>46023</v>
      </c>
      <c r="B184" s="227" t="s">
        <v>197</v>
      </c>
      <c r="C184" s="227" t="s">
        <v>286</v>
      </c>
      <c r="D184" s="228">
        <v>200</v>
      </c>
      <c r="E184" s="228">
        <v>26</v>
      </c>
      <c r="F184" s="231">
        <v>3073.6</v>
      </c>
      <c r="G184" s="231">
        <v>3092.1</v>
      </c>
      <c r="H184" s="228">
        <v>-18.5</v>
      </c>
      <c r="I184" s="229">
        <v>-6.0000000000000001E-3</v>
      </c>
      <c r="J184" s="231">
        <v>3057.3</v>
      </c>
      <c r="K184" s="231">
        <v>3075</v>
      </c>
      <c r="L184" s="228">
        <v>-17.7</v>
      </c>
      <c r="M184" s="229">
        <v>-5.7999999999999996E-3</v>
      </c>
      <c r="N184" s="231">
        <v>3073.6</v>
      </c>
      <c r="O184" s="231">
        <v>3092.1</v>
      </c>
      <c r="P184" s="228">
        <v>-18.5</v>
      </c>
      <c r="Q184" s="229">
        <v>-6.0000000000000001E-3</v>
      </c>
      <c r="R184" s="231">
        <v>3090.2</v>
      </c>
      <c r="S184" s="231">
        <v>3107.8</v>
      </c>
      <c r="T184" s="228">
        <v>-17.600000000000001</v>
      </c>
      <c r="U184" s="229">
        <v>-5.7000000000000002E-3</v>
      </c>
      <c r="V184" s="231">
        <v>3105</v>
      </c>
      <c r="W184" s="231">
        <v>3133.9</v>
      </c>
      <c r="X184" s="228">
        <v>-28.9</v>
      </c>
      <c r="Y184" s="229">
        <v>-9.1999999999999998E-3</v>
      </c>
      <c r="Z184" s="228">
        <v>16.3</v>
      </c>
      <c r="AA184" s="228">
        <v>17.100000000000001</v>
      </c>
      <c r="AB184" s="228">
        <v>-0.8</v>
      </c>
      <c r="AC184" s="229">
        <v>5.3E-3</v>
      </c>
      <c r="AD184" s="228">
        <v>16.3</v>
      </c>
      <c r="AE184" s="228">
        <v>17.100000000000001</v>
      </c>
      <c r="AF184" s="228">
        <v>-0.8</v>
      </c>
      <c r="AG184" s="229">
        <v>5.3E-3</v>
      </c>
      <c r="AH184" s="228">
        <v>32.9</v>
      </c>
      <c r="AI184" s="228">
        <v>32.799999999999997</v>
      </c>
      <c r="AJ184" s="228">
        <v>0.1</v>
      </c>
      <c r="AK184" s="229">
        <v>1.0800000000000001E-2</v>
      </c>
      <c r="AL184" s="228">
        <v>47.7</v>
      </c>
      <c r="AM184" s="228">
        <v>58.9</v>
      </c>
      <c r="AN184" s="228">
        <v>-11.2</v>
      </c>
      <c r="AO184" s="229">
        <v>1.5599999999999999E-2</v>
      </c>
      <c r="AP184" s="231">
        <v>3076.56</v>
      </c>
      <c r="AQ184" s="231">
        <v>3095</v>
      </c>
      <c r="AR184" s="228">
        <v>0</v>
      </c>
      <c r="AS184" s="228">
        <v>68</v>
      </c>
      <c r="AT184" s="228">
        <v>168</v>
      </c>
      <c r="AU184" s="228">
        <v>-101</v>
      </c>
      <c r="AV184" s="229">
        <v>-0.59709999999999996</v>
      </c>
      <c r="AW184" s="228">
        <v>66</v>
      </c>
      <c r="AX184" s="228">
        <v>163</v>
      </c>
      <c r="AY184" s="228">
        <v>-97</v>
      </c>
      <c r="AZ184" s="229">
        <v>-0.59460000000000002</v>
      </c>
      <c r="BA184" s="228">
        <v>1</v>
      </c>
      <c r="BB184" s="228">
        <v>5</v>
      </c>
      <c r="BC184" s="228">
        <v>-4</v>
      </c>
      <c r="BD184" s="229">
        <v>-0.72499999999999998</v>
      </c>
      <c r="BE184" s="228">
        <v>0</v>
      </c>
      <c r="BF184" s="228">
        <v>0</v>
      </c>
      <c r="BG184" s="228">
        <v>0</v>
      </c>
      <c r="BH184" s="229">
        <v>0</v>
      </c>
      <c r="BI184" s="228">
        <v>155</v>
      </c>
      <c r="BJ184" s="228">
        <v>439</v>
      </c>
      <c r="BK184" s="228">
        <v>-284</v>
      </c>
      <c r="BL184" s="229">
        <v>-0.64729999999999999</v>
      </c>
      <c r="BM184" s="228">
        <v>97</v>
      </c>
      <c r="BN184" s="228">
        <v>177</v>
      </c>
      <c r="BO184" s="228">
        <v>-79</v>
      </c>
      <c r="BP184" s="229">
        <v>-0.44869999999999999</v>
      </c>
      <c r="BQ184" s="228">
        <v>320</v>
      </c>
      <c r="BR184" s="228">
        <v>784</v>
      </c>
      <c r="BS184" s="228">
        <v>-464</v>
      </c>
      <c r="BT184" s="229">
        <v>-0.5917</v>
      </c>
      <c r="BU184" s="230">
        <v>75971</v>
      </c>
      <c r="BV184" s="230">
        <v>225101</v>
      </c>
      <c r="BW184" s="230">
        <v>-149130</v>
      </c>
      <c r="BX184" s="229">
        <v>-0.66249999999999998</v>
      </c>
      <c r="BY184" s="230">
        <v>1113</v>
      </c>
      <c r="BZ184" s="230">
        <v>1117</v>
      </c>
      <c r="CA184" s="228">
        <v>-4</v>
      </c>
      <c r="CB184" s="229">
        <v>-3.2000000000000002E-3</v>
      </c>
      <c r="CC184" s="230">
        <v>1099</v>
      </c>
      <c r="CD184" s="230">
        <v>1103</v>
      </c>
      <c r="CE184" s="228">
        <v>-4</v>
      </c>
      <c r="CF184" s="229">
        <v>-3.7000000000000002E-3</v>
      </c>
      <c r="CG184" s="228">
        <v>13</v>
      </c>
      <c r="CH184" s="228">
        <v>13</v>
      </c>
      <c r="CI184" s="228">
        <v>0</v>
      </c>
      <c r="CJ184" s="229">
        <v>1.9E-2</v>
      </c>
      <c r="CK184" s="228">
        <v>1</v>
      </c>
      <c r="CL184" s="228">
        <v>0</v>
      </c>
      <c r="CM184" s="228">
        <v>0</v>
      </c>
      <c r="CN184" s="229">
        <v>0.66669999999999996</v>
      </c>
      <c r="CO184" s="228">
        <v>240</v>
      </c>
      <c r="CP184" s="228">
        <v>227</v>
      </c>
      <c r="CQ184" s="228">
        <v>13</v>
      </c>
      <c r="CR184" s="229">
        <v>5.7099999999999998E-2</v>
      </c>
      <c r="CS184" s="228">
        <v>191</v>
      </c>
      <c r="CT184" s="228">
        <v>165</v>
      </c>
      <c r="CU184" s="228">
        <v>26</v>
      </c>
      <c r="CV184" s="229">
        <v>0.16039999999999999</v>
      </c>
      <c r="CW184" s="230">
        <v>1544</v>
      </c>
      <c r="CX184" s="230">
        <v>1509</v>
      </c>
      <c r="CY184" s="228">
        <v>36</v>
      </c>
      <c r="CZ184" s="229">
        <v>2.3800000000000002E-2</v>
      </c>
      <c r="DA184" s="228">
        <v>21.42</v>
      </c>
      <c r="DB184" s="228">
        <v>21.64</v>
      </c>
      <c r="DC184" s="228">
        <v>-0.22</v>
      </c>
      <c r="DD184" s="228">
        <v>-0.22</v>
      </c>
      <c r="DE184" s="228">
        <v>30.47</v>
      </c>
      <c r="DF184" s="228">
        <v>30.53</v>
      </c>
      <c r="DG184" s="228">
        <v>-9.0500000000000007</v>
      </c>
      <c r="DH184" s="228">
        <v>-0.06</v>
      </c>
      <c r="DI184" s="228">
        <v>21.53</v>
      </c>
      <c r="DJ184" s="228">
        <v>21.73</v>
      </c>
      <c r="DK184" s="228">
        <v>-0.2</v>
      </c>
      <c r="DL184" s="228">
        <v>-0.2</v>
      </c>
      <c r="DM184" s="228">
        <v>21.25</v>
      </c>
      <c r="DN184" s="228">
        <v>21.43</v>
      </c>
      <c r="DO184" s="228">
        <v>-0.18</v>
      </c>
      <c r="DP184" s="228">
        <v>-0.18</v>
      </c>
      <c r="DQ184" s="228">
        <v>0.8</v>
      </c>
      <c r="DR184" s="228">
        <v>0.72</v>
      </c>
      <c r="DS184" s="228">
        <v>0.08</v>
      </c>
      <c r="DT184" s="229">
        <v>0.1111</v>
      </c>
      <c r="DU184" s="231">
        <v>3100</v>
      </c>
      <c r="DV184" s="231">
        <v>3050</v>
      </c>
      <c r="DW184" s="228">
        <v>0.63</v>
      </c>
      <c r="DX184" s="228">
        <v>0.4</v>
      </c>
      <c r="DY184" s="228">
        <v>0.23</v>
      </c>
      <c r="DZ184" s="229">
        <v>0.57499999999999996</v>
      </c>
      <c r="EA184" s="229">
        <v>1.24E-2</v>
      </c>
      <c r="EB184" s="230">
        <v>43200</v>
      </c>
      <c r="EC184" s="229">
        <v>5.4000000000000003E-3</v>
      </c>
      <c r="ED184" s="229">
        <v>1.24E-2</v>
      </c>
      <c r="EE184" s="228">
        <v>18.440000000000001</v>
      </c>
      <c r="EF184" s="229">
        <v>6.0000000000000001E-3</v>
      </c>
      <c r="EG184" s="230">
        <v>36103</v>
      </c>
      <c r="EH184" s="230">
        <v>122770</v>
      </c>
      <c r="EI184" s="229">
        <v>-0.70589999999999997</v>
      </c>
      <c r="EJ184" s="229">
        <v>0.47520000000000001</v>
      </c>
      <c r="EK184" s="228">
        <v>161.13</v>
      </c>
      <c r="EL184" s="228">
        <v>97.55</v>
      </c>
      <c r="EM184" s="228">
        <v>67.94</v>
      </c>
      <c r="EN184" s="228">
        <v>94.71</v>
      </c>
      <c r="EO184" s="228">
        <v>326.62</v>
      </c>
      <c r="EP184" s="228">
        <v>806.4</v>
      </c>
      <c r="EQ184" s="228">
        <v>-479.79</v>
      </c>
      <c r="ER184" s="229">
        <v>-0.59499999999999997</v>
      </c>
      <c r="ES184" s="228">
        <v>247.46</v>
      </c>
      <c r="ET184" s="228">
        <v>188.17</v>
      </c>
      <c r="EU184" s="231">
        <v>1113.0899999999999</v>
      </c>
      <c r="EV184" s="231">
        <v>18529108</v>
      </c>
      <c r="EW184" s="231">
        <v>1548.72</v>
      </c>
      <c r="EX184" s="231">
        <v>1518.9</v>
      </c>
      <c r="EY184" s="228">
        <v>29.82</v>
      </c>
      <c r="EZ184" s="229">
        <v>1.9599999999999999E-2</v>
      </c>
      <c r="FA184" s="229">
        <v>0.2712</v>
      </c>
      <c r="FB184" s="227" t="s">
        <v>568</v>
      </c>
      <c r="FC184">
        <f t="shared" si="3"/>
        <v>0</v>
      </c>
    </row>
    <row r="185" spans="1:159" ht="17.25" thickBot="1" x14ac:dyDescent="0.3">
      <c r="A185" s="226">
        <v>46023</v>
      </c>
      <c r="B185" s="227" t="s">
        <v>170</v>
      </c>
      <c r="C185" s="227" t="s">
        <v>288</v>
      </c>
      <c r="D185" s="228">
        <v>350</v>
      </c>
      <c r="E185" s="228">
        <v>26</v>
      </c>
      <c r="F185" s="231">
        <v>1728.9</v>
      </c>
      <c r="G185" s="231">
        <v>1728.9</v>
      </c>
      <c r="H185" s="228">
        <v>0</v>
      </c>
      <c r="I185" s="229">
        <v>0</v>
      </c>
      <c r="J185" s="231">
        <v>1721.1</v>
      </c>
      <c r="K185" s="231">
        <v>1719.7</v>
      </c>
      <c r="L185" s="228">
        <v>1.4</v>
      </c>
      <c r="M185" s="229">
        <v>8.0000000000000004E-4</v>
      </c>
      <c r="N185" s="231">
        <v>1728.9</v>
      </c>
      <c r="O185" s="231">
        <v>1728.9</v>
      </c>
      <c r="P185" s="228">
        <v>0</v>
      </c>
      <c r="Q185" s="229">
        <v>0</v>
      </c>
      <c r="R185" s="231">
        <v>1729.8</v>
      </c>
      <c r="S185" s="231">
        <v>1729.2</v>
      </c>
      <c r="T185" s="228">
        <v>0.6</v>
      </c>
      <c r="U185" s="229">
        <v>2.9999999999999997E-4</v>
      </c>
      <c r="V185" s="231">
        <v>1743.8</v>
      </c>
      <c r="W185" s="228">
        <v>0</v>
      </c>
      <c r="X185" s="231">
        <v>1743.8</v>
      </c>
      <c r="Y185" s="229">
        <v>0</v>
      </c>
      <c r="Z185" s="228">
        <v>7.8</v>
      </c>
      <c r="AA185" s="228">
        <v>9.1999999999999993</v>
      </c>
      <c r="AB185" s="228">
        <v>-1.4</v>
      </c>
      <c r="AC185" s="229">
        <v>4.4999999999999997E-3</v>
      </c>
      <c r="AD185" s="228">
        <v>7.8</v>
      </c>
      <c r="AE185" s="228">
        <v>9.1999999999999993</v>
      </c>
      <c r="AF185" s="228">
        <v>-1.4</v>
      </c>
      <c r="AG185" s="229">
        <v>4.4999999999999997E-3</v>
      </c>
      <c r="AH185" s="228">
        <v>8.6999999999999993</v>
      </c>
      <c r="AI185" s="228">
        <v>9.5</v>
      </c>
      <c r="AJ185" s="228">
        <v>-0.8</v>
      </c>
      <c r="AK185" s="229">
        <v>5.1000000000000004E-3</v>
      </c>
      <c r="AL185" s="228">
        <v>22.7</v>
      </c>
      <c r="AM185" s="228">
        <v>0</v>
      </c>
      <c r="AN185" s="228">
        <v>22.7</v>
      </c>
      <c r="AO185" s="229">
        <v>1.32E-2</v>
      </c>
      <c r="AP185" s="231">
        <v>1724.95</v>
      </c>
      <c r="AQ185" s="231">
        <v>1725.65</v>
      </c>
      <c r="AR185" s="228">
        <v>0</v>
      </c>
      <c r="AS185" s="228">
        <v>93</v>
      </c>
      <c r="AT185" s="228">
        <v>173</v>
      </c>
      <c r="AU185" s="228">
        <v>-81</v>
      </c>
      <c r="AV185" s="229">
        <v>-0.46629999999999999</v>
      </c>
      <c r="AW185" s="228">
        <v>85</v>
      </c>
      <c r="AX185" s="228">
        <v>168</v>
      </c>
      <c r="AY185" s="228">
        <v>-83</v>
      </c>
      <c r="AZ185" s="229">
        <v>-0.49220000000000003</v>
      </c>
      <c r="BA185" s="228">
        <v>5</v>
      </c>
      <c r="BB185" s="228">
        <v>6</v>
      </c>
      <c r="BC185" s="228">
        <v>0</v>
      </c>
      <c r="BD185" s="229">
        <v>-8.6999999999999994E-2</v>
      </c>
      <c r="BE185" s="228">
        <v>2</v>
      </c>
      <c r="BF185" s="228">
        <v>0</v>
      </c>
      <c r="BG185" s="228">
        <v>2</v>
      </c>
      <c r="BH185" s="229">
        <v>0</v>
      </c>
      <c r="BI185" s="228">
        <v>503</v>
      </c>
      <c r="BJ185" s="228">
        <v>841</v>
      </c>
      <c r="BK185" s="228">
        <v>-338</v>
      </c>
      <c r="BL185" s="229">
        <v>-0.40150000000000002</v>
      </c>
      <c r="BM185" s="228">
        <v>255</v>
      </c>
      <c r="BN185" s="228">
        <v>304</v>
      </c>
      <c r="BO185" s="228">
        <v>-49</v>
      </c>
      <c r="BP185" s="229">
        <v>-0.161</v>
      </c>
      <c r="BQ185" s="228">
        <v>851</v>
      </c>
      <c r="BR185" s="230">
        <v>1318</v>
      </c>
      <c r="BS185" s="228">
        <v>-467</v>
      </c>
      <c r="BT185" s="229">
        <v>-0.35449999999999998</v>
      </c>
      <c r="BU185" s="230">
        <v>923001</v>
      </c>
      <c r="BV185" s="230">
        <v>1460670</v>
      </c>
      <c r="BW185" s="230">
        <v>-537669</v>
      </c>
      <c r="BX185" s="229">
        <v>-0.36809999999999998</v>
      </c>
      <c r="BY185" s="230">
        <v>2908</v>
      </c>
      <c r="BZ185" s="230">
        <v>2910</v>
      </c>
      <c r="CA185" s="228">
        <v>-3</v>
      </c>
      <c r="CB185" s="229">
        <v>-1E-3</v>
      </c>
      <c r="CC185" s="230">
        <v>2880</v>
      </c>
      <c r="CD185" s="230">
        <v>2885</v>
      </c>
      <c r="CE185" s="228">
        <v>-6</v>
      </c>
      <c r="CF185" s="229">
        <v>-2E-3</v>
      </c>
      <c r="CG185" s="228">
        <v>26</v>
      </c>
      <c r="CH185" s="228">
        <v>25</v>
      </c>
      <c r="CI185" s="228">
        <v>1</v>
      </c>
      <c r="CJ185" s="229">
        <v>2.4E-2</v>
      </c>
      <c r="CK185" s="228">
        <v>2</v>
      </c>
      <c r="CL185" s="228">
        <v>0</v>
      </c>
      <c r="CM185" s="228">
        <v>2</v>
      </c>
      <c r="CN185" s="229">
        <v>0</v>
      </c>
      <c r="CO185" s="228">
        <v>869</v>
      </c>
      <c r="CP185" s="228">
        <v>797</v>
      </c>
      <c r="CQ185" s="228">
        <v>72</v>
      </c>
      <c r="CR185" s="229">
        <v>8.9800000000000005E-2</v>
      </c>
      <c r="CS185" s="228">
        <v>369</v>
      </c>
      <c r="CT185" s="228">
        <v>344</v>
      </c>
      <c r="CU185" s="228">
        <v>25</v>
      </c>
      <c r="CV185" s="229">
        <v>7.3800000000000004E-2</v>
      </c>
      <c r="CW185" s="230">
        <v>4145</v>
      </c>
      <c r="CX185" s="230">
        <v>4051</v>
      </c>
      <c r="CY185" s="228">
        <v>94</v>
      </c>
      <c r="CZ185" s="229">
        <v>2.3199999999999998E-2</v>
      </c>
      <c r="DA185" s="228">
        <v>14.3</v>
      </c>
      <c r="DB185" s="228">
        <v>14.96</v>
      </c>
      <c r="DC185" s="228">
        <v>-0.66</v>
      </c>
      <c r="DD185" s="228">
        <v>-0.66</v>
      </c>
      <c r="DE185" s="228">
        <v>22.44</v>
      </c>
      <c r="DF185" s="228">
        <v>22.5</v>
      </c>
      <c r="DG185" s="228">
        <v>-8.14</v>
      </c>
      <c r="DH185" s="228">
        <v>-0.06</v>
      </c>
      <c r="DI185" s="228">
        <v>14.05</v>
      </c>
      <c r="DJ185" s="228">
        <v>14.8</v>
      </c>
      <c r="DK185" s="228">
        <v>-0.75</v>
      </c>
      <c r="DL185" s="228">
        <v>-0.75</v>
      </c>
      <c r="DM185" s="228">
        <v>14.8</v>
      </c>
      <c r="DN185" s="228">
        <v>15.4</v>
      </c>
      <c r="DO185" s="228">
        <v>-0.6</v>
      </c>
      <c r="DP185" s="228">
        <v>-0.6</v>
      </c>
      <c r="DQ185" s="228">
        <v>0.42</v>
      </c>
      <c r="DR185" s="228">
        <v>0.43</v>
      </c>
      <c r="DS185" s="228">
        <v>-0.01</v>
      </c>
      <c r="DT185" s="229">
        <v>-2.3300000000000001E-2</v>
      </c>
      <c r="DU185" s="231">
        <v>1760</v>
      </c>
      <c r="DV185" s="231">
        <v>1620</v>
      </c>
      <c r="DW185" s="228">
        <v>0.51</v>
      </c>
      <c r="DX185" s="228">
        <v>0.36</v>
      </c>
      <c r="DY185" s="228">
        <v>0.15</v>
      </c>
      <c r="DZ185" s="229">
        <v>0.41670000000000001</v>
      </c>
      <c r="EA185" s="229">
        <v>9.5999999999999992E-3</v>
      </c>
      <c r="EB185" s="230">
        <v>145950</v>
      </c>
      <c r="EC185" s="229">
        <v>5.0000000000000001E-4</v>
      </c>
      <c r="ED185" s="229">
        <v>9.5999999999999992E-3</v>
      </c>
      <c r="EE185" s="228">
        <v>0.7</v>
      </c>
      <c r="EF185" s="229">
        <v>4.0000000000000002E-4</v>
      </c>
      <c r="EG185" s="230">
        <v>586786</v>
      </c>
      <c r="EH185" s="230">
        <v>1046508</v>
      </c>
      <c r="EI185" s="229">
        <v>-0.43930000000000002</v>
      </c>
      <c r="EJ185" s="229">
        <v>0.63570000000000004</v>
      </c>
      <c r="EK185" s="228">
        <v>516.78</v>
      </c>
      <c r="EL185" s="228">
        <v>252.81</v>
      </c>
      <c r="EM185" s="228">
        <v>92.33</v>
      </c>
      <c r="EN185" s="228">
        <v>156.71</v>
      </c>
      <c r="EO185" s="228">
        <v>861.93</v>
      </c>
      <c r="EP185" s="231">
        <v>1343.35</v>
      </c>
      <c r="EQ185" s="228">
        <v>-481.42</v>
      </c>
      <c r="ER185" s="229">
        <v>-0.3584</v>
      </c>
      <c r="ES185" s="228">
        <v>898.47</v>
      </c>
      <c r="ET185" s="228">
        <v>361.2</v>
      </c>
      <c r="EU185" s="231">
        <v>2907.55</v>
      </c>
      <c r="EV185" s="231">
        <v>109220043</v>
      </c>
      <c r="EW185" s="231">
        <v>4167.22</v>
      </c>
      <c r="EX185" s="231">
        <v>4072.65</v>
      </c>
      <c r="EY185" s="228">
        <v>94.57</v>
      </c>
      <c r="EZ185" s="229">
        <v>2.3199999999999998E-2</v>
      </c>
      <c r="FA185" s="229">
        <v>0.2195</v>
      </c>
      <c r="FB185" s="227" t="s">
        <v>237</v>
      </c>
      <c r="FC185">
        <f t="shared" si="3"/>
        <v>0</v>
      </c>
    </row>
    <row r="186" spans="1:159" ht="17.25" thickBot="1" x14ac:dyDescent="0.3">
      <c r="A186" s="226">
        <v>46023</v>
      </c>
      <c r="B186" s="227" t="s">
        <v>184</v>
      </c>
      <c r="C186" s="227" t="s">
        <v>574</v>
      </c>
      <c r="D186" s="228">
        <v>175</v>
      </c>
      <c r="E186" s="228">
        <v>26</v>
      </c>
      <c r="F186" s="231">
        <v>3498.4</v>
      </c>
      <c r="G186" s="231">
        <v>3364.6</v>
      </c>
      <c r="H186" s="228">
        <v>133.80000000000001</v>
      </c>
      <c r="I186" s="229">
        <v>3.9800000000000002E-2</v>
      </c>
      <c r="J186" s="231">
        <v>3484.4</v>
      </c>
      <c r="K186" s="231">
        <v>3353.8</v>
      </c>
      <c r="L186" s="228">
        <v>130.6</v>
      </c>
      <c r="M186" s="229">
        <v>3.8899999999999997E-2</v>
      </c>
      <c r="N186" s="231">
        <v>3498.4</v>
      </c>
      <c r="O186" s="231">
        <v>3364.6</v>
      </c>
      <c r="P186" s="228">
        <v>133.80000000000001</v>
      </c>
      <c r="Q186" s="229">
        <v>3.9800000000000002E-2</v>
      </c>
      <c r="R186" s="231">
        <v>3512.1</v>
      </c>
      <c r="S186" s="231">
        <v>3380</v>
      </c>
      <c r="T186" s="228">
        <v>132.1</v>
      </c>
      <c r="U186" s="229">
        <v>3.9100000000000003E-2</v>
      </c>
      <c r="V186" s="231">
        <v>3534</v>
      </c>
      <c r="W186" s="231">
        <v>3385</v>
      </c>
      <c r="X186" s="228">
        <v>149</v>
      </c>
      <c r="Y186" s="229">
        <v>4.3999999999999997E-2</v>
      </c>
      <c r="Z186" s="228">
        <v>14</v>
      </c>
      <c r="AA186" s="228">
        <v>10.8</v>
      </c>
      <c r="AB186" s="228">
        <v>3.2</v>
      </c>
      <c r="AC186" s="229">
        <v>4.0000000000000001E-3</v>
      </c>
      <c r="AD186" s="228">
        <v>14</v>
      </c>
      <c r="AE186" s="228">
        <v>10.8</v>
      </c>
      <c r="AF186" s="228">
        <v>3.2</v>
      </c>
      <c r="AG186" s="229">
        <v>4.0000000000000001E-3</v>
      </c>
      <c r="AH186" s="228">
        <v>27.7</v>
      </c>
      <c r="AI186" s="228">
        <v>26.2</v>
      </c>
      <c r="AJ186" s="228">
        <v>1.5</v>
      </c>
      <c r="AK186" s="229">
        <v>7.9000000000000008E-3</v>
      </c>
      <c r="AL186" s="228">
        <v>49.6</v>
      </c>
      <c r="AM186" s="228">
        <v>31.2</v>
      </c>
      <c r="AN186" s="228">
        <v>18.399999999999999</v>
      </c>
      <c r="AO186" s="229">
        <v>1.4200000000000001E-2</v>
      </c>
      <c r="AP186" s="231">
        <v>3456.94</v>
      </c>
      <c r="AQ186" s="231">
        <v>3468.69</v>
      </c>
      <c r="AR186" s="228">
        <v>0</v>
      </c>
      <c r="AS186" s="228">
        <v>213</v>
      </c>
      <c r="AT186" s="228">
        <v>170</v>
      </c>
      <c r="AU186" s="228">
        <v>42</v>
      </c>
      <c r="AV186" s="229">
        <v>0.24959999999999999</v>
      </c>
      <c r="AW186" s="228">
        <v>200</v>
      </c>
      <c r="AX186" s="228">
        <v>165</v>
      </c>
      <c r="AY186" s="228">
        <v>36</v>
      </c>
      <c r="AZ186" s="229">
        <v>0.21609999999999999</v>
      </c>
      <c r="BA186" s="228">
        <v>12</v>
      </c>
      <c r="BB186" s="228">
        <v>5</v>
      </c>
      <c r="BC186" s="228">
        <v>7</v>
      </c>
      <c r="BD186" s="229">
        <v>1.2907</v>
      </c>
      <c r="BE186" s="228">
        <v>1</v>
      </c>
      <c r="BF186" s="228">
        <v>0</v>
      </c>
      <c r="BG186" s="228">
        <v>0</v>
      </c>
      <c r="BH186" s="229">
        <v>0.28570000000000001</v>
      </c>
      <c r="BI186" s="230">
        <v>1250</v>
      </c>
      <c r="BJ186" s="228">
        <v>729</v>
      </c>
      <c r="BK186" s="228">
        <v>520</v>
      </c>
      <c r="BL186" s="229">
        <v>0.71309999999999996</v>
      </c>
      <c r="BM186" s="228">
        <v>310</v>
      </c>
      <c r="BN186" s="228">
        <v>196</v>
      </c>
      <c r="BO186" s="228">
        <v>114</v>
      </c>
      <c r="BP186" s="229">
        <v>0.58360000000000001</v>
      </c>
      <c r="BQ186" s="230">
        <v>1772</v>
      </c>
      <c r="BR186" s="230">
        <v>1095</v>
      </c>
      <c r="BS186" s="228">
        <v>677</v>
      </c>
      <c r="BT186" s="229">
        <v>0.6179</v>
      </c>
      <c r="BU186" s="230">
        <v>397699</v>
      </c>
      <c r="BV186" s="230">
        <v>250231</v>
      </c>
      <c r="BW186" s="230">
        <v>147468</v>
      </c>
      <c r="BX186" s="229">
        <v>0.58930000000000005</v>
      </c>
      <c r="BY186" s="228">
        <v>633</v>
      </c>
      <c r="BZ186" s="228">
        <v>634</v>
      </c>
      <c r="CA186" s="228">
        <v>-1</v>
      </c>
      <c r="CB186" s="229">
        <v>-1.1999999999999999E-3</v>
      </c>
      <c r="CC186" s="228">
        <v>614</v>
      </c>
      <c r="CD186" s="228">
        <v>615</v>
      </c>
      <c r="CE186" s="228">
        <v>-1</v>
      </c>
      <c r="CF186" s="229">
        <v>-2.3999999999999998E-3</v>
      </c>
      <c r="CG186" s="228">
        <v>19</v>
      </c>
      <c r="CH186" s="228">
        <v>18</v>
      </c>
      <c r="CI186" s="228">
        <v>0</v>
      </c>
      <c r="CJ186" s="229">
        <v>1.32E-2</v>
      </c>
      <c r="CK186" s="228">
        <v>1</v>
      </c>
      <c r="CL186" s="228">
        <v>0</v>
      </c>
      <c r="CM186" s="228">
        <v>0</v>
      </c>
      <c r="CN186" s="229">
        <v>1.3332999999999999</v>
      </c>
      <c r="CO186" s="228">
        <v>171</v>
      </c>
      <c r="CP186" s="228">
        <v>142</v>
      </c>
      <c r="CQ186" s="228">
        <v>29</v>
      </c>
      <c r="CR186" s="229">
        <v>0.2031</v>
      </c>
      <c r="CS186" s="228">
        <v>159</v>
      </c>
      <c r="CT186" s="228">
        <v>125</v>
      </c>
      <c r="CU186" s="228">
        <v>35</v>
      </c>
      <c r="CV186" s="229">
        <v>0.27710000000000001</v>
      </c>
      <c r="CW186" s="228">
        <v>964</v>
      </c>
      <c r="CX186" s="228">
        <v>901</v>
      </c>
      <c r="CY186" s="228">
        <v>63</v>
      </c>
      <c r="CZ186" s="229">
        <v>6.9599999999999995E-2</v>
      </c>
      <c r="DA186" s="228">
        <v>28.9</v>
      </c>
      <c r="DB186" s="228">
        <v>28.91</v>
      </c>
      <c r="DC186" s="228">
        <v>-0.01</v>
      </c>
      <c r="DD186" s="228">
        <v>-0.01</v>
      </c>
      <c r="DE186" s="228">
        <v>39.51</v>
      </c>
      <c r="DF186" s="228">
        <v>39.26</v>
      </c>
      <c r="DG186" s="228">
        <v>-10.61</v>
      </c>
      <c r="DH186" s="228">
        <v>0.25</v>
      </c>
      <c r="DI186" s="228">
        <v>28.84</v>
      </c>
      <c r="DJ186" s="228">
        <v>28.83</v>
      </c>
      <c r="DK186" s="228">
        <v>0.01</v>
      </c>
      <c r="DL186" s="228">
        <v>0.01</v>
      </c>
      <c r="DM186" s="228">
        <v>29.11</v>
      </c>
      <c r="DN186" s="228">
        <v>29.23</v>
      </c>
      <c r="DO186" s="228">
        <v>-0.12</v>
      </c>
      <c r="DP186" s="228">
        <v>-0.12</v>
      </c>
      <c r="DQ186" s="228">
        <v>0.93</v>
      </c>
      <c r="DR186" s="228">
        <v>0.88</v>
      </c>
      <c r="DS186" s="228">
        <v>0.05</v>
      </c>
      <c r="DT186" s="229">
        <v>5.6800000000000003E-2</v>
      </c>
      <c r="DU186" s="231">
        <v>3500</v>
      </c>
      <c r="DV186" s="231">
        <v>3300</v>
      </c>
      <c r="DW186" s="228">
        <v>0.25</v>
      </c>
      <c r="DX186" s="228">
        <v>0.27</v>
      </c>
      <c r="DY186" s="228">
        <v>-0.02</v>
      </c>
      <c r="DZ186" s="229">
        <v>-7.4099999999999999E-2</v>
      </c>
      <c r="EA186" s="229">
        <v>3.09E-2</v>
      </c>
      <c r="EB186" s="230">
        <v>53900</v>
      </c>
      <c r="EC186" s="229">
        <v>3.8999999999999998E-3</v>
      </c>
      <c r="ED186" s="229">
        <v>3.09E-2</v>
      </c>
      <c r="EE186" s="228">
        <v>11.75</v>
      </c>
      <c r="EF186" s="229">
        <v>3.3999999999999998E-3</v>
      </c>
      <c r="EG186" s="230">
        <v>116310</v>
      </c>
      <c r="EH186" s="230">
        <v>96516</v>
      </c>
      <c r="EI186" s="229">
        <v>0.2051</v>
      </c>
      <c r="EJ186" s="229">
        <v>0.29249999999999998</v>
      </c>
      <c r="EK186" s="231">
        <v>1296.03</v>
      </c>
      <c r="EL186" s="228">
        <v>299.85000000000002</v>
      </c>
      <c r="EM186" s="228">
        <v>210.28</v>
      </c>
      <c r="EN186" s="228">
        <v>61.23</v>
      </c>
      <c r="EO186" s="231">
        <v>1806.16</v>
      </c>
      <c r="EP186" s="231">
        <v>1084.97</v>
      </c>
      <c r="EQ186" s="228">
        <v>721.19</v>
      </c>
      <c r="ER186" s="229">
        <v>0.66469999999999996</v>
      </c>
      <c r="ES186" s="228">
        <v>175.41</v>
      </c>
      <c r="ET186" s="228">
        <v>151.07</v>
      </c>
      <c r="EU186" s="228">
        <v>633.54999999999995</v>
      </c>
      <c r="EV186" s="231">
        <v>9736357</v>
      </c>
      <c r="EW186" s="228">
        <v>960.03</v>
      </c>
      <c r="EX186" s="228">
        <v>869.61</v>
      </c>
      <c r="EY186" s="228">
        <v>90.42</v>
      </c>
      <c r="EZ186" s="229">
        <v>0.104</v>
      </c>
      <c r="FA186" s="229">
        <v>0.28299999999999997</v>
      </c>
      <c r="FB186" s="227" t="s">
        <v>556</v>
      </c>
      <c r="FC186">
        <f t="shared" si="3"/>
        <v>0</v>
      </c>
    </row>
    <row r="187" spans="1:159" ht="17.25" thickBot="1" x14ac:dyDescent="0.3">
      <c r="A187" s="226">
        <v>46023</v>
      </c>
      <c r="B187" s="227" t="s">
        <v>161</v>
      </c>
      <c r="C187" s="227" t="s">
        <v>684</v>
      </c>
      <c r="D187" s="228">
        <v>9025</v>
      </c>
      <c r="E187" s="228">
        <v>26</v>
      </c>
      <c r="F187" s="228">
        <v>52.73</v>
      </c>
      <c r="G187" s="228">
        <v>53</v>
      </c>
      <c r="H187" s="228">
        <v>-0.27</v>
      </c>
      <c r="I187" s="229">
        <v>-5.1000000000000004E-3</v>
      </c>
      <c r="J187" s="228">
        <v>52.47</v>
      </c>
      <c r="K187" s="228">
        <v>52.67</v>
      </c>
      <c r="L187" s="228">
        <v>-0.2</v>
      </c>
      <c r="M187" s="229">
        <v>-3.8E-3</v>
      </c>
      <c r="N187" s="228">
        <v>52.73</v>
      </c>
      <c r="O187" s="228">
        <v>53</v>
      </c>
      <c r="P187" s="228">
        <v>-0.27</v>
      </c>
      <c r="Q187" s="229">
        <v>-5.1000000000000004E-3</v>
      </c>
      <c r="R187" s="228">
        <v>53.05</v>
      </c>
      <c r="S187" s="228">
        <v>53.3</v>
      </c>
      <c r="T187" s="228">
        <v>-0.25</v>
      </c>
      <c r="U187" s="229">
        <v>-4.7000000000000002E-3</v>
      </c>
      <c r="V187" s="228">
        <v>53.32</v>
      </c>
      <c r="W187" s="228">
        <v>53.6</v>
      </c>
      <c r="X187" s="228">
        <v>-0.28000000000000003</v>
      </c>
      <c r="Y187" s="229">
        <v>-5.1999999999999998E-3</v>
      </c>
      <c r="Z187" s="228">
        <v>0.26</v>
      </c>
      <c r="AA187" s="228">
        <v>0.33</v>
      </c>
      <c r="AB187" s="228">
        <v>-7.0000000000000007E-2</v>
      </c>
      <c r="AC187" s="229">
        <v>5.0000000000000001E-3</v>
      </c>
      <c r="AD187" s="228">
        <v>0.26</v>
      </c>
      <c r="AE187" s="228">
        <v>0.33</v>
      </c>
      <c r="AF187" s="228">
        <v>-7.0000000000000007E-2</v>
      </c>
      <c r="AG187" s="229">
        <v>5.0000000000000001E-3</v>
      </c>
      <c r="AH187" s="228">
        <v>0.57999999999999996</v>
      </c>
      <c r="AI187" s="228">
        <v>0.63</v>
      </c>
      <c r="AJ187" s="228">
        <v>-0.05</v>
      </c>
      <c r="AK187" s="229">
        <v>1.11E-2</v>
      </c>
      <c r="AL187" s="228">
        <v>0.85</v>
      </c>
      <c r="AM187" s="228">
        <v>0.93</v>
      </c>
      <c r="AN187" s="228">
        <v>-0.08</v>
      </c>
      <c r="AO187" s="229">
        <v>1.6199999999999999E-2</v>
      </c>
      <c r="AP187" s="228">
        <v>52.69</v>
      </c>
      <c r="AQ187" s="228">
        <v>53.03</v>
      </c>
      <c r="AR187" s="228">
        <v>0</v>
      </c>
      <c r="AS187" s="228">
        <v>103</v>
      </c>
      <c r="AT187" s="228">
        <v>203</v>
      </c>
      <c r="AU187" s="228">
        <v>-100</v>
      </c>
      <c r="AV187" s="229">
        <v>-0.4909</v>
      </c>
      <c r="AW187" s="228">
        <v>92</v>
      </c>
      <c r="AX187" s="228">
        <v>190</v>
      </c>
      <c r="AY187" s="228">
        <v>-98</v>
      </c>
      <c r="AZ187" s="229">
        <v>-0.51419999999999999</v>
      </c>
      <c r="BA187" s="228">
        <v>9</v>
      </c>
      <c r="BB187" s="228">
        <v>11</v>
      </c>
      <c r="BC187" s="228">
        <v>-2</v>
      </c>
      <c r="BD187" s="229">
        <v>-0.16950000000000001</v>
      </c>
      <c r="BE187" s="228">
        <v>2</v>
      </c>
      <c r="BF187" s="228">
        <v>2</v>
      </c>
      <c r="BG187" s="228">
        <v>0</v>
      </c>
      <c r="BH187" s="229">
        <v>-0.1429</v>
      </c>
      <c r="BI187" s="228">
        <v>242</v>
      </c>
      <c r="BJ187" s="228">
        <v>442</v>
      </c>
      <c r="BK187" s="228">
        <v>-200</v>
      </c>
      <c r="BL187" s="229">
        <v>-0.45290000000000002</v>
      </c>
      <c r="BM187" s="228">
        <v>85</v>
      </c>
      <c r="BN187" s="228">
        <v>143</v>
      </c>
      <c r="BO187" s="228">
        <v>-58</v>
      </c>
      <c r="BP187" s="229">
        <v>-0.40720000000000001</v>
      </c>
      <c r="BQ187" s="228">
        <v>430</v>
      </c>
      <c r="BR187" s="228">
        <v>788</v>
      </c>
      <c r="BS187" s="228">
        <v>-358</v>
      </c>
      <c r="BT187" s="229">
        <v>-0.45440000000000003</v>
      </c>
      <c r="BU187" s="230">
        <v>29913069</v>
      </c>
      <c r="BV187" s="230">
        <v>43593741</v>
      </c>
      <c r="BW187" s="230">
        <v>-13680672</v>
      </c>
      <c r="BX187" s="229">
        <v>-0.31380000000000002</v>
      </c>
      <c r="BY187" s="230">
        <v>1604</v>
      </c>
      <c r="BZ187" s="230">
        <v>1587</v>
      </c>
      <c r="CA187" s="228">
        <v>18</v>
      </c>
      <c r="CB187" s="229">
        <v>1.12E-2</v>
      </c>
      <c r="CC187" s="230">
        <v>1527</v>
      </c>
      <c r="CD187" s="230">
        <v>1515</v>
      </c>
      <c r="CE187" s="228">
        <v>12</v>
      </c>
      <c r="CF187" s="229">
        <v>7.9000000000000008E-3</v>
      </c>
      <c r="CG187" s="228">
        <v>76</v>
      </c>
      <c r="CH187" s="228">
        <v>71</v>
      </c>
      <c r="CI187" s="228">
        <v>5</v>
      </c>
      <c r="CJ187" s="229">
        <v>6.4299999999999996E-2</v>
      </c>
      <c r="CK187" s="228">
        <v>2</v>
      </c>
      <c r="CL187" s="228">
        <v>1</v>
      </c>
      <c r="CM187" s="228">
        <v>1</v>
      </c>
      <c r="CN187" s="229">
        <v>1.2857000000000001</v>
      </c>
      <c r="CO187" s="228">
        <v>539</v>
      </c>
      <c r="CP187" s="228">
        <v>466</v>
      </c>
      <c r="CQ187" s="228">
        <v>73</v>
      </c>
      <c r="CR187" s="229">
        <v>0.15579999999999999</v>
      </c>
      <c r="CS187" s="228">
        <v>331</v>
      </c>
      <c r="CT187" s="228">
        <v>313</v>
      </c>
      <c r="CU187" s="228">
        <v>18</v>
      </c>
      <c r="CV187" s="229">
        <v>5.62E-2</v>
      </c>
      <c r="CW187" s="230">
        <v>2474</v>
      </c>
      <c r="CX187" s="230">
        <v>2366</v>
      </c>
      <c r="CY187" s="228">
        <v>108</v>
      </c>
      <c r="CZ187" s="229">
        <v>4.5699999999999998E-2</v>
      </c>
      <c r="DA187" s="228">
        <v>33.03</v>
      </c>
      <c r="DB187" s="228">
        <v>32.49</v>
      </c>
      <c r="DC187" s="228">
        <v>0.54</v>
      </c>
      <c r="DD187" s="228">
        <v>0.54</v>
      </c>
      <c r="DE187" s="228">
        <v>46.62</v>
      </c>
      <c r="DF187" s="228">
        <v>46.73</v>
      </c>
      <c r="DG187" s="228">
        <v>-13.59</v>
      </c>
      <c r="DH187" s="228">
        <v>-0.11</v>
      </c>
      <c r="DI187" s="228">
        <v>33.590000000000003</v>
      </c>
      <c r="DJ187" s="228">
        <v>32.9</v>
      </c>
      <c r="DK187" s="228">
        <v>0.69</v>
      </c>
      <c r="DL187" s="228">
        <v>0.69</v>
      </c>
      <c r="DM187" s="228">
        <v>31.44</v>
      </c>
      <c r="DN187" s="228">
        <v>31.21</v>
      </c>
      <c r="DO187" s="228">
        <v>0.23</v>
      </c>
      <c r="DP187" s="228">
        <v>0.23</v>
      </c>
      <c r="DQ187" s="228">
        <v>0.61</v>
      </c>
      <c r="DR187" s="228">
        <v>0.67</v>
      </c>
      <c r="DS187" s="228">
        <v>-0.06</v>
      </c>
      <c r="DT187" s="229">
        <v>-8.9599999999999999E-2</v>
      </c>
      <c r="DU187" s="228">
        <v>60</v>
      </c>
      <c r="DV187" s="228">
        <v>54</v>
      </c>
      <c r="DW187" s="228">
        <v>0.35</v>
      </c>
      <c r="DX187" s="228">
        <v>0.32</v>
      </c>
      <c r="DY187" s="228">
        <v>0.03</v>
      </c>
      <c r="DZ187" s="229">
        <v>9.3700000000000006E-2</v>
      </c>
      <c r="EA187" s="229">
        <v>4.8500000000000001E-2</v>
      </c>
      <c r="EB187" s="230">
        <v>13654825</v>
      </c>
      <c r="EC187" s="229">
        <v>6.1000000000000004E-3</v>
      </c>
      <c r="ED187" s="229">
        <v>4.8500000000000001E-2</v>
      </c>
      <c r="EE187" s="228">
        <v>0.34</v>
      </c>
      <c r="EF187" s="229">
        <v>6.4999999999999997E-3</v>
      </c>
      <c r="EG187" s="230">
        <v>13524284</v>
      </c>
      <c r="EH187" s="230">
        <v>20290389</v>
      </c>
      <c r="EI187" s="229">
        <v>-0.33350000000000002</v>
      </c>
      <c r="EJ187" s="229">
        <v>0.4521</v>
      </c>
      <c r="EK187" s="228">
        <v>262.31</v>
      </c>
      <c r="EL187" s="228">
        <v>83.87</v>
      </c>
      <c r="EM187" s="228">
        <v>103.45</v>
      </c>
      <c r="EN187" s="228">
        <v>169.22</v>
      </c>
      <c r="EO187" s="228">
        <v>449.64</v>
      </c>
      <c r="EP187" s="228">
        <v>827.1</v>
      </c>
      <c r="EQ187" s="228">
        <v>-377.46</v>
      </c>
      <c r="ER187" s="229">
        <v>-0.45639999999999997</v>
      </c>
      <c r="ES187" s="228">
        <v>581.33000000000004</v>
      </c>
      <c r="ET187" s="228">
        <v>331.88</v>
      </c>
      <c r="EU187" s="231">
        <v>1604.85</v>
      </c>
      <c r="EV187" s="231">
        <v>1814982173</v>
      </c>
      <c r="EW187" s="231">
        <v>2518.0500000000002</v>
      </c>
      <c r="EX187" s="231">
        <v>2413.98</v>
      </c>
      <c r="EY187" s="228">
        <v>104.07</v>
      </c>
      <c r="EZ187" s="229">
        <v>4.3099999999999999E-2</v>
      </c>
      <c r="FA187" s="229">
        <v>0.25850000000000001</v>
      </c>
      <c r="FB187" s="227" t="s">
        <v>567</v>
      </c>
      <c r="FC187">
        <f t="shared" si="3"/>
        <v>0</v>
      </c>
    </row>
    <row r="188" spans="1:159" ht="17.25" thickBot="1" x14ac:dyDescent="0.3">
      <c r="A188" s="226">
        <v>46023</v>
      </c>
      <c r="B188" s="227" t="s">
        <v>694</v>
      </c>
      <c r="C188" s="227" t="s">
        <v>693</v>
      </c>
      <c r="D188" s="228">
        <v>1300</v>
      </c>
      <c r="E188" s="228">
        <v>26</v>
      </c>
      <c r="F188" s="228">
        <v>393.25</v>
      </c>
      <c r="G188" s="228">
        <v>388.4</v>
      </c>
      <c r="H188" s="228">
        <v>4.8499999999999996</v>
      </c>
      <c r="I188" s="229">
        <v>1.2500000000000001E-2</v>
      </c>
      <c r="J188" s="228">
        <v>390.7</v>
      </c>
      <c r="K188" s="228">
        <v>386.25</v>
      </c>
      <c r="L188" s="228">
        <v>4.45</v>
      </c>
      <c r="M188" s="229">
        <v>1.15E-2</v>
      </c>
      <c r="N188" s="228">
        <v>393.25</v>
      </c>
      <c r="O188" s="228">
        <v>388.4</v>
      </c>
      <c r="P188" s="228">
        <v>4.8499999999999996</v>
      </c>
      <c r="Q188" s="229">
        <v>1.2500000000000001E-2</v>
      </c>
      <c r="R188" s="228">
        <v>393.9</v>
      </c>
      <c r="S188" s="228">
        <v>389.2</v>
      </c>
      <c r="T188" s="228">
        <v>4.7</v>
      </c>
      <c r="U188" s="229">
        <v>1.21E-2</v>
      </c>
      <c r="V188" s="228">
        <v>398.3</v>
      </c>
      <c r="W188" s="228">
        <v>391</v>
      </c>
      <c r="X188" s="228">
        <v>7.3</v>
      </c>
      <c r="Y188" s="229">
        <v>1.8700000000000001E-2</v>
      </c>
      <c r="Z188" s="228">
        <v>2.5499999999999998</v>
      </c>
      <c r="AA188" s="228">
        <v>2.15</v>
      </c>
      <c r="AB188" s="228">
        <v>0.4</v>
      </c>
      <c r="AC188" s="229">
        <v>6.4999999999999997E-3</v>
      </c>
      <c r="AD188" s="228">
        <v>2.5499999999999998</v>
      </c>
      <c r="AE188" s="228">
        <v>2.15</v>
      </c>
      <c r="AF188" s="228">
        <v>0.4</v>
      </c>
      <c r="AG188" s="229">
        <v>6.4999999999999997E-3</v>
      </c>
      <c r="AH188" s="228">
        <v>3.2</v>
      </c>
      <c r="AI188" s="228">
        <v>2.95</v>
      </c>
      <c r="AJ188" s="228">
        <v>0.25</v>
      </c>
      <c r="AK188" s="229">
        <v>8.2000000000000007E-3</v>
      </c>
      <c r="AL188" s="228">
        <v>7.6</v>
      </c>
      <c r="AM188" s="228">
        <v>4.75</v>
      </c>
      <c r="AN188" s="228">
        <v>2.85</v>
      </c>
      <c r="AO188" s="229">
        <v>1.95E-2</v>
      </c>
      <c r="AP188" s="228">
        <v>392.19</v>
      </c>
      <c r="AQ188" s="228">
        <v>393.02</v>
      </c>
      <c r="AR188" s="228">
        <v>0</v>
      </c>
      <c r="AS188" s="228">
        <v>148</v>
      </c>
      <c r="AT188" s="228">
        <v>174</v>
      </c>
      <c r="AU188" s="228">
        <v>-25</v>
      </c>
      <c r="AV188" s="229">
        <v>-0.1447</v>
      </c>
      <c r="AW188" s="228">
        <v>147</v>
      </c>
      <c r="AX188" s="228">
        <v>171</v>
      </c>
      <c r="AY188" s="228">
        <v>-25</v>
      </c>
      <c r="AZ188" s="229">
        <v>-0.1444</v>
      </c>
      <c r="BA188" s="228">
        <v>1</v>
      </c>
      <c r="BB188" s="228">
        <v>1</v>
      </c>
      <c r="BC188" s="228">
        <v>0</v>
      </c>
      <c r="BD188" s="229">
        <v>0</v>
      </c>
      <c r="BE188" s="228">
        <v>0</v>
      </c>
      <c r="BF188" s="228">
        <v>1</v>
      </c>
      <c r="BG188" s="228">
        <v>0</v>
      </c>
      <c r="BH188" s="229">
        <v>-0.4375</v>
      </c>
      <c r="BI188" s="228">
        <v>111</v>
      </c>
      <c r="BJ188" s="228">
        <v>102</v>
      </c>
      <c r="BK188" s="228">
        <v>10</v>
      </c>
      <c r="BL188" s="229">
        <v>9.6199999999999994E-2</v>
      </c>
      <c r="BM188" s="228">
        <v>50</v>
      </c>
      <c r="BN188" s="228">
        <v>61</v>
      </c>
      <c r="BO188" s="228">
        <v>-12</v>
      </c>
      <c r="BP188" s="229">
        <v>-0.1875</v>
      </c>
      <c r="BQ188" s="228">
        <v>310</v>
      </c>
      <c r="BR188" s="228">
        <v>336</v>
      </c>
      <c r="BS188" s="228">
        <v>-27</v>
      </c>
      <c r="BT188" s="229">
        <v>-7.9799999999999996E-2</v>
      </c>
      <c r="BU188" s="230">
        <v>5158253</v>
      </c>
      <c r="BV188" s="230">
        <v>7184388</v>
      </c>
      <c r="BW188" s="230">
        <v>-2026135</v>
      </c>
      <c r="BX188" s="229">
        <v>-0.28199999999999997</v>
      </c>
      <c r="BY188" s="228">
        <v>199</v>
      </c>
      <c r="BZ188" s="228">
        <v>101</v>
      </c>
      <c r="CA188" s="228">
        <v>98</v>
      </c>
      <c r="CB188" s="229">
        <v>0.96460000000000001</v>
      </c>
      <c r="CC188" s="228">
        <v>197</v>
      </c>
      <c r="CD188" s="228">
        <v>100</v>
      </c>
      <c r="CE188" s="228">
        <v>97</v>
      </c>
      <c r="CF188" s="229">
        <v>0.97289999999999999</v>
      </c>
      <c r="CG188" s="228">
        <v>1</v>
      </c>
      <c r="CH188" s="228">
        <v>1</v>
      </c>
      <c r="CI188" s="228">
        <v>0</v>
      </c>
      <c r="CJ188" s="229">
        <v>7.6899999999999996E-2</v>
      </c>
      <c r="CK188" s="228">
        <v>1</v>
      </c>
      <c r="CL188" s="228">
        <v>1</v>
      </c>
      <c r="CM188" s="228">
        <v>0</v>
      </c>
      <c r="CN188" s="229">
        <v>0.58330000000000004</v>
      </c>
      <c r="CO188" s="228">
        <v>62</v>
      </c>
      <c r="CP188" s="228">
        <v>35</v>
      </c>
      <c r="CQ188" s="228">
        <v>27</v>
      </c>
      <c r="CR188" s="229">
        <v>0.76060000000000005</v>
      </c>
      <c r="CS188" s="228">
        <v>56</v>
      </c>
      <c r="CT188" s="228">
        <v>35</v>
      </c>
      <c r="CU188" s="228">
        <v>22</v>
      </c>
      <c r="CV188" s="229">
        <v>0.62190000000000001</v>
      </c>
      <c r="CW188" s="228">
        <v>317</v>
      </c>
      <c r="CX188" s="228">
        <v>171</v>
      </c>
      <c r="CY188" s="228">
        <v>146</v>
      </c>
      <c r="CZ188" s="229">
        <v>0.85340000000000005</v>
      </c>
      <c r="DA188" s="228">
        <v>32.090000000000003</v>
      </c>
      <c r="DB188" s="228">
        <v>34.51</v>
      </c>
      <c r="DC188" s="228">
        <v>-2.42</v>
      </c>
      <c r="DD188" s="228">
        <v>-2.42</v>
      </c>
      <c r="DE188" s="228">
        <v>44.15</v>
      </c>
      <c r="DF188" s="228">
        <v>44.24</v>
      </c>
      <c r="DG188" s="228">
        <v>-12.06</v>
      </c>
      <c r="DH188" s="228">
        <v>-0.09</v>
      </c>
      <c r="DI188" s="228">
        <v>32.130000000000003</v>
      </c>
      <c r="DJ188" s="228">
        <v>34.85</v>
      </c>
      <c r="DK188" s="228">
        <v>-2.72</v>
      </c>
      <c r="DL188" s="228">
        <v>-2.72</v>
      </c>
      <c r="DM188" s="228">
        <v>32.020000000000003</v>
      </c>
      <c r="DN188" s="228">
        <v>33.96</v>
      </c>
      <c r="DO188" s="228">
        <v>-1.94</v>
      </c>
      <c r="DP188" s="228">
        <v>-1.94</v>
      </c>
      <c r="DQ188" s="228">
        <v>0.91</v>
      </c>
      <c r="DR188" s="228">
        <v>0.99</v>
      </c>
      <c r="DS188" s="228">
        <v>-0.08</v>
      </c>
      <c r="DT188" s="229">
        <v>-8.0799999999999997E-2</v>
      </c>
      <c r="DU188" s="228">
        <v>400</v>
      </c>
      <c r="DV188" s="228">
        <v>380</v>
      </c>
      <c r="DW188" s="228">
        <v>0.45</v>
      </c>
      <c r="DX188" s="228">
        <v>0.6</v>
      </c>
      <c r="DY188" s="228">
        <v>-0.15</v>
      </c>
      <c r="DZ188" s="229">
        <v>-0.25</v>
      </c>
      <c r="EA188" s="229">
        <v>8.5000000000000006E-3</v>
      </c>
      <c r="EB188" s="230">
        <v>32500</v>
      </c>
      <c r="EC188" s="229">
        <v>1.6999999999999999E-3</v>
      </c>
      <c r="ED188" s="229">
        <v>8.5000000000000006E-3</v>
      </c>
      <c r="EE188" s="228">
        <v>0.83</v>
      </c>
      <c r="EF188" s="229">
        <v>2.0999999999999999E-3</v>
      </c>
      <c r="EG188" s="230">
        <v>2947200</v>
      </c>
      <c r="EH188" s="230">
        <v>3696259</v>
      </c>
      <c r="EI188" s="229">
        <v>-0.20269999999999999</v>
      </c>
      <c r="EJ188" s="229">
        <v>0.57140000000000002</v>
      </c>
      <c r="EK188" s="228">
        <v>117.61</v>
      </c>
      <c r="EL188" s="228">
        <v>48.72</v>
      </c>
      <c r="EM188" s="228">
        <v>148.01</v>
      </c>
      <c r="EN188" s="228">
        <v>33.94</v>
      </c>
      <c r="EO188" s="228">
        <v>314.33999999999997</v>
      </c>
      <c r="EP188" s="228">
        <v>341.35</v>
      </c>
      <c r="EQ188" s="228">
        <v>-27.01</v>
      </c>
      <c r="ER188" s="229">
        <v>-7.9100000000000004E-2</v>
      </c>
      <c r="ES188" s="228">
        <v>63.77</v>
      </c>
      <c r="ET188" s="228">
        <v>53.7</v>
      </c>
      <c r="EU188" s="228">
        <v>198.88</v>
      </c>
      <c r="EV188" s="231">
        <v>375529891</v>
      </c>
      <c r="EW188" s="228">
        <v>316.35000000000002</v>
      </c>
      <c r="EX188" s="228">
        <v>168.86</v>
      </c>
      <c r="EY188" s="228">
        <v>147.49</v>
      </c>
      <c r="EZ188" s="229">
        <v>0.87339999999999995</v>
      </c>
      <c r="FA188" s="229">
        <v>2.1399999999999999E-2</v>
      </c>
      <c r="FB188" s="227" t="s">
        <v>555</v>
      </c>
      <c r="FC188">
        <f t="shared" si="3"/>
        <v>0</v>
      </c>
    </row>
    <row r="189" spans="1:159" ht="17.25" thickBot="1" x14ac:dyDescent="0.3">
      <c r="A189" s="226">
        <v>46023</v>
      </c>
      <c r="B189" s="227" t="s">
        <v>170</v>
      </c>
      <c r="C189" s="227" t="s">
        <v>520</v>
      </c>
      <c r="D189" s="228">
        <v>1000</v>
      </c>
      <c r="E189" s="228">
        <v>26</v>
      </c>
      <c r="F189" s="228">
        <v>652.79999999999995</v>
      </c>
      <c r="G189" s="228">
        <v>653.65</v>
      </c>
      <c r="H189" s="228">
        <v>-0.85</v>
      </c>
      <c r="I189" s="229">
        <v>-1.2999999999999999E-3</v>
      </c>
      <c r="J189" s="228">
        <v>650.20000000000005</v>
      </c>
      <c r="K189" s="228">
        <v>651</v>
      </c>
      <c r="L189" s="228">
        <v>-0.8</v>
      </c>
      <c r="M189" s="229">
        <v>-1.1999999999999999E-3</v>
      </c>
      <c r="N189" s="228">
        <v>652.79999999999995</v>
      </c>
      <c r="O189" s="228">
        <v>653.65</v>
      </c>
      <c r="P189" s="228">
        <v>-0.85</v>
      </c>
      <c r="Q189" s="229">
        <v>-1.2999999999999999E-3</v>
      </c>
      <c r="R189" s="228">
        <v>656.35</v>
      </c>
      <c r="S189" s="228">
        <v>657.65</v>
      </c>
      <c r="T189" s="228">
        <v>-1.3</v>
      </c>
      <c r="U189" s="229">
        <v>-2E-3</v>
      </c>
      <c r="V189" s="228">
        <v>655</v>
      </c>
      <c r="W189" s="228">
        <v>0</v>
      </c>
      <c r="X189" s="228">
        <v>655</v>
      </c>
      <c r="Y189" s="229">
        <v>0</v>
      </c>
      <c r="Z189" s="228">
        <v>2.6</v>
      </c>
      <c r="AA189" s="228">
        <v>2.65</v>
      </c>
      <c r="AB189" s="228">
        <v>-0.05</v>
      </c>
      <c r="AC189" s="229">
        <v>4.0000000000000001E-3</v>
      </c>
      <c r="AD189" s="228">
        <v>2.6</v>
      </c>
      <c r="AE189" s="228">
        <v>2.65</v>
      </c>
      <c r="AF189" s="228">
        <v>-0.05</v>
      </c>
      <c r="AG189" s="229">
        <v>4.0000000000000001E-3</v>
      </c>
      <c r="AH189" s="228">
        <v>6.15</v>
      </c>
      <c r="AI189" s="228">
        <v>6.65</v>
      </c>
      <c r="AJ189" s="228">
        <v>-0.5</v>
      </c>
      <c r="AK189" s="229">
        <v>9.4999999999999998E-3</v>
      </c>
      <c r="AL189" s="228">
        <v>4.8</v>
      </c>
      <c r="AM189" s="228">
        <v>0</v>
      </c>
      <c r="AN189" s="228">
        <v>4.8</v>
      </c>
      <c r="AO189" s="229">
        <v>7.4000000000000003E-3</v>
      </c>
      <c r="AP189" s="228">
        <v>649.52</v>
      </c>
      <c r="AQ189" s="228">
        <v>653.91</v>
      </c>
      <c r="AR189" s="228">
        <v>0</v>
      </c>
      <c r="AS189" s="228">
        <v>34</v>
      </c>
      <c r="AT189" s="228">
        <v>49</v>
      </c>
      <c r="AU189" s="228">
        <v>-15</v>
      </c>
      <c r="AV189" s="229">
        <v>-0.3125</v>
      </c>
      <c r="AW189" s="228">
        <v>32</v>
      </c>
      <c r="AX189" s="228">
        <v>48</v>
      </c>
      <c r="AY189" s="228">
        <v>-16</v>
      </c>
      <c r="AZ189" s="229">
        <v>-0.3256</v>
      </c>
      <c r="BA189" s="228">
        <v>2</v>
      </c>
      <c r="BB189" s="228">
        <v>1</v>
      </c>
      <c r="BC189" s="228">
        <v>0</v>
      </c>
      <c r="BD189" s="229">
        <v>9.5200000000000007E-2</v>
      </c>
      <c r="BE189" s="228">
        <v>0</v>
      </c>
      <c r="BF189" s="228">
        <v>0</v>
      </c>
      <c r="BG189" s="228">
        <v>0</v>
      </c>
      <c r="BH189" s="229">
        <v>0</v>
      </c>
      <c r="BI189" s="228">
        <v>49</v>
      </c>
      <c r="BJ189" s="228">
        <v>48</v>
      </c>
      <c r="BK189" s="228">
        <v>1</v>
      </c>
      <c r="BL189" s="229">
        <v>2.18E-2</v>
      </c>
      <c r="BM189" s="228">
        <v>30</v>
      </c>
      <c r="BN189" s="228">
        <v>25</v>
      </c>
      <c r="BO189" s="228">
        <v>5</v>
      </c>
      <c r="BP189" s="229">
        <v>0.19420000000000001</v>
      </c>
      <c r="BQ189" s="228">
        <v>112</v>
      </c>
      <c r="BR189" s="228">
        <v>122</v>
      </c>
      <c r="BS189" s="228">
        <v>-9</v>
      </c>
      <c r="BT189" s="229">
        <v>-7.7700000000000005E-2</v>
      </c>
      <c r="BU189" s="230">
        <v>154718</v>
      </c>
      <c r="BV189" s="230">
        <v>226893</v>
      </c>
      <c r="BW189" s="230">
        <v>-72175</v>
      </c>
      <c r="BX189" s="229">
        <v>-0.31809999999999999</v>
      </c>
      <c r="BY189" s="228">
        <v>510</v>
      </c>
      <c r="BZ189" s="228">
        <v>507</v>
      </c>
      <c r="CA189" s="228">
        <v>3</v>
      </c>
      <c r="CB189" s="229">
        <v>6.4000000000000003E-3</v>
      </c>
      <c r="CC189" s="228">
        <v>504</v>
      </c>
      <c r="CD189" s="228">
        <v>501</v>
      </c>
      <c r="CE189" s="228">
        <v>3</v>
      </c>
      <c r="CF189" s="229">
        <v>6.1000000000000004E-3</v>
      </c>
      <c r="CG189" s="228">
        <v>6</v>
      </c>
      <c r="CH189" s="228">
        <v>5</v>
      </c>
      <c r="CI189" s="228">
        <v>0</v>
      </c>
      <c r="CJ189" s="229">
        <v>2.3800000000000002E-2</v>
      </c>
      <c r="CK189" s="228">
        <v>0</v>
      </c>
      <c r="CL189" s="228">
        <v>0</v>
      </c>
      <c r="CM189" s="228">
        <v>0</v>
      </c>
      <c r="CN189" s="229">
        <v>0</v>
      </c>
      <c r="CO189" s="228">
        <v>96</v>
      </c>
      <c r="CP189" s="228">
        <v>84</v>
      </c>
      <c r="CQ189" s="228">
        <v>12</v>
      </c>
      <c r="CR189" s="229">
        <v>0.14299999999999999</v>
      </c>
      <c r="CS189" s="228">
        <v>79</v>
      </c>
      <c r="CT189" s="228">
        <v>71</v>
      </c>
      <c r="CU189" s="228">
        <v>8</v>
      </c>
      <c r="CV189" s="229">
        <v>0.11360000000000001</v>
      </c>
      <c r="CW189" s="228">
        <v>685</v>
      </c>
      <c r="CX189" s="228">
        <v>662</v>
      </c>
      <c r="CY189" s="228">
        <v>23</v>
      </c>
      <c r="CZ189" s="229">
        <v>3.5299999999999998E-2</v>
      </c>
      <c r="DA189" s="228">
        <v>24.79</v>
      </c>
      <c r="DB189" s="228">
        <v>24.99</v>
      </c>
      <c r="DC189" s="228">
        <v>-0.2</v>
      </c>
      <c r="DD189" s="228">
        <v>-0.2</v>
      </c>
      <c r="DE189" s="228">
        <v>31.86</v>
      </c>
      <c r="DF189" s="228">
        <v>31.94</v>
      </c>
      <c r="DG189" s="228">
        <v>-7.07</v>
      </c>
      <c r="DH189" s="228">
        <v>-0.08</v>
      </c>
      <c r="DI189" s="228">
        <v>24.62</v>
      </c>
      <c r="DJ189" s="228">
        <v>25.03</v>
      </c>
      <c r="DK189" s="228">
        <v>-0.41</v>
      </c>
      <c r="DL189" s="228">
        <v>-0.41</v>
      </c>
      <c r="DM189" s="228">
        <v>25.07</v>
      </c>
      <c r="DN189" s="228">
        <v>24.92</v>
      </c>
      <c r="DO189" s="228">
        <v>0.15</v>
      </c>
      <c r="DP189" s="228">
        <v>0.15</v>
      </c>
      <c r="DQ189" s="228">
        <v>0.83</v>
      </c>
      <c r="DR189" s="228">
        <v>0.85</v>
      </c>
      <c r="DS189" s="228">
        <v>-0.02</v>
      </c>
      <c r="DT189" s="229">
        <v>-2.35E-2</v>
      </c>
      <c r="DU189" s="228">
        <v>700</v>
      </c>
      <c r="DV189" s="228">
        <v>650</v>
      </c>
      <c r="DW189" s="228">
        <v>0.61</v>
      </c>
      <c r="DX189" s="228">
        <v>0.52</v>
      </c>
      <c r="DY189" s="228">
        <v>0.09</v>
      </c>
      <c r="DZ189" s="229">
        <v>0.1731</v>
      </c>
      <c r="EA189" s="229">
        <v>1.11E-2</v>
      </c>
      <c r="EB189" s="230">
        <v>84000</v>
      </c>
      <c r="EC189" s="229">
        <v>5.4000000000000003E-3</v>
      </c>
      <c r="ED189" s="229">
        <v>1.11E-2</v>
      </c>
      <c r="EE189" s="228">
        <v>4.3899999999999997</v>
      </c>
      <c r="EF189" s="229">
        <v>6.7999999999999996E-3</v>
      </c>
      <c r="EG189" s="230">
        <v>62044</v>
      </c>
      <c r="EH189" s="230">
        <v>141980</v>
      </c>
      <c r="EI189" s="229">
        <v>-0.56299999999999994</v>
      </c>
      <c r="EJ189" s="229">
        <v>0.40100000000000002</v>
      </c>
      <c r="EK189" s="228">
        <v>51.81</v>
      </c>
      <c r="EL189" s="228">
        <v>28.94</v>
      </c>
      <c r="EM189" s="228">
        <v>33.590000000000003</v>
      </c>
      <c r="EN189" s="228">
        <v>35.630000000000003</v>
      </c>
      <c r="EO189" s="228">
        <v>114.34</v>
      </c>
      <c r="EP189" s="228">
        <v>124.16</v>
      </c>
      <c r="EQ189" s="228">
        <v>-9.82</v>
      </c>
      <c r="ER189" s="229">
        <v>-7.9100000000000004E-2</v>
      </c>
      <c r="ES189" s="228">
        <v>100.92</v>
      </c>
      <c r="ET189" s="228">
        <v>77.25</v>
      </c>
      <c r="EU189" s="228">
        <v>509.87</v>
      </c>
      <c r="EV189" s="231">
        <v>24733183</v>
      </c>
      <c r="EW189" s="228">
        <v>688.04</v>
      </c>
      <c r="EX189" s="228">
        <v>665.09</v>
      </c>
      <c r="EY189" s="228">
        <v>22.95</v>
      </c>
      <c r="EZ189" s="229">
        <v>3.4500000000000003E-2</v>
      </c>
      <c r="FA189" s="229">
        <v>0.4244</v>
      </c>
      <c r="FB189" s="227" t="s">
        <v>567</v>
      </c>
      <c r="FC189">
        <f t="shared" si="3"/>
        <v>0</v>
      </c>
    </row>
    <row r="190" spans="1:159" ht="17.25" thickBot="1" x14ac:dyDescent="0.3">
      <c r="A190" s="226">
        <v>46023</v>
      </c>
      <c r="B190" s="227" t="s">
        <v>168</v>
      </c>
      <c r="C190" s="227" t="s">
        <v>291</v>
      </c>
      <c r="D190" s="228">
        <v>550</v>
      </c>
      <c r="E190" s="228">
        <v>26</v>
      </c>
      <c r="F190" s="231">
        <v>1185.3</v>
      </c>
      <c r="G190" s="231">
        <v>1198.5</v>
      </c>
      <c r="H190" s="228">
        <v>-13.2</v>
      </c>
      <c r="I190" s="229">
        <v>-1.0999999999999999E-2</v>
      </c>
      <c r="J190" s="231">
        <v>1176.9000000000001</v>
      </c>
      <c r="K190" s="231">
        <v>1192</v>
      </c>
      <c r="L190" s="228">
        <v>-15.1</v>
      </c>
      <c r="M190" s="229">
        <v>-1.2699999999999999E-2</v>
      </c>
      <c r="N190" s="231">
        <v>1185.3</v>
      </c>
      <c r="O190" s="231">
        <v>1198.5</v>
      </c>
      <c r="P190" s="228">
        <v>-13.2</v>
      </c>
      <c r="Q190" s="229">
        <v>-1.0999999999999999E-2</v>
      </c>
      <c r="R190" s="231">
        <v>1192.3</v>
      </c>
      <c r="S190" s="231">
        <v>1205.0999999999999</v>
      </c>
      <c r="T190" s="228">
        <v>-12.8</v>
      </c>
      <c r="U190" s="229">
        <v>-1.06E-2</v>
      </c>
      <c r="V190" s="231">
        <v>1200</v>
      </c>
      <c r="W190" s="231">
        <v>1212.9000000000001</v>
      </c>
      <c r="X190" s="228">
        <v>-12.9</v>
      </c>
      <c r="Y190" s="229">
        <v>-1.06E-2</v>
      </c>
      <c r="Z190" s="228">
        <v>8.4</v>
      </c>
      <c r="AA190" s="228">
        <v>6.5</v>
      </c>
      <c r="AB190" s="228">
        <v>1.9</v>
      </c>
      <c r="AC190" s="229">
        <v>7.1000000000000004E-3</v>
      </c>
      <c r="AD190" s="228">
        <v>8.4</v>
      </c>
      <c r="AE190" s="228">
        <v>6.5</v>
      </c>
      <c r="AF190" s="228">
        <v>1.9</v>
      </c>
      <c r="AG190" s="229">
        <v>7.1000000000000004E-3</v>
      </c>
      <c r="AH190" s="228">
        <v>15.4</v>
      </c>
      <c r="AI190" s="228">
        <v>13.1</v>
      </c>
      <c r="AJ190" s="228">
        <v>2.2999999999999998</v>
      </c>
      <c r="AK190" s="229">
        <v>1.3100000000000001E-2</v>
      </c>
      <c r="AL190" s="228">
        <v>23.1</v>
      </c>
      <c r="AM190" s="228">
        <v>20.9</v>
      </c>
      <c r="AN190" s="228">
        <v>2.2000000000000002</v>
      </c>
      <c r="AO190" s="229">
        <v>1.9599999999999999E-2</v>
      </c>
      <c r="AP190" s="231">
        <v>1188.94</v>
      </c>
      <c r="AQ190" s="231">
        <v>1196.8699999999999</v>
      </c>
      <c r="AR190" s="228">
        <v>0</v>
      </c>
      <c r="AS190" s="228">
        <v>131</v>
      </c>
      <c r="AT190" s="228">
        <v>188</v>
      </c>
      <c r="AU190" s="228">
        <v>-57</v>
      </c>
      <c r="AV190" s="229">
        <v>-0.30249999999999999</v>
      </c>
      <c r="AW190" s="228">
        <v>127</v>
      </c>
      <c r="AX190" s="228">
        <v>183</v>
      </c>
      <c r="AY190" s="228">
        <v>-56</v>
      </c>
      <c r="AZ190" s="229">
        <v>-0.30370000000000003</v>
      </c>
      <c r="BA190" s="228">
        <v>2</v>
      </c>
      <c r="BB190" s="228">
        <v>4</v>
      </c>
      <c r="BC190" s="228">
        <v>-2</v>
      </c>
      <c r="BD190" s="229">
        <v>-0.4627</v>
      </c>
      <c r="BE190" s="228">
        <v>2</v>
      </c>
      <c r="BF190" s="228">
        <v>1</v>
      </c>
      <c r="BG190" s="228">
        <v>1</v>
      </c>
      <c r="BH190" s="229">
        <v>0.71430000000000005</v>
      </c>
      <c r="BI190" s="228">
        <v>234</v>
      </c>
      <c r="BJ190" s="228">
        <v>403</v>
      </c>
      <c r="BK190" s="228">
        <v>-169</v>
      </c>
      <c r="BL190" s="229">
        <v>-0.42020000000000002</v>
      </c>
      <c r="BM190" s="228">
        <v>133</v>
      </c>
      <c r="BN190" s="228">
        <v>112</v>
      </c>
      <c r="BO190" s="228">
        <v>21</v>
      </c>
      <c r="BP190" s="229">
        <v>0.18920000000000001</v>
      </c>
      <c r="BQ190" s="228">
        <v>498</v>
      </c>
      <c r="BR190" s="228">
        <v>703</v>
      </c>
      <c r="BS190" s="228">
        <v>-205</v>
      </c>
      <c r="BT190" s="229">
        <v>-0.29160000000000003</v>
      </c>
      <c r="BU190" s="230">
        <v>984214</v>
      </c>
      <c r="BV190" s="230">
        <v>1043011</v>
      </c>
      <c r="BW190" s="230">
        <v>-58797</v>
      </c>
      <c r="BX190" s="229">
        <v>-5.6399999999999999E-2</v>
      </c>
      <c r="BY190" s="230">
        <v>1382</v>
      </c>
      <c r="BZ190" s="230">
        <v>1362</v>
      </c>
      <c r="CA190" s="228">
        <v>21</v>
      </c>
      <c r="CB190" s="229">
        <v>1.5100000000000001E-2</v>
      </c>
      <c r="CC190" s="230">
        <v>1365</v>
      </c>
      <c r="CD190" s="230">
        <v>1347</v>
      </c>
      <c r="CE190" s="228">
        <v>18</v>
      </c>
      <c r="CF190" s="229">
        <v>1.3599999999999999E-2</v>
      </c>
      <c r="CG190" s="228">
        <v>14</v>
      </c>
      <c r="CH190" s="228">
        <v>14</v>
      </c>
      <c r="CI190" s="228">
        <v>1</v>
      </c>
      <c r="CJ190" s="229">
        <v>5.2900000000000003E-2</v>
      </c>
      <c r="CK190" s="228">
        <v>2</v>
      </c>
      <c r="CL190" s="228">
        <v>1</v>
      </c>
      <c r="CM190" s="228">
        <v>2</v>
      </c>
      <c r="CN190" s="229">
        <v>1.7142999999999999</v>
      </c>
      <c r="CO190" s="228">
        <v>295</v>
      </c>
      <c r="CP190" s="228">
        <v>267</v>
      </c>
      <c r="CQ190" s="228">
        <v>27</v>
      </c>
      <c r="CR190" s="229">
        <v>0.1022</v>
      </c>
      <c r="CS190" s="228">
        <v>188</v>
      </c>
      <c r="CT190" s="228">
        <v>140</v>
      </c>
      <c r="CU190" s="228">
        <v>49</v>
      </c>
      <c r="CV190" s="229">
        <v>0.34839999999999999</v>
      </c>
      <c r="CW190" s="230">
        <v>1865</v>
      </c>
      <c r="CX190" s="230">
        <v>1769</v>
      </c>
      <c r="CY190" s="228">
        <v>97</v>
      </c>
      <c r="CZ190" s="229">
        <v>5.4600000000000003E-2</v>
      </c>
      <c r="DA190" s="228">
        <v>19.87</v>
      </c>
      <c r="DB190" s="228">
        <v>19.75</v>
      </c>
      <c r="DC190" s="228">
        <v>0.12</v>
      </c>
      <c r="DD190" s="228">
        <v>0.12</v>
      </c>
      <c r="DE190" s="228">
        <v>25.68</v>
      </c>
      <c r="DF190" s="228">
        <v>25.68</v>
      </c>
      <c r="DG190" s="228">
        <v>-5.81</v>
      </c>
      <c r="DH190" s="228">
        <v>0</v>
      </c>
      <c r="DI190" s="228">
        <v>19.670000000000002</v>
      </c>
      <c r="DJ190" s="228">
        <v>19.62</v>
      </c>
      <c r="DK190" s="228">
        <v>0.05</v>
      </c>
      <c r="DL190" s="228">
        <v>0.05</v>
      </c>
      <c r="DM190" s="228">
        <v>20.22</v>
      </c>
      <c r="DN190" s="228">
        <v>20.21</v>
      </c>
      <c r="DO190" s="228">
        <v>0.01</v>
      </c>
      <c r="DP190" s="228">
        <v>0.01</v>
      </c>
      <c r="DQ190" s="228">
        <v>0.64</v>
      </c>
      <c r="DR190" s="228">
        <v>0.52</v>
      </c>
      <c r="DS190" s="228">
        <v>0.12</v>
      </c>
      <c r="DT190" s="229">
        <v>0.23080000000000001</v>
      </c>
      <c r="DU190" s="231">
        <v>1200</v>
      </c>
      <c r="DV190" s="231">
        <v>1080</v>
      </c>
      <c r="DW190" s="228">
        <v>0.56999999999999995</v>
      </c>
      <c r="DX190" s="228">
        <v>0.28000000000000003</v>
      </c>
      <c r="DY190" s="228">
        <v>0.28999999999999998</v>
      </c>
      <c r="DZ190" s="229">
        <v>1.0357000000000001</v>
      </c>
      <c r="EA190" s="229">
        <v>1.21E-2</v>
      </c>
      <c r="EB190" s="230">
        <v>122100</v>
      </c>
      <c r="EC190" s="229">
        <v>5.8999999999999999E-3</v>
      </c>
      <c r="ED190" s="229">
        <v>1.21E-2</v>
      </c>
      <c r="EE190" s="228">
        <v>7.93</v>
      </c>
      <c r="EF190" s="229">
        <v>6.7000000000000002E-3</v>
      </c>
      <c r="EG190" s="230">
        <v>638947</v>
      </c>
      <c r="EH190" s="230">
        <v>664808</v>
      </c>
      <c r="EI190" s="229">
        <v>-3.8899999999999997E-2</v>
      </c>
      <c r="EJ190" s="229">
        <v>0.6492</v>
      </c>
      <c r="EK190" s="228">
        <v>245.37</v>
      </c>
      <c r="EL190" s="228">
        <v>129.24</v>
      </c>
      <c r="EM190" s="228">
        <v>131.66999999999999</v>
      </c>
      <c r="EN190" s="228">
        <v>93.52</v>
      </c>
      <c r="EO190" s="228">
        <v>506.28</v>
      </c>
      <c r="EP190" s="228">
        <v>722.54</v>
      </c>
      <c r="EQ190" s="228">
        <v>-216.26</v>
      </c>
      <c r="ER190" s="229">
        <v>-0.29930000000000001</v>
      </c>
      <c r="ES190" s="228">
        <v>307.61</v>
      </c>
      <c r="ET190" s="228">
        <v>180.21</v>
      </c>
      <c r="EU190" s="231">
        <v>1382.17</v>
      </c>
      <c r="EV190" s="231">
        <v>65472326</v>
      </c>
      <c r="EW190" s="231">
        <v>1869.99</v>
      </c>
      <c r="EX190" s="231">
        <v>1791.93</v>
      </c>
      <c r="EY190" s="228">
        <v>78.06</v>
      </c>
      <c r="EZ190" s="229">
        <v>4.36E-2</v>
      </c>
      <c r="FA190" s="229">
        <v>0.24030000000000001</v>
      </c>
      <c r="FB190" s="227" t="s">
        <v>567</v>
      </c>
      <c r="FC190">
        <f t="shared" si="3"/>
        <v>0</v>
      </c>
    </row>
    <row r="191" spans="1:159" ht="17.25" thickBot="1" x14ac:dyDescent="0.3">
      <c r="A191" s="226">
        <v>46023</v>
      </c>
      <c r="B191" s="227" t="s">
        <v>221</v>
      </c>
      <c r="C191" s="227" t="s">
        <v>604</v>
      </c>
      <c r="D191" s="228">
        <v>100</v>
      </c>
      <c r="E191" s="228">
        <v>26</v>
      </c>
      <c r="F191" s="231">
        <v>5241</v>
      </c>
      <c r="G191" s="231">
        <v>5266.5</v>
      </c>
      <c r="H191" s="228">
        <v>-25.5</v>
      </c>
      <c r="I191" s="229">
        <v>-4.7999999999999996E-3</v>
      </c>
      <c r="J191" s="231">
        <v>5211.5</v>
      </c>
      <c r="K191" s="231">
        <v>5240.5</v>
      </c>
      <c r="L191" s="228">
        <v>-29</v>
      </c>
      <c r="M191" s="229">
        <v>-5.4999999999999997E-3</v>
      </c>
      <c r="N191" s="231">
        <v>5241</v>
      </c>
      <c r="O191" s="231">
        <v>5266.5</v>
      </c>
      <c r="P191" s="228">
        <v>-25.5</v>
      </c>
      <c r="Q191" s="229">
        <v>-4.7999999999999996E-3</v>
      </c>
      <c r="R191" s="231">
        <v>5264.5</v>
      </c>
      <c r="S191" s="231">
        <v>5292.5</v>
      </c>
      <c r="T191" s="228">
        <v>-28</v>
      </c>
      <c r="U191" s="229">
        <v>-5.3E-3</v>
      </c>
      <c r="V191" s="228">
        <v>0</v>
      </c>
      <c r="W191" s="228">
        <v>0</v>
      </c>
      <c r="X191" s="228">
        <v>0</v>
      </c>
      <c r="Y191" s="229">
        <v>0</v>
      </c>
      <c r="Z191" s="228">
        <v>29.5</v>
      </c>
      <c r="AA191" s="228">
        <v>26</v>
      </c>
      <c r="AB191" s="228">
        <v>3.5</v>
      </c>
      <c r="AC191" s="229">
        <v>5.7000000000000002E-3</v>
      </c>
      <c r="AD191" s="228">
        <v>29.5</v>
      </c>
      <c r="AE191" s="228">
        <v>26</v>
      </c>
      <c r="AF191" s="228">
        <v>3.5</v>
      </c>
      <c r="AG191" s="229">
        <v>5.7000000000000002E-3</v>
      </c>
      <c r="AH191" s="228">
        <v>53</v>
      </c>
      <c r="AI191" s="228">
        <v>52</v>
      </c>
      <c r="AJ191" s="228">
        <v>1</v>
      </c>
      <c r="AK191" s="229">
        <v>1.0200000000000001E-2</v>
      </c>
      <c r="AL191" s="228">
        <v>0</v>
      </c>
      <c r="AM191" s="228">
        <v>0</v>
      </c>
      <c r="AN191" s="228">
        <v>0</v>
      </c>
      <c r="AO191" s="229">
        <v>0</v>
      </c>
      <c r="AP191" s="231">
        <v>5240.1400000000003</v>
      </c>
      <c r="AQ191" s="231">
        <v>5264.26</v>
      </c>
      <c r="AR191" s="228">
        <v>0</v>
      </c>
      <c r="AS191" s="228">
        <v>48</v>
      </c>
      <c r="AT191" s="228">
        <v>99</v>
      </c>
      <c r="AU191" s="228">
        <v>-51</v>
      </c>
      <c r="AV191" s="229">
        <v>-0.51380000000000003</v>
      </c>
      <c r="AW191" s="228">
        <v>45</v>
      </c>
      <c r="AX191" s="228">
        <v>93</v>
      </c>
      <c r="AY191" s="228">
        <v>-48</v>
      </c>
      <c r="AZ191" s="229">
        <v>-0.5141</v>
      </c>
      <c r="BA191" s="228">
        <v>3</v>
      </c>
      <c r="BB191" s="228">
        <v>6</v>
      </c>
      <c r="BC191" s="228">
        <v>-3</v>
      </c>
      <c r="BD191" s="229">
        <v>-0.5091</v>
      </c>
      <c r="BE191" s="228">
        <v>0</v>
      </c>
      <c r="BF191" s="228">
        <v>0</v>
      </c>
      <c r="BG191" s="228">
        <v>0</v>
      </c>
      <c r="BH191" s="229">
        <v>0</v>
      </c>
      <c r="BI191" s="228">
        <v>168</v>
      </c>
      <c r="BJ191" s="228">
        <v>314</v>
      </c>
      <c r="BK191" s="228">
        <v>-147</v>
      </c>
      <c r="BL191" s="229">
        <v>-0.46660000000000001</v>
      </c>
      <c r="BM191" s="228">
        <v>69</v>
      </c>
      <c r="BN191" s="228">
        <v>135</v>
      </c>
      <c r="BO191" s="228">
        <v>-65</v>
      </c>
      <c r="BP191" s="229">
        <v>-0.48399999999999999</v>
      </c>
      <c r="BQ191" s="228">
        <v>285</v>
      </c>
      <c r="BR191" s="228">
        <v>547</v>
      </c>
      <c r="BS191" s="228">
        <v>-262</v>
      </c>
      <c r="BT191" s="229">
        <v>-0.47939999999999999</v>
      </c>
      <c r="BU191" s="230">
        <v>47459</v>
      </c>
      <c r="BV191" s="230">
        <v>85971</v>
      </c>
      <c r="BW191" s="230">
        <v>-38512</v>
      </c>
      <c r="BX191" s="229">
        <v>-0.44800000000000001</v>
      </c>
      <c r="BY191" s="228">
        <v>774</v>
      </c>
      <c r="BZ191" s="228">
        <v>773</v>
      </c>
      <c r="CA191" s="228">
        <v>1</v>
      </c>
      <c r="CB191" s="229">
        <v>1.2999999999999999E-3</v>
      </c>
      <c r="CC191" s="228">
        <v>748</v>
      </c>
      <c r="CD191" s="228">
        <v>748</v>
      </c>
      <c r="CE191" s="228">
        <v>0</v>
      </c>
      <c r="CF191" s="229">
        <v>-5.0000000000000001E-4</v>
      </c>
      <c r="CG191" s="228">
        <v>27</v>
      </c>
      <c r="CH191" s="228">
        <v>25</v>
      </c>
      <c r="CI191" s="228">
        <v>1</v>
      </c>
      <c r="CJ191" s="229">
        <v>5.4199999999999998E-2</v>
      </c>
      <c r="CK191" s="228">
        <v>0</v>
      </c>
      <c r="CL191" s="228">
        <v>0</v>
      </c>
      <c r="CM191" s="228">
        <v>0</v>
      </c>
      <c r="CN191" s="229">
        <v>0</v>
      </c>
      <c r="CO191" s="228">
        <v>277</v>
      </c>
      <c r="CP191" s="228">
        <v>257</v>
      </c>
      <c r="CQ191" s="228">
        <v>20</v>
      </c>
      <c r="CR191" s="229">
        <v>7.6700000000000004E-2</v>
      </c>
      <c r="CS191" s="228">
        <v>186</v>
      </c>
      <c r="CT191" s="228">
        <v>182</v>
      </c>
      <c r="CU191" s="228">
        <v>4</v>
      </c>
      <c r="CV191" s="229">
        <v>2.3900000000000001E-2</v>
      </c>
      <c r="CW191" s="230">
        <v>1237</v>
      </c>
      <c r="CX191" s="230">
        <v>1212</v>
      </c>
      <c r="CY191" s="228">
        <v>25</v>
      </c>
      <c r="CZ191" s="229">
        <v>2.07E-2</v>
      </c>
      <c r="DA191" s="228">
        <v>28.51</v>
      </c>
      <c r="DB191" s="228">
        <v>28.67</v>
      </c>
      <c r="DC191" s="228">
        <v>-0.16</v>
      </c>
      <c r="DD191" s="228">
        <v>-0.16</v>
      </c>
      <c r="DE191" s="228">
        <v>35.6</v>
      </c>
      <c r="DF191" s="228">
        <v>35.69</v>
      </c>
      <c r="DG191" s="228">
        <v>-7.09</v>
      </c>
      <c r="DH191" s="228">
        <v>-0.09</v>
      </c>
      <c r="DI191" s="228">
        <v>28.63</v>
      </c>
      <c r="DJ191" s="228">
        <v>28.84</v>
      </c>
      <c r="DK191" s="228">
        <v>-0.21</v>
      </c>
      <c r="DL191" s="228">
        <v>-0.21</v>
      </c>
      <c r="DM191" s="228">
        <v>28.22</v>
      </c>
      <c r="DN191" s="228">
        <v>28.26</v>
      </c>
      <c r="DO191" s="228">
        <v>-0.04</v>
      </c>
      <c r="DP191" s="228">
        <v>-0.04</v>
      </c>
      <c r="DQ191" s="228">
        <v>0.67</v>
      </c>
      <c r="DR191" s="228">
        <v>0.71</v>
      </c>
      <c r="DS191" s="228">
        <v>-0.04</v>
      </c>
      <c r="DT191" s="229">
        <v>-5.6300000000000003E-2</v>
      </c>
      <c r="DU191" s="231">
        <v>6000</v>
      </c>
      <c r="DV191" s="231">
        <v>5300</v>
      </c>
      <c r="DW191" s="228">
        <v>0.41</v>
      </c>
      <c r="DX191" s="228">
        <v>0.43</v>
      </c>
      <c r="DY191" s="228">
        <v>-0.02</v>
      </c>
      <c r="DZ191" s="229">
        <v>-4.65E-2</v>
      </c>
      <c r="EA191" s="229">
        <v>3.4299999999999997E-2</v>
      </c>
      <c r="EB191" s="230">
        <v>48000</v>
      </c>
      <c r="EC191" s="229">
        <v>4.4999999999999997E-3</v>
      </c>
      <c r="ED191" s="229">
        <v>3.4299999999999997E-2</v>
      </c>
      <c r="EE191" s="228">
        <v>24.12</v>
      </c>
      <c r="EF191" s="229">
        <v>4.5999999999999999E-3</v>
      </c>
      <c r="EG191" s="230">
        <v>16748</v>
      </c>
      <c r="EH191" s="230">
        <v>26822</v>
      </c>
      <c r="EI191" s="229">
        <v>-0.37559999999999999</v>
      </c>
      <c r="EJ191" s="229">
        <v>0.35289999999999999</v>
      </c>
      <c r="EK191" s="228">
        <v>177.89</v>
      </c>
      <c r="EL191" s="228">
        <v>69.02</v>
      </c>
      <c r="EM191" s="228">
        <v>47.96</v>
      </c>
      <c r="EN191" s="228">
        <v>80.23</v>
      </c>
      <c r="EO191" s="228">
        <v>294.87</v>
      </c>
      <c r="EP191" s="228">
        <v>567.74</v>
      </c>
      <c r="EQ191" s="228">
        <v>-272.88</v>
      </c>
      <c r="ER191" s="229">
        <v>-0.48060000000000003</v>
      </c>
      <c r="ES191" s="228">
        <v>295.77999999999997</v>
      </c>
      <c r="ET191" s="228">
        <v>183.61</v>
      </c>
      <c r="EU191" s="228">
        <v>774.21</v>
      </c>
      <c r="EV191" s="231">
        <v>5241546</v>
      </c>
      <c r="EW191" s="231">
        <v>1253.6099999999999</v>
      </c>
      <c r="EX191" s="231">
        <v>1232.17</v>
      </c>
      <c r="EY191" s="228">
        <v>21.44</v>
      </c>
      <c r="EZ191" s="229">
        <v>1.7399999999999999E-2</v>
      </c>
      <c r="FA191" s="229">
        <v>0.45029999999999998</v>
      </c>
      <c r="FB191" s="227" t="s">
        <v>567</v>
      </c>
      <c r="FC191">
        <f t="shared" si="3"/>
        <v>0</v>
      </c>
    </row>
    <row r="192" spans="1:159" ht="17.25" thickBot="1" x14ac:dyDescent="0.3">
      <c r="A192" s="226">
        <v>46023</v>
      </c>
      <c r="B192" s="227" t="s">
        <v>161</v>
      </c>
      <c r="C192" s="227" t="s">
        <v>293</v>
      </c>
      <c r="D192" s="228">
        <v>1450</v>
      </c>
      <c r="E192" s="228">
        <v>26</v>
      </c>
      <c r="F192" s="228">
        <v>384.4</v>
      </c>
      <c r="G192" s="228">
        <v>382.05</v>
      </c>
      <c r="H192" s="228">
        <v>2.35</v>
      </c>
      <c r="I192" s="229">
        <v>6.1999999999999998E-3</v>
      </c>
      <c r="J192" s="228">
        <v>381.85</v>
      </c>
      <c r="K192" s="228">
        <v>379.6</v>
      </c>
      <c r="L192" s="228">
        <v>2.25</v>
      </c>
      <c r="M192" s="229">
        <v>5.8999999999999999E-3</v>
      </c>
      <c r="N192" s="228">
        <v>384.4</v>
      </c>
      <c r="O192" s="228">
        <v>382.05</v>
      </c>
      <c r="P192" s="228">
        <v>2.35</v>
      </c>
      <c r="Q192" s="229">
        <v>6.1999999999999998E-3</v>
      </c>
      <c r="R192" s="228">
        <v>386.7</v>
      </c>
      <c r="S192" s="228">
        <v>384.4</v>
      </c>
      <c r="T192" s="228">
        <v>2.2999999999999998</v>
      </c>
      <c r="U192" s="229">
        <v>6.0000000000000001E-3</v>
      </c>
      <c r="V192" s="228">
        <v>389.15</v>
      </c>
      <c r="W192" s="228">
        <v>386.35</v>
      </c>
      <c r="X192" s="228">
        <v>2.8</v>
      </c>
      <c r="Y192" s="229">
        <v>7.1999999999999998E-3</v>
      </c>
      <c r="Z192" s="228">
        <v>2.5499999999999998</v>
      </c>
      <c r="AA192" s="228">
        <v>2.4500000000000002</v>
      </c>
      <c r="AB192" s="228">
        <v>0.1</v>
      </c>
      <c r="AC192" s="229">
        <v>6.7000000000000002E-3</v>
      </c>
      <c r="AD192" s="228">
        <v>2.5499999999999998</v>
      </c>
      <c r="AE192" s="228">
        <v>2.4500000000000002</v>
      </c>
      <c r="AF192" s="228">
        <v>0.1</v>
      </c>
      <c r="AG192" s="229">
        <v>6.7000000000000002E-3</v>
      </c>
      <c r="AH192" s="228">
        <v>4.8499999999999996</v>
      </c>
      <c r="AI192" s="228">
        <v>4.8</v>
      </c>
      <c r="AJ192" s="228">
        <v>0.05</v>
      </c>
      <c r="AK192" s="229">
        <v>1.2699999999999999E-2</v>
      </c>
      <c r="AL192" s="228">
        <v>7.3</v>
      </c>
      <c r="AM192" s="228">
        <v>6.75</v>
      </c>
      <c r="AN192" s="228">
        <v>0.55000000000000004</v>
      </c>
      <c r="AO192" s="229">
        <v>1.9099999999999999E-2</v>
      </c>
      <c r="AP192" s="228">
        <v>383.3</v>
      </c>
      <c r="AQ192" s="228">
        <v>385.53</v>
      </c>
      <c r="AR192" s="228">
        <v>0</v>
      </c>
      <c r="AS192" s="228">
        <v>152</v>
      </c>
      <c r="AT192" s="228">
        <v>239</v>
      </c>
      <c r="AU192" s="228">
        <v>-87</v>
      </c>
      <c r="AV192" s="229">
        <v>-0.36320000000000002</v>
      </c>
      <c r="AW192" s="228">
        <v>141</v>
      </c>
      <c r="AX192" s="228">
        <v>215</v>
      </c>
      <c r="AY192" s="228">
        <v>-74</v>
      </c>
      <c r="AZ192" s="229">
        <v>-0.34560000000000002</v>
      </c>
      <c r="BA192" s="228">
        <v>10</v>
      </c>
      <c r="BB192" s="228">
        <v>22</v>
      </c>
      <c r="BC192" s="228">
        <v>-12</v>
      </c>
      <c r="BD192" s="229">
        <v>-0.55859999999999999</v>
      </c>
      <c r="BE192" s="228">
        <v>1</v>
      </c>
      <c r="BF192" s="228">
        <v>1</v>
      </c>
      <c r="BG192" s="228">
        <v>0</v>
      </c>
      <c r="BH192" s="229">
        <v>0.23530000000000001</v>
      </c>
      <c r="BI192" s="228">
        <v>648</v>
      </c>
      <c r="BJ192" s="228">
        <v>586</v>
      </c>
      <c r="BK192" s="228">
        <v>61</v>
      </c>
      <c r="BL192" s="229">
        <v>0.1048</v>
      </c>
      <c r="BM192" s="228">
        <v>298</v>
      </c>
      <c r="BN192" s="228">
        <v>437</v>
      </c>
      <c r="BO192" s="228">
        <v>-139</v>
      </c>
      <c r="BP192" s="229">
        <v>-0.31819999999999998</v>
      </c>
      <c r="BQ192" s="230">
        <v>1098</v>
      </c>
      <c r="BR192" s="230">
        <v>1262</v>
      </c>
      <c r="BS192" s="228">
        <v>-164</v>
      </c>
      <c r="BT192" s="229">
        <v>-0.13020000000000001</v>
      </c>
      <c r="BU192" s="230">
        <v>1901982</v>
      </c>
      <c r="BV192" s="230">
        <v>2368074</v>
      </c>
      <c r="BW192" s="230">
        <v>-466092</v>
      </c>
      <c r="BX192" s="229">
        <v>-0.1968</v>
      </c>
      <c r="BY192" s="230">
        <v>2181</v>
      </c>
      <c r="BZ192" s="230">
        <v>2185</v>
      </c>
      <c r="CA192" s="228">
        <v>-4</v>
      </c>
      <c r="CB192" s="229">
        <v>-1.8E-3</v>
      </c>
      <c r="CC192" s="230">
        <v>2118</v>
      </c>
      <c r="CD192" s="230">
        <v>2122</v>
      </c>
      <c r="CE192" s="228">
        <v>-4</v>
      </c>
      <c r="CF192" s="229">
        <v>-2E-3</v>
      </c>
      <c r="CG192" s="228">
        <v>62</v>
      </c>
      <c r="CH192" s="228">
        <v>62</v>
      </c>
      <c r="CI192" s="228">
        <v>0</v>
      </c>
      <c r="CJ192" s="229">
        <v>0</v>
      </c>
      <c r="CK192" s="228">
        <v>1</v>
      </c>
      <c r="CL192" s="228">
        <v>1</v>
      </c>
      <c r="CM192" s="228">
        <v>0</v>
      </c>
      <c r="CN192" s="229">
        <v>0.72729999999999995</v>
      </c>
      <c r="CO192" s="228">
        <v>802</v>
      </c>
      <c r="CP192" s="228">
        <v>754</v>
      </c>
      <c r="CQ192" s="228">
        <v>48</v>
      </c>
      <c r="CR192" s="229">
        <v>6.3399999999999998E-2</v>
      </c>
      <c r="CS192" s="228">
        <v>796</v>
      </c>
      <c r="CT192" s="228">
        <v>790</v>
      </c>
      <c r="CU192" s="228">
        <v>6</v>
      </c>
      <c r="CV192" s="229">
        <v>7.4000000000000003E-3</v>
      </c>
      <c r="CW192" s="230">
        <v>3778</v>
      </c>
      <c r="CX192" s="230">
        <v>3729</v>
      </c>
      <c r="CY192" s="228">
        <v>50</v>
      </c>
      <c r="CZ192" s="229">
        <v>1.3299999999999999E-2</v>
      </c>
      <c r="DA192" s="228">
        <v>17.989999999999998</v>
      </c>
      <c r="DB192" s="228">
        <v>18.760000000000002</v>
      </c>
      <c r="DC192" s="228">
        <v>-0.77</v>
      </c>
      <c r="DD192" s="228">
        <v>-0.77</v>
      </c>
      <c r="DE192" s="228">
        <v>30.92</v>
      </c>
      <c r="DF192" s="228">
        <v>30.98</v>
      </c>
      <c r="DG192" s="228">
        <v>-12.93</v>
      </c>
      <c r="DH192" s="228">
        <v>-0.06</v>
      </c>
      <c r="DI192" s="228">
        <v>17.93</v>
      </c>
      <c r="DJ192" s="228">
        <v>18.760000000000002</v>
      </c>
      <c r="DK192" s="228">
        <v>-0.83</v>
      </c>
      <c r="DL192" s="228">
        <v>-0.83</v>
      </c>
      <c r="DM192" s="228">
        <v>18.11</v>
      </c>
      <c r="DN192" s="228">
        <v>18.760000000000002</v>
      </c>
      <c r="DO192" s="228">
        <v>-0.65</v>
      </c>
      <c r="DP192" s="228">
        <v>-0.65</v>
      </c>
      <c r="DQ192" s="228">
        <v>0.99</v>
      </c>
      <c r="DR192" s="228">
        <v>1.05</v>
      </c>
      <c r="DS192" s="228">
        <v>-0.06</v>
      </c>
      <c r="DT192" s="229">
        <v>-5.7099999999999998E-2</v>
      </c>
      <c r="DU192" s="228">
        <v>400</v>
      </c>
      <c r="DV192" s="228">
        <v>380</v>
      </c>
      <c r="DW192" s="228">
        <v>0.46</v>
      </c>
      <c r="DX192" s="228">
        <v>0.75</v>
      </c>
      <c r="DY192" s="228">
        <v>-0.28999999999999998</v>
      </c>
      <c r="DZ192" s="229">
        <v>-0.38669999999999999</v>
      </c>
      <c r="EA192" s="229">
        <v>2.9100000000000001E-2</v>
      </c>
      <c r="EB192" s="230">
        <v>1639950</v>
      </c>
      <c r="EC192" s="229">
        <v>6.0000000000000001E-3</v>
      </c>
      <c r="ED192" s="229">
        <v>2.9100000000000001E-2</v>
      </c>
      <c r="EE192" s="228">
        <v>2.23</v>
      </c>
      <c r="EF192" s="229">
        <v>5.7999999999999996E-3</v>
      </c>
      <c r="EG192" s="230">
        <v>877198</v>
      </c>
      <c r="EH192" s="230">
        <v>1275646</v>
      </c>
      <c r="EI192" s="229">
        <v>-0.31230000000000002</v>
      </c>
      <c r="EJ192" s="229">
        <v>0.4612</v>
      </c>
      <c r="EK192" s="228">
        <v>669.86</v>
      </c>
      <c r="EL192" s="228">
        <v>293.99</v>
      </c>
      <c r="EM192" s="228">
        <v>151.58000000000001</v>
      </c>
      <c r="EN192" s="228">
        <v>169.51</v>
      </c>
      <c r="EO192" s="231">
        <v>1115.43</v>
      </c>
      <c r="EP192" s="231">
        <v>1269.8499999999999</v>
      </c>
      <c r="EQ192" s="228">
        <v>-154.41999999999999</v>
      </c>
      <c r="ER192" s="229">
        <v>-0.1216</v>
      </c>
      <c r="ES192" s="228">
        <v>822.9</v>
      </c>
      <c r="ET192" s="228">
        <v>808.99</v>
      </c>
      <c r="EU192" s="231">
        <v>2181.41</v>
      </c>
      <c r="EV192" s="231">
        <v>202215001</v>
      </c>
      <c r="EW192" s="231">
        <v>3813.31</v>
      </c>
      <c r="EX192" s="231">
        <v>3746.37</v>
      </c>
      <c r="EY192" s="228">
        <v>66.94</v>
      </c>
      <c r="EZ192" s="229">
        <v>1.7899999999999999E-2</v>
      </c>
      <c r="FA192" s="229">
        <v>0.48609999999999998</v>
      </c>
      <c r="FB192" s="227" t="s">
        <v>556</v>
      </c>
      <c r="FC192">
        <f t="shared" si="3"/>
        <v>0</v>
      </c>
    </row>
    <row r="193" spans="1:159" ht="17.25" thickBot="1" x14ac:dyDescent="0.3">
      <c r="A193" s="226">
        <v>46023</v>
      </c>
      <c r="B193" s="227" t="s">
        <v>227</v>
      </c>
      <c r="C193" s="227" t="s">
        <v>294</v>
      </c>
      <c r="D193" s="228">
        <v>5500</v>
      </c>
      <c r="E193" s="228">
        <v>26</v>
      </c>
      <c r="F193" s="228">
        <v>182.67</v>
      </c>
      <c r="G193" s="228">
        <v>181.06</v>
      </c>
      <c r="H193" s="228">
        <v>1.61</v>
      </c>
      <c r="I193" s="229">
        <v>8.8999999999999999E-3</v>
      </c>
      <c r="J193" s="228">
        <v>181.89</v>
      </c>
      <c r="K193" s="228">
        <v>180.08</v>
      </c>
      <c r="L193" s="228">
        <v>1.81</v>
      </c>
      <c r="M193" s="229">
        <v>1.01E-2</v>
      </c>
      <c r="N193" s="228">
        <v>182.67</v>
      </c>
      <c r="O193" s="228">
        <v>181.06</v>
      </c>
      <c r="P193" s="228">
        <v>1.61</v>
      </c>
      <c r="Q193" s="229">
        <v>8.8999999999999999E-3</v>
      </c>
      <c r="R193" s="228">
        <v>183.68</v>
      </c>
      <c r="S193" s="228">
        <v>182.13</v>
      </c>
      <c r="T193" s="228">
        <v>1.55</v>
      </c>
      <c r="U193" s="229">
        <v>8.5000000000000006E-3</v>
      </c>
      <c r="V193" s="228">
        <v>184.87</v>
      </c>
      <c r="W193" s="228">
        <v>183.32</v>
      </c>
      <c r="X193" s="228">
        <v>1.55</v>
      </c>
      <c r="Y193" s="229">
        <v>8.5000000000000006E-3</v>
      </c>
      <c r="Z193" s="228">
        <v>0.78</v>
      </c>
      <c r="AA193" s="228">
        <v>0.98</v>
      </c>
      <c r="AB193" s="228">
        <v>-0.2</v>
      </c>
      <c r="AC193" s="229">
        <v>4.3E-3</v>
      </c>
      <c r="AD193" s="228">
        <v>0.78</v>
      </c>
      <c r="AE193" s="228">
        <v>0.98</v>
      </c>
      <c r="AF193" s="228">
        <v>-0.2</v>
      </c>
      <c r="AG193" s="229">
        <v>4.3E-3</v>
      </c>
      <c r="AH193" s="228">
        <v>1.79</v>
      </c>
      <c r="AI193" s="228">
        <v>2.0499999999999998</v>
      </c>
      <c r="AJ193" s="228">
        <v>-0.26</v>
      </c>
      <c r="AK193" s="229">
        <v>9.7999999999999997E-3</v>
      </c>
      <c r="AL193" s="228">
        <v>2.98</v>
      </c>
      <c r="AM193" s="228">
        <v>3.24</v>
      </c>
      <c r="AN193" s="228">
        <v>-0.26</v>
      </c>
      <c r="AO193" s="229">
        <v>1.6400000000000001E-2</v>
      </c>
      <c r="AP193" s="228">
        <v>182.06</v>
      </c>
      <c r="AQ193" s="228">
        <v>183.14</v>
      </c>
      <c r="AR193" s="228">
        <v>0</v>
      </c>
      <c r="AS193" s="228">
        <v>559</v>
      </c>
      <c r="AT193" s="230">
        <v>1463</v>
      </c>
      <c r="AU193" s="228">
        <v>-903</v>
      </c>
      <c r="AV193" s="229">
        <v>-0.61760000000000004</v>
      </c>
      <c r="AW193" s="228">
        <v>518</v>
      </c>
      <c r="AX193" s="230">
        <v>1366</v>
      </c>
      <c r="AY193" s="228">
        <v>-847</v>
      </c>
      <c r="AZ193" s="229">
        <v>-0.62060000000000004</v>
      </c>
      <c r="BA193" s="228">
        <v>34</v>
      </c>
      <c r="BB193" s="228">
        <v>87</v>
      </c>
      <c r="BC193" s="228">
        <v>-53</v>
      </c>
      <c r="BD193" s="229">
        <v>-0.61009999999999998</v>
      </c>
      <c r="BE193" s="228">
        <v>7</v>
      </c>
      <c r="BF193" s="228">
        <v>10</v>
      </c>
      <c r="BG193" s="228">
        <v>-3</v>
      </c>
      <c r="BH193" s="229">
        <v>-0.26529999999999998</v>
      </c>
      <c r="BI193" s="230">
        <v>2217</v>
      </c>
      <c r="BJ193" s="230">
        <v>6059</v>
      </c>
      <c r="BK193" s="230">
        <v>-3842</v>
      </c>
      <c r="BL193" s="229">
        <v>-0.6341</v>
      </c>
      <c r="BM193" s="230">
        <v>1093</v>
      </c>
      <c r="BN193" s="230">
        <v>2988</v>
      </c>
      <c r="BO193" s="230">
        <v>-1895</v>
      </c>
      <c r="BP193" s="229">
        <v>-0.6341</v>
      </c>
      <c r="BQ193" s="230">
        <v>3869</v>
      </c>
      <c r="BR193" s="230">
        <v>10509</v>
      </c>
      <c r="BS193" s="230">
        <v>-6640</v>
      </c>
      <c r="BT193" s="229">
        <v>-0.63180000000000003</v>
      </c>
      <c r="BU193" s="230">
        <v>22678118</v>
      </c>
      <c r="BV193" s="230">
        <v>53484592</v>
      </c>
      <c r="BW193" s="230">
        <v>-30806474</v>
      </c>
      <c r="BX193" s="229">
        <v>-0.57599999999999996</v>
      </c>
      <c r="BY193" s="230">
        <v>4661</v>
      </c>
      <c r="BZ193" s="230">
        <v>4692</v>
      </c>
      <c r="CA193" s="228">
        <v>-32</v>
      </c>
      <c r="CB193" s="229">
        <v>-6.7000000000000002E-3</v>
      </c>
      <c r="CC193" s="230">
        <v>4546</v>
      </c>
      <c r="CD193" s="230">
        <v>4584</v>
      </c>
      <c r="CE193" s="228">
        <v>-39</v>
      </c>
      <c r="CF193" s="229">
        <v>-8.5000000000000006E-3</v>
      </c>
      <c r="CG193" s="228">
        <v>107</v>
      </c>
      <c r="CH193" s="228">
        <v>103</v>
      </c>
      <c r="CI193" s="228">
        <v>4</v>
      </c>
      <c r="CJ193" s="229">
        <v>4.1099999999999998E-2</v>
      </c>
      <c r="CK193" s="228">
        <v>8</v>
      </c>
      <c r="CL193" s="228">
        <v>5</v>
      </c>
      <c r="CM193" s="228">
        <v>3</v>
      </c>
      <c r="CN193" s="229">
        <v>0.54720000000000002</v>
      </c>
      <c r="CO193" s="230">
        <v>1949</v>
      </c>
      <c r="CP193" s="230">
        <v>1904</v>
      </c>
      <c r="CQ193" s="228">
        <v>45</v>
      </c>
      <c r="CR193" s="229">
        <v>2.3800000000000002E-2</v>
      </c>
      <c r="CS193" s="230">
        <v>1427</v>
      </c>
      <c r="CT193" s="230">
        <v>1339</v>
      </c>
      <c r="CU193" s="228">
        <v>87</v>
      </c>
      <c r="CV193" s="229">
        <v>6.5299999999999997E-2</v>
      </c>
      <c r="CW193" s="230">
        <v>8037</v>
      </c>
      <c r="CX193" s="230">
        <v>7936</v>
      </c>
      <c r="CY193" s="228">
        <v>101</v>
      </c>
      <c r="CZ193" s="229">
        <v>1.2699999999999999E-2</v>
      </c>
      <c r="DA193" s="228">
        <v>22.99</v>
      </c>
      <c r="DB193" s="228">
        <v>24.2</v>
      </c>
      <c r="DC193" s="228">
        <v>-1.21</v>
      </c>
      <c r="DD193" s="228">
        <v>-1.21</v>
      </c>
      <c r="DE193" s="228">
        <v>32.51</v>
      </c>
      <c r="DF193" s="228">
        <v>32.57</v>
      </c>
      <c r="DG193" s="228">
        <v>-9.52</v>
      </c>
      <c r="DH193" s="228">
        <v>-0.06</v>
      </c>
      <c r="DI193" s="228">
        <v>22.77</v>
      </c>
      <c r="DJ193" s="228">
        <v>24.11</v>
      </c>
      <c r="DK193" s="228">
        <v>-1.34</v>
      </c>
      <c r="DL193" s="228">
        <v>-1.34</v>
      </c>
      <c r="DM193" s="228">
        <v>23.42</v>
      </c>
      <c r="DN193" s="228">
        <v>24.39</v>
      </c>
      <c r="DO193" s="228">
        <v>-0.97</v>
      </c>
      <c r="DP193" s="228">
        <v>-0.97</v>
      </c>
      <c r="DQ193" s="228">
        <v>0.73</v>
      </c>
      <c r="DR193" s="228">
        <v>0.7</v>
      </c>
      <c r="DS193" s="228">
        <v>0.03</v>
      </c>
      <c r="DT193" s="229">
        <v>4.2900000000000001E-2</v>
      </c>
      <c r="DU193" s="228">
        <v>200</v>
      </c>
      <c r="DV193" s="228">
        <v>170</v>
      </c>
      <c r="DW193" s="228">
        <v>0.49</v>
      </c>
      <c r="DX193" s="228">
        <v>0.49</v>
      </c>
      <c r="DY193" s="228">
        <v>0</v>
      </c>
      <c r="DZ193" s="229">
        <v>0</v>
      </c>
      <c r="EA193" s="229">
        <v>2.47E-2</v>
      </c>
      <c r="EB193" s="230">
        <v>5918000</v>
      </c>
      <c r="EC193" s="229">
        <v>5.4999999999999997E-3</v>
      </c>
      <c r="ED193" s="229">
        <v>2.47E-2</v>
      </c>
      <c r="EE193" s="228">
        <v>1.08</v>
      </c>
      <c r="EF193" s="229">
        <v>5.8999999999999999E-3</v>
      </c>
      <c r="EG193" s="230">
        <v>9441217</v>
      </c>
      <c r="EH193" s="230">
        <v>23467359</v>
      </c>
      <c r="EI193" s="229">
        <v>-0.59770000000000001</v>
      </c>
      <c r="EJ193" s="229">
        <v>0.4163</v>
      </c>
      <c r="EK193" s="231">
        <v>2325.1</v>
      </c>
      <c r="EL193" s="231">
        <v>1060.81</v>
      </c>
      <c r="EM193" s="228">
        <v>557.73</v>
      </c>
      <c r="EN193" s="228">
        <v>235.69</v>
      </c>
      <c r="EO193" s="231">
        <v>3943.64</v>
      </c>
      <c r="EP193" s="231">
        <v>10630.57</v>
      </c>
      <c r="EQ193" s="231">
        <v>-6686.93</v>
      </c>
      <c r="ER193" s="229">
        <v>-0.629</v>
      </c>
      <c r="ES193" s="231">
        <v>1987.58</v>
      </c>
      <c r="ET193" s="231">
        <v>1341.99</v>
      </c>
      <c r="EU193" s="231">
        <v>4661.53</v>
      </c>
      <c r="EV193" s="231">
        <v>872935214</v>
      </c>
      <c r="EW193" s="231">
        <v>7991.09</v>
      </c>
      <c r="EX193" s="231">
        <v>7841.35</v>
      </c>
      <c r="EY193" s="228">
        <v>149.74</v>
      </c>
      <c r="EZ193" s="229">
        <v>1.9099999999999999E-2</v>
      </c>
      <c r="FA193" s="229">
        <v>0.504</v>
      </c>
      <c r="FB193" s="227" t="s">
        <v>556</v>
      </c>
      <c r="FC193">
        <f t="shared" si="3"/>
        <v>0</v>
      </c>
    </row>
    <row r="194" spans="1:159" ht="17.25" thickBot="1" x14ac:dyDescent="0.3">
      <c r="A194" s="226">
        <v>46023</v>
      </c>
      <c r="B194" s="227" t="s">
        <v>221</v>
      </c>
      <c r="C194" s="227" t="s">
        <v>663</v>
      </c>
      <c r="D194" s="228">
        <v>800</v>
      </c>
      <c r="E194" s="228">
        <v>26</v>
      </c>
      <c r="F194" s="228">
        <v>647.54999999999995</v>
      </c>
      <c r="G194" s="228">
        <v>646.79999999999995</v>
      </c>
      <c r="H194" s="228">
        <v>0.75</v>
      </c>
      <c r="I194" s="229">
        <v>1.1999999999999999E-3</v>
      </c>
      <c r="J194" s="228">
        <v>644.25</v>
      </c>
      <c r="K194" s="228">
        <v>643</v>
      </c>
      <c r="L194" s="228">
        <v>1.25</v>
      </c>
      <c r="M194" s="229">
        <v>1.9E-3</v>
      </c>
      <c r="N194" s="228">
        <v>647.54999999999995</v>
      </c>
      <c r="O194" s="228">
        <v>646.79999999999995</v>
      </c>
      <c r="P194" s="228">
        <v>0.75</v>
      </c>
      <c r="Q194" s="229">
        <v>1.1999999999999999E-3</v>
      </c>
      <c r="R194" s="228">
        <v>650.04999999999995</v>
      </c>
      <c r="S194" s="228">
        <v>649.85</v>
      </c>
      <c r="T194" s="228">
        <v>0.2</v>
      </c>
      <c r="U194" s="229">
        <v>2.9999999999999997E-4</v>
      </c>
      <c r="V194" s="228">
        <v>649.5</v>
      </c>
      <c r="W194" s="228">
        <v>649.65</v>
      </c>
      <c r="X194" s="228">
        <v>-0.15</v>
      </c>
      <c r="Y194" s="229">
        <v>-2.0000000000000001E-4</v>
      </c>
      <c r="Z194" s="228">
        <v>3.3</v>
      </c>
      <c r="AA194" s="228">
        <v>3.8</v>
      </c>
      <c r="AB194" s="228">
        <v>-0.5</v>
      </c>
      <c r="AC194" s="229">
        <v>5.1000000000000004E-3</v>
      </c>
      <c r="AD194" s="228">
        <v>3.3</v>
      </c>
      <c r="AE194" s="228">
        <v>3.8</v>
      </c>
      <c r="AF194" s="228">
        <v>-0.5</v>
      </c>
      <c r="AG194" s="229">
        <v>5.1000000000000004E-3</v>
      </c>
      <c r="AH194" s="228">
        <v>5.8</v>
      </c>
      <c r="AI194" s="228">
        <v>6.85</v>
      </c>
      <c r="AJ194" s="228">
        <v>-1.05</v>
      </c>
      <c r="AK194" s="229">
        <v>8.9999999999999993E-3</v>
      </c>
      <c r="AL194" s="228">
        <v>5.25</v>
      </c>
      <c r="AM194" s="228">
        <v>6.65</v>
      </c>
      <c r="AN194" s="228">
        <v>-1.4</v>
      </c>
      <c r="AO194" s="229">
        <v>8.0999999999999996E-3</v>
      </c>
      <c r="AP194" s="228">
        <v>645.54</v>
      </c>
      <c r="AQ194" s="228">
        <v>648.44000000000005</v>
      </c>
      <c r="AR194" s="228">
        <v>0</v>
      </c>
      <c r="AS194" s="228">
        <v>72</v>
      </c>
      <c r="AT194" s="228">
        <v>82</v>
      </c>
      <c r="AU194" s="228">
        <v>-11</v>
      </c>
      <c r="AV194" s="229">
        <v>-0.12909999999999999</v>
      </c>
      <c r="AW194" s="228">
        <v>63</v>
      </c>
      <c r="AX194" s="228">
        <v>74</v>
      </c>
      <c r="AY194" s="228">
        <v>-10</v>
      </c>
      <c r="AZ194" s="229">
        <v>-0.1386</v>
      </c>
      <c r="BA194" s="228">
        <v>8</v>
      </c>
      <c r="BB194" s="228">
        <v>8</v>
      </c>
      <c r="BC194" s="228">
        <v>-1</v>
      </c>
      <c r="BD194" s="229">
        <v>-6.7900000000000002E-2</v>
      </c>
      <c r="BE194" s="228">
        <v>0</v>
      </c>
      <c r="BF194" s="228">
        <v>0</v>
      </c>
      <c r="BG194" s="228">
        <v>0</v>
      </c>
      <c r="BH194" s="229">
        <v>0.6</v>
      </c>
      <c r="BI194" s="228">
        <v>87</v>
      </c>
      <c r="BJ194" s="228">
        <v>139</v>
      </c>
      <c r="BK194" s="228">
        <v>-51</v>
      </c>
      <c r="BL194" s="229">
        <v>-0.37019999999999997</v>
      </c>
      <c r="BM194" s="228">
        <v>29</v>
      </c>
      <c r="BN194" s="228">
        <v>68</v>
      </c>
      <c r="BO194" s="228">
        <v>-39</v>
      </c>
      <c r="BP194" s="229">
        <v>-0.57469999999999999</v>
      </c>
      <c r="BQ194" s="228">
        <v>188</v>
      </c>
      <c r="BR194" s="228">
        <v>289</v>
      </c>
      <c r="BS194" s="228">
        <v>-101</v>
      </c>
      <c r="BT194" s="229">
        <v>-0.34989999999999999</v>
      </c>
      <c r="BU194" s="230">
        <v>387547</v>
      </c>
      <c r="BV194" s="230">
        <v>441810</v>
      </c>
      <c r="BW194" s="230">
        <v>-54263</v>
      </c>
      <c r="BX194" s="229">
        <v>-0.12280000000000001</v>
      </c>
      <c r="BY194" s="228">
        <v>799</v>
      </c>
      <c r="BZ194" s="228">
        <v>784</v>
      </c>
      <c r="CA194" s="228">
        <v>15</v>
      </c>
      <c r="CB194" s="229">
        <v>1.8599999999999998E-2</v>
      </c>
      <c r="CC194" s="228">
        <v>738</v>
      </c>
      <c r="CD194" s="228">
        <v>726</v>
      </c>
      <c r="CE194" s="228">
        <v>12</v>
      </c>
      <c r="CF194" s="229">
        <v>1.66E-2</v>
      </c>
      <c r="CG194" s="228">
        <v>60</v>
      </c>
      <c r="CH194" s="228">
        <v>58</v>
      </c>
      <c r="CI194" s="228">
        <v>2</v>
      </c>
      <c r="CJ194" s="229">
        <v>3.7600000000000001E-2</v>
      </c>
      <c r="CK194" s="228">
        <v>1</v>
      </c>
      <c r="CL194" s="228">
        <v>0</v>
      </c>
      <c r="CM194" s="228">
        <v>0</v>
      </c>
      <c r="CN194" s="229">
        <v>2.6667000000000001</v>
      </c>
      <c r="CO194" s="228">
        <v>217</v>
      </c>
      <c r="CP194" s="228">
        <v>206</v>
      </c>
      <c r="CQ194" s="228">
        <v>11</v>
      </c>
      <c r="CR194" s="229">
        <v>5.2200000000000003E-2</v>
      </c>
      <c r="CS194" s="228">
        <v>180</v>
      </c>
      <c r="CT194" s="228">
        <v>175</v>
      </c>
      <c r="CU194" s="228">
        <v>5</v>
      </c>
      <c r="CV194" s="229">
        <v>2.75E-2</v>
      </c>
      <c r="CW194" s="230">
        <v>1196</v>
      </c>
      <c r="CX194" s="230">
        <v>1165</v>
      </c>
      <c r="CY194" s="228">
        <v>30</v>
      </c>
      <c r="CZ194" s="229">
        <v>2.5899999999999999E-2</v>
      </c>
      <c r="DA194" s="228">
        <v>22.05</v>
      </c>
      <c r="DB194" s="228">
        <v>22.16</v>
      </c>
      <c r="DC194" s="228">
        <v>-0.11</v>
      </c>
      <c r="DD194" s="228">
        <v>-0.11</v>
      </c>
      <c r="DE194" s="228">
        <v>29.68</v>
      </c>
      <c r="DF194" s="228">
        <v>29.76</v>
      </c>
      <c r="DG194" s="228">
        <v>-7.63</v>
      </c>
      <c r="DH194" s="228">
        <v>-0.08</v>
      </c>
      <c r="DI194" s="228">
        <v>22.12</v>
      </c>
      <c r="DJ194" s="228">
        <v>22.24</v>
      </c>
      <c r="DK194" s="228">
        <v>-0.12</v>
      </c>
      <c r="DL194" s="228">
        <v>-0.12</v>
      </c>
      <c r="DM194" s="228">
        <v>21.84</v>
      </c>
      <c r="DN194" s="228">
        <v>22</v>
      </c>
      <c r="DO194" s="228">
        <v>-0.16</v>
      </c>
      <c r="DP194" s="228">
        <v>-0.16</v>
      </c>
      <c r="DQ194" s="228">
        <v>0.83</v>
      </c>
      <c r="DR194" s="228">
        <v>0.85</v>
      </c>
      <c r="DS194" s="228">
        <v>-0.02</v>
      </c>
      <c r="DT194" s="229">
        <v>-2.35E-2</v>
      </c>
      <c r="DU194" s="228">
        <v>700</v>
      </c>
      <c r="DV194" s="228">
        <v>650</v>
      </c>
      <c r="DW194" s="228">
        <v>0.33</v>
      </c>
      <c r="DX194" s="228">
        <v>0.49</v>
      </c>
      <c r="DY194" s="228">
        <v>-0.16</v>
      </c>
      <c r="DZ194" s="229">
        <v>-0.32650000000000001</v>
      </c>
      <c r="EA194" s="229">
        <v>7.5999999999999998E-2</v>
      </c>
      <c r="EB194" s="230">
        <v>896800</v>
      </c>
      <c r="EC194" s="229">
        <v>3.8999999999999998E-3</v>
      </c>
      <c r="ED194" s="229">
        <v>7.5999999999999998E-2</v>
      </c>
      <c r="EE194" s="228">
        <v>2.9</v>
      </c>
      <c r="EF194" s="229">
        <v>4.4999999999999997E-3</v>
      </c>
      <c r="EG194" s="230">
        <v>150266</v>
      </c>
      <c r="EH194" s="230">
        <v>196193</v>
      </c>
      <c r="EI194" s="229">
        <v>-0.2341</v>
      </c>
      <c r="EJ194" s="229">
        <v>0.38769999999999999</v>
      </c>
      <c r="EK194" s="228">
        <v>91.34</v>
      </c>
      <c r="EL194" s="228">
        <v>28.59</v>
      </c>
      <c r="EM194" s="228">
        <v>71.459999999999994</v>
      </c>
      <c r="EN194" s="228">
        <v>79.56</v>
      </c>
      <c r="EO194" s="228">
        <v>191.39</v>
      </c>
      <c r="EP194" s="228">
        <v>294.45</v>
      </c>
      <c r="EQ194" s="228">
        <v>-103.06</v>
      </c>
      <c r="ER194" s="229">
        <v>-0.35</v>
      </c>
      <c r="ES194" s="228">
        <v>230.7</v>
      </c>
      <c r="ET194" s="228">
        <v>180.49</v>
      </c>
      <c r="EU194" s="228">
        <v>798.84</v>
      </c>
      <c r="EV194" s="231">
        <v>25116370</v>
      </c>
      <c r="EW194" s="231">
        <v>1210.03</v>
      </c>
      <c r="EX194" s="231">
        <v>1178.75</v>
      </c>
      <c r="EY194" s="228">
        <v>31.28</v>
      </c>
      <c r="EZ194" s="229">
        <v>2.6499999999999999E-2</v>
      </c>
      <c r="FA194" s="229">
        <v>0.73509999999999998</v>
      </c>
      <c r="FB194" s="227" t="s">
        <v>555</v>
      </c>
      <c r="FC194">
        <f t="shared" si="3"/>
        <v>0</v>
      </c>
    </row>
    <row r="195" spans="1:159" ht="17.25" thickBot="1" x14ac:dyDescent="0.3">
      <c r="A195" s="226">
        <v>46023</v>
      </c>
      <c r="B195" s="227" t="s">
        <v>221</v>
      </c>
      <c r="C195" s="227" t="s">
        <v>295</v>
      </c>
      <c r="D195" s="228">
        <v>175</v>
      </c>
      <c r="E195" s="228">
        <v>26</v>
      </c>
      <c r="F195" s="231">
        <v>3236.9</v>
      </c>
      <c r="G195" s="231">
        <v>3220.5</v>
      </c>
      <c r="H195" s="228">
        <v>16.399999999999999</v>
      </c>
      <c r="I195" s="229">
        <v>5.1000000000000004E-3</v>
      </c>
      <c r="J195" s="231">
        <v>3227.4</v>
      </c>
      <c r="K195" s="231">
        <v>3206.2</v>
      </c>
      <c r="L195" s="228">
        <v>21.2</v>
      </c>
      <c r="M195" s="229">
        <v>6.6E-3</v>
      </c>
      <c r="N195" s="231">
        <v>3236.9</v>
      </c>
      <c r="O195" s="231">
        <v>3220.5</v>
      </c>
      <c r="P195" s="228">
        <v>16.399999999999999</v>
      </c>
      <c r="Q195" s="229">
        <v>5.1000000000000004E-3</v>
      </c>
      <c r="R195" s="231">
        <v>3256.3</v>
      </c>
      <c r="S195" s="231">
        <v>3240</v>
      </c>
      <c r="T195" s="228">
        <v>16.3</v>
      </c>
      <c r="U195" s="229">
        <v>5.0000000000000001E-3</v>
      </c>
      <c r="V195" s="231">
        <v>3275.6</v>
      </c>
      <c r="W195" s="231">
        <v>3260.9</v>
      </c>
      <c r="X195" s="228">
        <v>14.7</v>
      </c>
      <c r="Y195" s="229">
        <v>4.4999999999999997E-3</v>
      </c>
      <c r="Z195" s="228">
        <v>9.5</v>
      </c>
      <c r="AA195" s="228">
        <v>14.3</v>
      </c>
      <c r="AB195" s="228">
        <v>-4.8</v>
      </c>
      <c r="AC195" s="229">
        <v>2.8999999999999998E-3</v>
      </c>
      <c r="AD195" s="228">
        <v>9.5</v>
      </c>
      <c r="AE195" s="228">
        <v>14.3</v>
      </c>
      <c r="AF195" s="228">
        <v>-4.8</v>
      </c>
      <c r="AG195" s="229">
        <v>2.8999999999999998E-3</v>
      </c>
      <c r="AH195" s="228">
        <v>28.9</v>
      </c>
      <c r="AI195" s="228">
        <v>33.799999999999997</v>
      </c>
      <c r="AJ195" s="228">
        <v>-4.9000000000000004</v>
      </c>
      <c r="AK195" s="229">
        <v>8.9999999999999993E-3</v>
      </c>
      <c r="AL195" s="228">
        <v>48.2</v>
      </c>
      <c r="AM195" s="228">
        <v>54.7</v>
      </c>
      <c r="AN195" s="228">
        <v>-6.5</v>
      </c>
      <c r="AO195" s="229">
        <v>1.49E-2</v>
      </c>
      <c r="AP195" s="231">
        <v>3230.1</v>
      </c>
      <c r="AQ195" s="231">
        <v>3250.49</v>
      </c>
      <c r="AR195" s="228">
        <v>0</v>
      </c>
      <c r="AS195" s="228">
        <v>486</v>
      </c>
      <c r="AT195" s="228">
        <v>834</v>
      </c>
      <c r="AU195" s="228">
        <v>-348</v>
      </c>
      <c r="AV195" s="229">
        <v>-0.41760000000000003</v>
      </c>
      <c r="AW195" s="228">
        <v>453</v>
      </c>
      <c r="AX195" s="228">
        <v>781</v>
      </c>
      <c r="AY195" s="228">
        <v>-328</v>
      </c>
      <c r="AZ195" s="229">
        <v>-0.41959999999999997</v>
      </c>
      <c r="BA195" s="228">
        <v>22</v>
      </c>
      <c r="BB195" s="228">
        <v>46</v>
      </c>
      <c r="BC195" s="228">
        <v>-24</v>
      </c>
      <c r="BD195" s="229">
        <v>-0.52239999999999998</v>
      </c>
      <c r="BE195" s="228">
        <v>11</v>
      </c>
      <c r="BF195" s="228">
        <v>8</v>
      </c>
      <c r="BG195" s="228">
        <v>3</v>
      </c>
      <c r="BH195" s="229">
        <v>0.37590000000000001</v>
      </c>
      <c r="BI195" s="230">
        <v>2410</v>
      </c>
      <c r="BJ195" s="230">
        <v>3468</v>
      </c>
      <c r="BK195" s="230">
        <v>-1058</v>
      </c>
      <c r="BL195" s="229">
        <v>-0.30499999999999999</v>
      </c>
      <c r="BM195" s="230">
        <v>1044</v>
      </c>
      <c r="BN195" s="230">
        <v>1924</v>
      </c>
      <c r="BO195" s="228">
        <v>-880</v>
      </c>
      <c r="BP195" s="229">
        <v>-0.45750000000000002</v>
      </c>
      <c r="BQ195" s="230">
        <v>3940</v>
      </c>
      <c r="BR195" s="230">
        <v>6226</v>
      </c>
      <c r="BS195" s="230">
        <v>-2286</v>
      </c>
      <c r="BT195" s="229">
        <v>-0.36720000000000003</v>
      </c>
      <c r="BU195" s="230">
        <v>1476307</v>
      </c>
      <c r="BV195" s="230">
        <v>3489361</v>
      </c>
      <c r="BW195" s="230">
        <v>-2013054</v>
      </c>
      <c r="BX195" s="229">
        <v>-0.57689999999999997</v>
      </c>
      <c r="BY195" s="230">
        <v>6587</v>
      </c>
      <c r="BZ195" s="230">
        <v>6503</v>
      </c>
      <c r="CA195" s="228">
        <v>84</v>
      </c>
      <c r="CB195" s="229">
        <v>1.29E-2</v>
      </c>
      <c r="CC195" s="230">
        <v>6403</v>
      </c>
      <c r="CD195" s="230">
        <v>6329</v>
      </c>
      <c r="CE195" s="228">
        <v>74</v>
      </c>
      <c r="CF195" s="229">
        <v>1.17E-2</v>
      </c>
      <c r="CG195" s="228">
        <v>173</v>
      </c>
      <c r="CH195" s="228">
        <v>168</v>
      </c>
      <c r="CI195" s="228">
        <v>4</v>
      </c>
      <c r="CJ195" s="229">
        <v>2.63E-2</v>
      </c>
      <c r="CK195" s="228">
        <v>11</v>
      </c>
      <c r="CL195" s="228">
        <v>6</v>
      </c>
      <c r="CM195" s="228">
        <v>5</v>
      </c>
      <c r="CN195" s="229">
        <v>0.89900000000000002</v>
      </c>
      <c r="CO195" s="230">
        <v>2750</v>
      </c>
      <c r="CP195" s="230">
        <v>2523</v>
      </c>
      <c r="CQ195" s="228">
        <v>226</v>
      </c>
      <c r="CR195" s="229">
        <v>8.9700000000000002E-2</v>
      </c>
      <c r="CS195" s="230">
        <v>1806</v>
      </c>
      <c r="CT195" s="230">
        <v>1713</v>
      </c>
      <c r="CU195" s="228">
        <v>93</v>
      </c>
      <c r="CV195" s="229">
        <v>5.4199999999999998E-2</v>
      </c>
      <c r="CW195" s="230">
        <v>11142</v>
      </c>
      <c r="CX195" s="230">
        <v>10739</v>
      </c>
      <c r="CY195" s="228">
        <v>403</v>
      </c>
      <c r="CZ195" s="229">
        <v>3.7499999999999999E-2</v>
      </c>
      <c r="DA195" s="228">
        <v>19.3</v>
      </c>
      <c r="DB195" s="228">
        <v>20.66</v>
      </c>
      <c r="DC195" s="228">
        <v>-1.36</v>
      </c>
      <c r="DD195" s="228">
        <v>-1.36</v>
      </c>
      <c r="DE195" s="228">
        <v>23.25</v>
      </c>
      <c r="DF195" s="228">
        <v>23.29</v>
      </c>
      <c r="DG195" s="228">
        <v>-3.95</v>
      </c>
      <c r="DH195" s="228">
        <v>-0.04</v>
      </c>
      <c r="DI195" s="228">
        <v>19.100000000000001</v>
      </c>
      <c r="DJ195" s="228">
        <v>20.59</v>
      </c>
      <c r="DK195" s="228">
        <v>-1.49</v>
      </c>
      <c r="DL195" s="228">
        <v>-1.49</v>
      </c>
      <c r="DM195" s="228">
        <v>19.79</v>
      </c>
      <c r="DN195" s="228">
        <v>20.78</v>
      </c>
      <c r="DO195" s="228">
        <v>-0.99</v>
      </c>
      <c r="DP195" s="228">
        <v>-0.99</v>
      </c>
      <c r="DQ195" s="228">
        <v>0.66</v>
      </c>
      <c r="DR195" s="228">
        <v>0.68</v>
      </c>
      <c r="DS195" s="228">
        <v>-0.02</v>
      </c>
      <c r="DT195" s="229">
        <v>-2.9399999999999999E-2</v>
      </c>
      <c r="DU195" s="231">
        <v>3300</v>
      </c>
      <c r="DV195" s="231">
        <v>3200</v>
      </c>
      <c r="DW195" s="228">
        <v>0.43</v>
      </c>
      <c r="DX195" s="228">
        <v>0.55000000000000004</v>
      </c>
      <c r="DY195" s="228">
        <v>-0.12</v>
      </c>
      <c r="DZ195" s="229">
        <v>-0.21820000000000001</v>
      </c>
      <c r="EA195" s="229">
        <v>2.7799999999999998E-2</v>
      </c>
      <c r="EB195" s="230">
        <v>536725</v>
      </c>
      <c r="EC195" s="229">
        <v>6.0000000000000001E-3</v>
      </c>
      <c r="ED195" s="229">
        <v>2.7799999999999998E-2</v>
      </c>
      <c r="EE195" s="228">
        <v>20.39</v>
      </c>
      <c r="EF195" s="229">
        <v>6.3E-3</v>
      </c>
      <c r="EG195" s="230">
        <v>548908</v>
      </c>
      <c r="EH195" s="230">
        <v>2506965</v>
      </c>
      <c r="EI195" s="229">
        <v>-0.78100000000000003</v>
      </c>
      <c r="EJ195" s="229">
        <v>0.37180000000000002</v>
      </c>
      <c r="EK195" s="231">
        <v>2504.31</v>
      </c>
      <c r="EL195" s="231">
        <v>1020.83</v>
      </c>
      <c r="EM195" s="228">
        <v>485.28</v>
      </c>
      <c r="EN195" s="228">
        <v>464.66</v>
      </c>
      <c r="EO195" s="231">
        <v>4010.42</v>
      </c>
      <c r="EP195" s="231">
        <v>6339.25</v>
      </c>
      <c r="EQ195" s="231">
        <v>-2328.83</v>
      </c>
      <c r="ER195" s="229">
        <v>-0.3674</v>
      </c>
      <c r="ES195" s="231">
        <v>2850.9</v>
      </c>
      <c r="ET195" s="231">
        <v>1779.76</v>
      </c>
      <c r="EU195" s="231">
        <v>6587.76</v>
      </c>
      <c r="EV195" s="231">
        <v>126444612</v>
      </c>
      <c r="EW195" s="231">
        <v>11218.42</v>
      </c>
      <c r="EX195" s="231">
        <v>10777.16</v>
      </c>
      <c r="EY195" s="228">
        <v>441.26</v>
      </c>
      <c r="EZ195" s="229">
        <v>4.0899999999999999E-2</v>
      </c>
      <c r="FA195" s="229">
        <v>0.2722</v>
      </c>
      <c r="FB195" s="227" t="s">
        <v>555</v>
      </c>
      <c r="FC195">
        <f t="shared" ref="FC195:FC258" si="4">BY261-CC261</f>
        <v>0</v>
      </c>
    </row>
    <row r="196" spans="1:159" ht="17.25" thickBot="1" x14ac:dyDescent="0.3">
      <c r="A196" s="226">
        <v>46023</v>
      </c>
      <c r="B196" s="227" t="s">
        <v>221</v>
      </c>
      <c r="C196" s="227" t="s">
        <v>296</v>
      </c>
      <c r="D196" s="228">
        <v>600</v>
      </c>
      <c r="E196" s="228">
        <v>26</v>
      </c>
      <c r="F196" s="231">
        <v>1617.7</v>
      </c>
      <c r="G196" s="231">
        <v>1599.9</v>
      </c>
      <c r="H196" s="228">
        <v>17.8</v>
      </c>
      <c r="I196" s="229">
        <v>1.11E-2</v>
      </c>
      <c r="J196" s="231">
        <v>1607.7</v>
      </c>
      <c r="K196" s="231">
        <v>1590.9</v>
      </c>
      <c r="L196" s="228">
        <v>16.8</v>
      </c>
      <c r="M196" s="229">
        <v>1.06E-2</v>
      </c>
      <c r="N196" s="231">
        <v>1617.7</v>
      </c>
      <c r="O196" s="231">
        <v>1599.9</v>
      </c>
      <c r="P196" s="228">
        <v>17.8</v>
      </c>
      <c r="Q196" s="229">
        <v>1.11E-2</v>
      </c>
      <c r="R196" s="231">
        <v>1626.6</v>
      </c>
      <c r="S196" s="231">
        <v>1609.5</v>
      </c>
      <c r="T196" s="228">
        <v>17.100000000000001</v>
      </c>
      <c r="U196" s="229">
        <v>1.06E-2</v>
      </c>
      <c r="V196" s="231">
        <v>1637.3</v>
      </c>
      <c r="W196" s="231">
        <v>1619.2</v>
      </c>
      <c r="X196" s="228">
        <v>18.100000000000001</v>
      </c>
      <c r="Y196" s="229">
        <v>1.12E-2</v>
      </c>
      <c r="Z196" s="228">
        <v>10</v>
      </c>
      <c r="AA196" s="228">
        <v>9</v>
      </c>
      <c r="AB196" s="228">
        <v>1</v>
      </c>
      <c r="AC196" s="229">
        <v>6.1999999999999998E-3</v>
      </c>
      <c r="AD196" s="228">
        <v>10</v>
      </c>
      <c r="AE196" s="228">
        <v>9</v>
      </c>
      <c r="AF196" s="228">
        <v>1</v>
      </c>
      <c r="AG196" s="229">
        <v>6.1999999999999998E-3</v>
      </c>
      <c r="AH196" s="228">
        <v>18.899999999999999</v>
      </c>
      <c r="AI196" s="228">
        <v>18.600000000000001</v>
      </c>
      <c r="AJ196" s="228">
        <v>0.3</v>
      </c>
      <c r="AK196" s="229">
        <v>1.18E-2</v>
      </c>
      <c r="AL196" s="228">
        <v>29.6</v>
      </c>
      <c r="AM196" s="228">
        <v>28.3</v>
      </c>
      <c r="AN196" s="228">
        <v>1.3</v>
      </c>
      <c r="AO196" s="229">
        <v>1.84E-2</v>
      </c>
      <c r="AP196" s="231">
        <v>1611.88</v>
      </c>
      <c r="AQ196" s="231">
        <v>1621.32</v>
      </c>
      <c r="AR196" s="228">
        <v>0</v>
      </c>
      <c r="AS196" s="228">
        <v>186</v>
      </c>
      <c r="AT196" s="228">
        <v>289</v>
      </c>
      <c r="AU196" s="228">
        <v>-104</v>
      </c>
      <c r="AV196" s="229">
        <v>-0.35859999999999997</v>
      </c>
      <c r="AW196" s="228">
        <v>176</v>
      </c>
      <c r="AX196" s="228">
        <v>283</v>
      </c>
      <c r="AY196" s="228">
        <v>-106</v>
      </c>
      <c r="AZ196" s="229">
        <v>-0.3765</v>
      </c>
      <c r="BA196" s="228">
        <v>7</v>
      </c>
      <c r="BB196" s="228">
        <v>7</v>
      </c>
      <c r="BC196" s="228">
        <v>1</v>
      </c>
      <c r="BD196" s="229">
        <v>0.1343</v>
      </c>
      <c r="BE196" s="228">
        <v>2</v>
      </c>
      <c r="BF196" s="228">
        <v>0</v>
      </c>
      <c r="BG196" s="228">
        <v>2</v>
      </c>
      <c r="BH196" s="229">
        <v>6</v>
      </c>
      <c r="BI196" s="228">
        <v>705</v>
      </c>
      <c r="BJ196" s="228">
        <v>700</v>
      </c>
      <c r="BK196" s="228">
        <v>4</v>
      </c>
      <c r="BL196" s="229">
        <v>6.0000000000000001E-3</v>
      </c>
      <c r="BM196" s="228">
        <v>234</v>
      </c>
      <c r="BN196" s="228">
        <v>428</v>
      </c>
      <c r="BO196" s="228">
        <v>-194</v>
      </c>
      <c r="BP196" s="229">
        <v>-0.45319999999999999</v>
      </c>
      <c r="BQ196" s="230">
        <v>1124</v>
      </c>
      <c r="BR196" s="230">
        <v>1418</v>
      </c>
      <c r="BS196" s="228">
        <v>-294</v>
      </c>
      <c r="BT196" s="229">
        <v>-0.20699999999999999</v>
      </c>
      <c r="BU196" s="230">
        <v>589672</v>
      </c>
      <c r="BV196" s="230">
        <v>748457</v>
      </c>
      <c r="BW196" s="230">
        <v>-158785</v>
      </c>
      <c r="BX196" s="229">
        <v>-0.21210000000000001</v>
      </c>
      <c r="BY196" s="230">
        <v>3091</v>
      </c>
      <c r="BZ196" s="230">
        <v>3087</v>
      </c>
      <c r="CA196" s="228">
        <v>4</v>
      </c>
      <c r="CB196" s="229">
        <v>1.2999999999999999E-3</v>
      </c>
      <c r="CC196" s="230">
        <v>3069</v>
      </c>
      <c r="CD196" s="230">
        <v>3066</v>
      </c>
      <c r="CE196" s="228">
        <v>2</v>
      </c>
      <c r="CF196" s="229">
        <v>8.0000000000000004E-4</v>
      </c>
      <c r="CG196" s="228">
        <v>21</v>
      </c>
      <c r="CH196" s="228">
        <v>20</v>
      </c>
      <c r="CI196" s="228">
        <v>0</v>
      </c>
      <c r="CJ196" s="229">
        <v>2.3699999999999999E-2</v>
      </c>
      <c r="CK196" s="228">
        <v>2</v>
      </c>
      <c r="CL196" s="228">
        <v>0</v>
      </c>
      <c r="CM196" s="228">
        <v>1</v>
      </c>
      <c r="CN196" s="229">
        <v>4.3333000000000004</v>
      </c>
      <c r="CO196" s="228">
        <v>545</v>
      </c>
      <c r="CP196" s="228">
        <v>467</v>
      </c>
      <c r="CQ196" s="228">
        <v>78</v>
      </c>
      <c r="CR196" s="229">
        <v>0.1678</v>
      </c>
      <c r="CS196" s="228">
        <v>366</v>
      </c>
      <c r="CT196" s="228">
        <v>329</v>
      </c>
      <c r="CU196" s="228">
        <v>37</v>
      </c>
      <c r="CV196" s="229">
        <v>0.1139</v>
      </c>
      <c r="CW196" s="230">
        <v>4003</v>
      </c>
      <c r="CX196" s="230">
        <v>3883</v>
      </c>
      <c r="CY196" s="228">
        <v>120</v>
      </c>
      <c r="CZ196" s="229">
        <v>3.09E-2</v>
      </c>
      <c r="DA196" s="228">
        <v>22.82</v>
      </c>
      <c r="DB196" s="228">
        <v>22.98</v>
      </c>
      <c r="DC196" s="228">
        <v>-0.16</v>
      </c>
      <c r="DD196" s="228">
        <v>-0.16</v>
      </c>
      <c r="DE196" s="228">
        <v>28.19</v>
      </c>
      <c r="DF196" s="228">
        <v>28.23</v>
      </c>
      <c r="DG196" s="228">
        <v>-5.37</v>
      </c>
      <c r="DH196" s="228">
        <v>-0.04</v>
      </c>
      <c r="DI196" s="228">
        <v>22.58</v>
      </c>
      <c r="DJ196" s="228">
        <v>22.84</v>
      </c>
      <c r="DK196" s="228">
        <v>-0.26</v>
      </c>
      <c r="DL196" s="228">
        <v>-0.26</v>
      </c>
      <c r="DM196" s="228">
        <v>23.56</v>
      </c>
      <c r="DN196" s="228">
        <v>23.21</v>
      </c>
      <c r="DO196" s="228">
        <v>0.35</v>
      </c>
      <c r="DP196" s="228">
        <v>0.35</v>
      </c>
      <c r="DQ196" s="228">
        <v>0.67</v>
      </c>
      <c r="DR196" s="228">
        <v>0.7</v>
      </c>
      <c r="DS196" s="228">
        <v>-0.03</v>
      </c>
      <c r="DT196" s="229">
        <v>-4.2900000000000001E-2</v>
      </c>
      <c r="DU196" s="231">
        <v>1800</v>
      </c>
      <c r="DV196" s="231">
        <v>1500</v>
      </c>
      <c r="DW196" s="228">
        <v>0.33</v>
      </c>
      <c r="DX196" s="228">
        <v>0.61</v>
      </c>
      <c r="DY196" s="228">
        <v>-0.28000000000000003</v>
      </c>
      <c r="DZ196" s="229">
        <v>-0.45900000000000002</v>
      </c>
      <c r="EA196" s="229">
        <v>7.3000000000000001E-3</v>
      </c>
      <c r="EB196" s="230">
        <v>128400</v>
      </c>
      <c r="EC196" s="229">
        <v>5.4999999999999997E-3</v>
      </c>
      <c r="ED196" s="229">
        <v>7.3000000000000001E-3</v>
      </c>
      <c r="EE196" s="228">
        <v>9.44</v>
      </c>
      <c r="EF196" s="229">
        <v>5.8999999999999999E-3</v>
      </c>
      <c r="EG196" s="230">
        <v>181736</v>
      </c>
      <c r="EH196" s="230">
        <v>386031</v>
      </c>
      <c r="EI196" s="229">
        <v>-0.5292</v>
      </c>
      <c r="EJ196" s="229">
        <v>0.30819999999999997</v>
      </c>
      <c r="EK196" s="228">
        <v>732.78</v>
      </c>
      <c r="EL196" s="228">
        <v>228.73</v>
      </c>
      <c r="EM196" s="228">
        <v>184.99</v>
      </c>
      <c r="EN196" s="228">
        <v>118.33</v>
      </c>
      <c r="EO196" s="231">
        <v>1146.5</v>
      </c>
      <c r="EP196" s="231">
        <v>1439.57</v>
      </c>
      <c r="EQ196" s="228">
        <v>-293.07</v>
      </c>
      <c r="ER196" s="229">
        <v>-0.2036</v>
      </c>
      <c r="ES196" s="228">
        <v>566.35</v>
      </c>
      <c r="ET196" s="228">
        <v>350.14</v>
      </c>
      <c r="EU196" s="231">
        <v>3091.36</v>
      </c>
      <c r="EV196" s="231">
        <v>80031540</v>
      </c>
      <c r="EW196" s="231">
        <v>4007.85</v>
      </c>
      <c r="EX196" s="231">
        <v>3851.1</v>
      </c>
      <c r="EY196" s="228">
        <v>156.75</v>
      </c>
      <c r="EZ196" s="229">
        <v>4.07E-2</v>
      </c>
      <c r="FA196" s="229">
        <v>0.30919999999999997</v>
      </c>
      <c r="FB196" s="227" t="s">
        <v>555</v>
      </c>
      <c r="FC196">
        <f t="shared" si="4"/>
        <v>0</v>
      </c>
    </row>
    <row r="197" spans="1:159" ht="17.25" thickBot="1" x14ac:dyDescent="0.3">
      <c r="A197" s="226">
        <v>46023</v>
      </c>
      <c r="B197" s="227" t="s">
        <v>184</v>
      </c>
      <c r="C197" s="227" t="s">
        <v>595</v>
      </c>
      <c r="D197" s="228">
        <v>200</v>
      </c>
      <c r="E197" s="228">
        <v>26</v>
      </c>
      <c r="F197" s="231">
        <v>2635.5</v>
      </c>
      <c r="G197" s="231">
        <v>2631.7</v>
      </c>
      <c r="H197" s="228">
        <v>3.8</v>
      </c>
      <c r="I197" s="229">
        <v>1.4E-3</v>
      </c>
      <c r="J197" s="231">
        <v>2622.9</v>
      </c>
      <c r="K197" s="231">
        <v>2614.1</v>
      </c>
      <c r="L197" s="228">
        <v>8.8000000000000007</v>
      </c>
      <c r="M197" s="229">
        <v>3.3999999999999998E-3</v>
      </c>
      <c r="N197" s="231">
        <v>2635.5</v>
      </c>
      <c r="O197" s="231">
        <v>2631.7</v>
      </c>
      <c r="P197" s="228">
        <v>3.8</v>
      </c>
      <c r="Q197" s="229">
        <v>1.4E-3</v>
      </c>
      <c r="R197" s="231">
        <v>2654.6</v>
      </c>
      <c r="S197" s="231">
        <v>2645.9</v>
      </c>
      <c r="T197" s="228">
        <v>8.6999999999999993</v>
      </c>
      <c r="U197" s="229">
        <v>3.3E-3</v>
      </c>
      <c r="V197" s="228">
        <v>0</v>
      </c>
      <c r="W197" s="228">
        <v>0</v>
      </c>
      <c r="X197" s="228">
        <v>0</v>
      </c>
      <c r="Y197" s="229">
        <v>0</v>
      </c>
      <c r="Z197" s="228">
        <v>12.6</v>
      </c>
      <c r="AA197" s="228">
        <v>17.600000000000001</v>
      </c>
      <c r="AB197" s="228">
        <v>-5</v>
      </c>
      <c r="AC197" s="229">
        <v>4.7999999999999996E-3</v>
      </c>
      <c r="AD197" s="228">
        <v>12.6</v>
      </c>
      <c r="AE197" s="228">
        <v>17.600000000000001</v>
      </c>
      <c r="AF197" s="228">
        <v>-5</v>
      </c>
      <c r="AG197" s="229">
        <v>4.7999999999999996E-3</v>
      </c>
      <c r="AH197" s="228">
        <v>31.7</v>
      </c>
      <c r="AI197" s="228">
        <v>31.8</v>
      </c>
      <c r="AJ197" s="228">
        <v>-0.1</v>
      </c>
      <c r="AK197" s="229">
        <v>1.21E-2</v>
      </c>
      <c r="AL197" s="228">
        <v>0</v>
      </c>
      <c r="AM197" s="228">
        <v>0</v>
      </c>
      <c r="AN197" s="228">
        <v>0</v>
      </c>
      <c r="AO197" s="229">
        <v>0</v>
      </c>
      <c r="AP197" s="231">
        <v>2637.07</v>
      </c>
      <c r="AQ197" s="231">
        <v>2656.45</v>
      </c>
      <c r="AR197" s="228">
        <v>0</v>
      </c>
      <c r="AS197" s="228">
        <v>70</v>
      </c>
      <c r="AT197" s="228">
        <v>91</v>
      </c>
      <c r="AU197" s="228">
        <v>-21</v>
      </c>
      <c r="AV197" s="229">
        <v>-0.22969999999999999</v>
      </c>
      <c r="AW197" s="228">
        <v>68</v>
      </c>
      <c r="AX197" s="228">
        <v>90</v>
      </c>
      <c r="AY197" s="228">
        <v>-21</v>
      </c>
      <c r="AZ197" s="229">
        <v>-0.23749999999999999</v>
      </c>
      <c r="BA197" s="228">
        <v>2</v>
      </c>
      <c r="BB197" s="228">
        <v>2</v>
      </c>
      <c r="BC197" s="228">
        <v>0</v>
      </c>
      <c r="BD197" s="229">
        <v>0.1875</v>
      </c>
      <c r="BE197" s="228">
        <v>0</v>
      </c>
      <c r="BF197" s="228">
        <v>0</v>
      </c>
      <c r="BG197" s="228">
        <v>0</v>
      </c>
      <c r="BH197" s="229">
        <v>0</v>
      </c>
      <c r="BI197" s="228">
        <v>132</v>
      </c>
      <c r="BJ197" s="228">
        <v>145</v>
      </c>
      <c r="BK197" s="228">
        <v>-14</v>
      </c>
      <c r="BL197" s="229">
        <v>-9.3200000000000005E-2</v>
      </c>
      <c r="BM197" s="228">
        <v>48</v>
      </c>
      <c r="BN197" s="228">
        <v>56</v>
      </c>
      <c r="BO197" s="228">
        <v>-8</v>
      </c>
      <c r="BP197" s="229">
        <v>-0.1464</v>
      </c>
      <c r="BQ197" s="228">
        <v>250</v>
      </c>
      <c r="BR197" s="228">
        <v>293</v>
      </c>
      <c r="BS197" s="228">
        <v>-43</v>
      </c>
      <c r="BT197" s="229">
        <v>-0.1459</v>
      </c>
      <c r="BU197" s="230">
        <v>158317</v>
      </c>
      <c r="BV197" s="230">
        <v>147560</v>
      </c>
      <c r="BW197" s="230">
        <v>10757</v>
      </c>
      <c r="BX197" s="229">
        <v>7.2900000000000006E-2</v>
      </c>
      <c r="BY197" s="228">
        <v>940</v>
      </c>
      <c r="BZ197" s="228">
        <v>930</v>
      </c>
      <c r="CA197" s="228">
        <v>10</v>
      </c>
      <c r="CB197" s="229">
        <v>1.0500000000000001E-2</v>
      </c>
      <c r="CC197" s="228">
        <v>931</v>
      </c>
      <c r="CD197" s="228">
        <v>921</v>
      </c>
      <c r="CE197" s="228">
        <v>9</v>
      </c>
      <c r="CF197" s="229">
        <v>1.03E-2</v>
      </c>
      <c r="CG197" s="228">
        <v>9</v>
      </c>
      <c r="CH197" s="228">
        <v>9</v>
      </c>
      <c r="CI197" s="228">
        <v>0</v>
      </c>
      <c r="CJ197" s="229">
        <v>2.9399999999999999E-2</v>
      </c>
      <c r="CK197" s="228">
        <v>0</v>
      </c>
      <c r="CL197" s="228">
        <v>0</v>
      </c>
      <c r="CM197" s="228">
        <v>0</v>
      </c>
      <c r="CN197" s="229">
        <v>0</v>
      </c>
      <c r="CO197" s="228">
        <v>124</v>
      </c>
      <c r="CP197" s="228">
        <v>91</v>
      </c>
      <c r="CQ197" s="228">
        <v>33</v>
      </c>
      <c r="CR197" s="229">
        <v>0.36659999999999998</v>
      </c>
      <c r="CS197" s="228">
        <v>95</v>
      </c>
      <c r="CT197" s="228">
        <v>85</v>
      </c>
      <c r="CU197" s="228">
        <v>11</v>
      </c>
      <c r="CV197" s="229">
        <v>0.127</v>
      </c>
      <c r="CW197" s="230">
        <v>1160</v>
      </c>
      <c r="CX197" s="230">
        <v>1106</v>
      </c>
      <c r="CY197" s="228">
        <v>54</v>
      </c>
      <c r="CZ197" s="229">
        <v>4.87E-2</v>
      </c>
      <c r="DA197" s="228">
        <v>25.55</v>
      </c>
      <c r="DB197" s="228">
        <v>25.31</v>
      </c>
      <c r="DC197" s="228">
        <v>0.24</v>
      </c>
      <c r="DD197" s="228">
        <v>0.24</v>
      </c>
      <c r="DE197" s="228">
        <v>40.04</v>
      </c>
      <c r="DF197" s="228">
        <v>40.14</v>
      </c>
      <c r="DG197" s="228">
        <v>-14.49</v>
      </c>
      <c r="DH197" s="228">
        <v>-0.1</v>
      </c>
      <c r="DI197" s="228">
        <v>25.8</v>
      </c>
      <c r="DJ197" s="228">
        <v>25.21</v>
      </c>
      <c r="DK197" s="228">
        <v>0.59</v>
      </c>
      <c r="DL197" s="228">
        <v>0.59</v>
      </c>
      <c r="DM197" s="228">
        <v>24.88</v>
      </c>
      <c r="DN197" s="228">
        <v>25.6</v>
      </c>
      <c r="DO197" s="228">
        <v>-0.72</v>
      </c>
      <c r="DP197" s="228">
        <v>-0.72</v>
      </c>
      <c r="DQ197" s="228">
        <v>0.77</v>
      </c>
      <c r="DR197" s="228">
        <v>0.93</v>
      </c>
      <c r="DS197" s="228">
        <v>-0.16</v>
      </c>
      <c r="DT197" s="229">
        <v>-0.17199999999999999</v>
      </c>
      <c r="DU197" s="231">
        <v>2600</v>
      </c>
      <c r="DV197" s="231">
        <v>2600</v>
      </c>
      <c r="DW197" s="228">
        <v>0.36</v>
      </c>
      <c r="DX197" s="228">
        <v>0.38</v>
      </c>
      <c r="DY197" s="228">
        <v>-0.02</v>
      </c>
      <c r="DZ197" s="229">
        <v>-5.2600000000000001E-2</v>
      </c>
      <c r="EA197" s="229">
        <v>9.7999999999999997E-3</v>
      </c>
      <c r="EB197" s="230">
        <v>34000</v>
      </c>
      <c r="EC197" s="229">
        <v>7.1999999999999998E-3</v>
      </c>
      <c r="ED197" s="229">
        <v>9.7999999999999997E-3</v>
      </c>
      <c r="EE197" s="228">
        <v>19.38</v>
      </c>
      <c r="EF197" s="229">
        <v>7.3000000000000001E-3</v>
      </c>
      <c r="EG197" s="230">
        <v>90104</v>
      </c>
      <c r="EH197" s="230">
        <v>69265</v>
      </c>
      <c r="EI197" s="229">
        <v>0.3009</v>
      </c>
      <c r="EJ197" s="229">
        <v>0.56910000000000005</v>
      </c>
      <c r="EK197" s="228">
        <v>138.6</v>
      </c>
      <c r="EL197" s="228">
        <v>47.17</v>
      </c>
      <c r="EM197" s="228">
        <v>70.42</v>
      </c>
      <c r="EN197" s="228">
        <v>73.349999999999994</v>
      </c>
      <c r="EO197" s="228">
        <v>256.2</v>
      </c>
      <c r="EP197" s="228">
        <v>296.25</v>
      </c>
      <c r="EQ197" s="228">
        <v>-40.06</v>
      </c>
      <c r="ER197" s="229">
        <v>-0.13519999999999999</v>
      </c>
      <c r="ES197" s="228">
        <v>128.69</v>
      </c>
      <c r="ET197" s="228">
        <v>94.92</v>
      </c>
      <c r="EU197" s="228">
        <v>940.1</v>
      </c>
      <c r="EV197" s="231">
        <v>15879795</v>
      </c>
      <c r="EW197" s="231">
        <v>1163.7</v>
      </c>
      <c r="EX197" s="231">
        <v>1107.04</v>
      </c>
      <c r="EY197" s="228">
        <v>56.66</v>
      </c>
      <c r="EZ197" s="229">
        <v>5.1200000000000002E-2</v>
      </c>
      <c r="FA197" s="229">
        <v>0.27710000000000001</v>
      </c>
      <c r="FB197" s="227" t="s">
        <v>555</v>
      </c>
      <c r="FC197">
        <f t="shared" si="4"/>
        <v>0</v>
      </c>
    </row>
    <row r="198" spans="1:159" ht="17.25" thickBot="1" x14ac:dyDescent="0.3">
      <c r="A198" s="226">
        <v>46023</v>
      </c>
      <c r="B198" s="227" t="s">
        <v>168</v>
      </c>
      <c r="C198" s="227" t="s">
        <v>297</v>
      </c>
      <c r="D198" s="228">
        <v>175</v>
      </c>
      <c r="E198" s="228">
        <v>26</v>
      </c>
      <c r="F198" s="231">
        <v>4072.5</v>
      </c>
      <c r="G198" s="231">
        <v>4065.2</v>
      </c>
      <c r="H198" s="228">
        <v>7.3</v>
      </c>
      <c r="I198" s="229">
        <v>1.8E-3</v>
      </c>
      <c r="J198" s="231">
        <v>4049.3</v>
      </c>
      <c r="K198" s="231">
        <v>4051.5</v>
      </c>
      <c r="L198" s="228">
        <v>-2.2000000000000002</v>
      </c>
      <c r="M198" s="229">
        <v>-5.0000000000000001E-4</v>
      </c>
      <c r="N198" s="231">
        <v>4072.5</v>
      </c>
      <c r="O198" s="231">
        <v>4065.2</v>
      </c>
      <c r="P198" s="228">
        <v>7.3</v>
      </c>
      <c r="Q198" s="229">
        <v>1.8E-3</v>
      </c>
      <c r="R198" s="231">
        <v>4094.6</v>
      </c>
      <c r="S198" s="231">
        <v>4089</v>
      </c>
      <c r="T198" s="228">
        <v>5.6</v>
      </c>
      <c r="U198" s="229">
        <v>1.4E-3</v>
      </c>
      <c r="V198" s="231">
        <v>4121.6000000000004</v>
      </c>
      <c r="W198" s="231">
        <v>4111.5</v>
      </c>
      <c r="X198" s="228">
        <v>10.1</v>
      </c>
      <c r="Y198" s="229">
        <v>2.5000000000000001E-3</v>
      </c>
      <c r="Z198" s="228">
        <v>23.2</v>
      </c>
      <c r="AA198" s="228">
        <v>13.7</v>
      </c>
      <c r="AB198" s="228">
        <v>9.5</v>
      </c>
      <c r="AC198" s="229">
        <v>5.7000000000000002E-3</v>
      </c>
      <c r="AD198" s="228">
        <v>23.2</v>
      </c>
      <c r="AE198" s="228">
        <v>13.7</v>
      </c>
      <c r="AF198" s="228">
        <v>9.5</v>
      </c>
      <c r="AG198" s="229">
        <v>5.7000000000000002E-3</v>
      </c>
      <c r="AH198" s="228">
        <v>45.3</v>
      </c>
      <c r="AI198" s="228">
        <v>37.5</v>
      </c>
      <c r="AJ198" s="228">
        <v>7.8</v>
      </c>
      <c r="AK198" s="229">
        <v>1.12E-2</v>
      </c>
      <c r="AL198" s="228">
        <v>72.3</v>
      </c>
      <c r="AM198" s="228">
        <v>60</v>
      </c>
      <c r="AN198" s="228">
        <v>12.3</v>
      </c>
      <c r="AO198" s="229">
        <v>1.7899999999999999E-2</v>
      </c>
      <c r="AP198" s="231">
        <v>4066.61</v>
      </c>
      <c r="AQ198" s="231">
        <v>4090.07</v>
      </c>
      <c r="AR198" s="228">
        <v>0</v>
      </c>
      <c r="AS198" s="228">
        <v>253</v>
      </c>
      <c r="AT198" s="228">
        <v>782</v>
      </c>
      <c r="AU198" s="228">
        <v>-529</v>
      </c>
      <c r="AV198" s="229">
        <v>-0.67700000000000005</v>
      </c>
      <c r="AW198" s="228">
        <v>242</v>
      </c>
      <c r="AX198" s="228">
        <v>751</v>
      </c>
      <c r="AY198" s="228">
        <v>-509</v>
      </c>
      <c r="AZ198" s="229">
        <v>-0.67810000000000004</v>
      </c>
      <c r="BA198" s="228">
        <v>8</v>
      </c>
      <c r="BB198" s="228">
        <v>23</v>
      </c>
      <c r="BC198" s="228">
        <v>-15</v>
      </c>
      <c r="BD198" s="229">
        <v>-0.66149999999999998</v>
      </c>
      <c r="BE198" s="228">
        <v>3</v>
      </c>
      <c r="BF198" s="228">
        <v>7</v>
      </c>
      <c r="BG198" s="228">
        <v>-5</v>
      </c>
      <c r="BH198" s="229">
        <v>-0.60950000000000004</v>
      </c>
      <c r="BI198" s="230">
        <v>1247</v>
      </c>
      <c r="BJ198" s="230">
        <v>3921</v>
      </c>
      <c r="BK198" s="230">
        <v>-2674</v>
      </c>
      <c r="BL198" s="229">
        <v>-0.68200000000000005</v>
      </c>
      <c r="BM198" s="228">
        <v>630</v>
      </c>
      <c r="BN198" s="230">
        <v>1648</v>
      </c>
      <c r="BO198" s="230">
        <v>-1018</v>
      </c>
      <c r="BP198" s="229">
        <v>-0.61760000000000004</v>
      </c>
      <c r="BQ198" s="230">
        <v>2130</v>
      </c>
      <c r="BR198" s="230">
        <v>6351</v>
      </c>
      <c r="BS198" s="230">
        <v>-4221</v>
      </c>
      <c r="BT198" s="229">
        <v>-0.66469999999999996</v>
      </c>
      <c r="BU198" s="230">
        <v>470938</v>
      </c>
      <c r="BV198" s="230">
        <v>1404966</v>
      </c>
      <c r="BW198" s="230">
        <v>-934028</v>
      </c>
      <c r="BX198" s="229">
        <v>-0.66479999999999995</v>
      </c>
      <c r="BY198" s="230">
        <v>4001</v>
      </c>
      <c r="BZ198" s="230">
        <v>4030</v>
      </c>
      <c r="CA198" s="228">
        <v>-29</v>
      </c>
      <c r="CB198" s="229">
        <v>-7.1000000000000004E-3</v>
      </c>
      <c r="CC198" s="230">
        <v>3932</v>
      </c>
      <c r="CD198" s="230">
        <v>3964</v>
      </c>
      <c r="CE198" s="228">
        <v>-32</v>
      </c>
      <c r="CF198" s="229">
        <v>-8.0999999999999996E-3</v>
      </c>
      <c r="CG198" s="228">
        <v>62</v>
      </c>
      <c r="CH198" s="228">
        <v>61</v>
      </c>
      <c r="CI198" s="228">
        <v>1</v>
      </c>
      <c r="CJ198" s="229">
        <v>1.7500000000000002E-2</v>
      </c>
      <c r="CK198" s="228">
        <v>7</v>
      </c>
      <c r="CL198" s="228">
        <v>5</v>
      </c>
      <c r="CM198" s="228">
        <v>2</v>
      </c>
      <c r="CN198" s="229">
        <v>0.47139999999999999</v>
      </c>
      <c r="CO198" s="230">
        <v>1346</v>
      </c>
      <c r="CP198" s="230">
        <v>1244</v>
      </c>
      <c r="CQ198" s="228">
        <v>101</v>
      </c>
      <c r="CR198" s="229">
        <v>8.1600000000000006E-2</v>
      </c>
      <c r="CS198" s="228">
        <v>848</v>
      </c>
      <c r="CT198" s="228">
        <v>761</v>
      </c>
      <c r="CU198" s="228">
        <v>87</v>
      </c>
      <c r="CV198" s="229">
        <v>0.1144</v>
      </c>
      <c r="CW198" s="230">
        <v>6195</v>
      </c>
      <c r="CX198" s="230">
        <v>6035</v>
      </c>
      <c r="CY198" s="228">
        <v>160</v>
      </c>
      <c r="CZ198" s="229">
        <v>2.6499999999999999E-2</v>
      </c>
      <c r="DA198" s="228">
        <v>20.18</v>
      </c>
      <c r="DB198" s="228">
        <v>20.420000000000002</v>
      </c>
      <c r="DC198" s="228">
        <v>-0.24</v>
      </c>
      <c r="DD198" s="228">
        <v>-0.24</v>
      </c>
      <c r="DE198" s="228">
        <v>24.51</v>
      </c>
      <c r="DF198" s="228">
        <v>24.57</v>
      </c>
      <c r="DG198" s="228">
        <v>-4.33</v>
      </c>
      <c r="DH198" s="228">
        <v>-0.06</v>
      </c>
      <c r="DI198" s="228">
        <v>19.93</v>
      </c>
      <c r="DJ198" s="228">
        <v>20.11</v>
      </c>
      <c r="DK198" s="228">
        <v>-0.18</v>
      </c>
      <c r="DL198" s="228">
        <v>-0.18</v>
      </c>
      <c r="DM198" s="228">
        <v>20.67</v>
      </c>
      <c r="DN198" s="228">
        <v>21.15</v>
      </c>
      <c r="DO198" s="228">
        <v>-0.48</v>
      </c>
      <c r="DP198" s="228">
        <v>-0.48</v>
      </c>
      <c r="DQ198" s="228">
        <v>0.63</v>
      </c>
      <c r="DR198" s="228">
        <v>0.61</v>
      </c>
      <c r="DS198" s="228">
        <v>0.02</v>
      </c>
      <c r="DT198" s="229">
        <v>3.2800000000000003E-2</v>
      </c>
      <c r="DU198" s="231">
        <v>4200</v>
      </c>
      <c r="DV198" s="231">
        <v>4000</v>
      </c>
      <c r="DW198" s="228">
        <v>0.51</v>
      </c>
      <c r="DX198" s="228">
        <v>0.42</v>
      </c>
      <c r="DY198" s="228">
        <v>0.09</v>
      </c>
      <c r="DZ198" s="229">
        <v>0.21429999999999999</v>
      </c>
      <c r="EA198" s="229">
        <v>1.7399999999999999E-2</v>
      </c>
      <c r="EB198" s="230">
        <v>162400</v>
      </c>
      <c r="EC198" s="229">
        <v>5.4000000000000003E-3</v>
      </c>
      <c r="ED198" s="229">
        <v>1.7399999999999999E-2</v>
      </c>
      <c r="EE198" s="228">
        <v>23.46</v>
      </c>
      <c r="EF198" s="229">
        <v>5.7999999999999996E-3</v>
      </c>
      <c r="EG198" s="230">
        <v>246458</v>
      </c>
      <c r="EH198" s="230">
        <v>923656</v>
      </c>
      <c r="EI198" s="229">
        <v>-0.73319999999999996</v>
      </c>
      <c r="EJ198" s="229">
        <v>0.52329999999999999</v>
      </c>
      <c r="EK198" s="231">
        <v>1289.18</v>
      </c>
      <c r="EL198" s="228">
        <v>620.01</v>
      </c>
      <c r="EM198" s="228">
        <v>252.22</v>
      </c>
      <c r="EN198" s="228">
        <v>238.82</v>
      </c>
      <c r="EO198" s="231">
        <v>2161.4</v>
      </c>
      <c r="EP198" s="231">
        <v>6427.44</v>
      </c>
      <c r="EQ198" s="231">
        <v>-4266.04</v>
      </c>
      <c r="ER198" s="229">
        <v>-0.66369999999999996</v>
      </c>
      <c r="ES198" s="231">
        <v>1373.28</v>
      </c>
      <c r="ET198" s="228">
        <v>808.96</v>
      </c>
      <c r="EU198" s="231">
        <v>4001.67</v>
      </c>
      <c r="EV198" s="231">
        <v>45680146</v>
      </c>
      <c r="EW198" s="231">
        <v>6183.9</v>
      </c>
      <c r="EX198" s="231">
        <v>6013.54</v>
      </c>
      <c r="EY198" s="228">
        <v>170.36</v>
      </c>
      <c r="EZ198" s="229">
        <v>2.8299999999999999E-2</v>
      </c>
      <c r="FA198" s="229">
        <v>0.33300000000000002</v>
      </c>
      <c r="FB198" s="227" t="s">
        <v>556</v>
      </c>
      <c r="FC198">
        <f t="shared" si="4"/>
        <v>0</v>
      </c>
    </row>
    <row r="199" spans="1:159" ht="17.25" thickBot="1" x14ac:dyDescent="0.3">
      <c r="A199" s="226">
        <v>46023</v>
      </c>
      <c r="B199" s="227" t="s">
        <v>162</v>
      </c>
      <c r="C199" s="227" t="s">
        <v>689</v>
      </c>
      <c r="D199" s="228">
        <v>800</v>
      </c>
      <c r="E199" s="228">
        <v>26</v>
      </c>
      <c r="F199" s="228">
        <v>369.35</v>
      </c>
      <c r="G199" s="228">
        <v>369.75</v>
      </c>
      <c r="H199" s="228">
        <v>-0.4</v>
      </c>
      <c r="I199" s="229">
        <v>-1.1000000000000001E-3</v>
      </c>
      <c r="J199" s="228">
        <v>367.55</v>
      </c>
      <c r="K199" s="228">
        <v>367.35</v>
      </c>
      <c r="L199" s="228">
        <v>0.2</v>
      </c>
      <c r="M199" s="229">
        <v>5.0000000000000001E-4</v>
      </c>
      <c r="N199" s="228">
        <v>369.35</v>
      </c>
      <c r="O199" s="228">
        <v>369.75</v>
      </c>
      <c r="P199" s="228">
        <v>-0.4</v>
      </c>
      <c r="Q199" s="229">
        <v>-1.1000000000000001E-3</v>
      </c>
      <c r="R199" s="228">
        <v>371.4</v>
      </c>
      <c r="S199" s="228">
        <v>371.8</v>
      </c>
      <c r="T199" s="228">
        <v>-0.4</v>
      </c>
      <c r="U199" s="229">
        <v>-1.1000000000000001E-3</v>
      </c>
      <c r="V199" s="228">
        <v>373.55</v>
      </c>
      <c r="W199" s="228">
        <v>374.3</v>
      </c>
      <c r="X199" s="228">
        <v>-0.75</v>
      </c>
      <c r="Y199" s="229">
        <v>-2E-3</v>
      </c>
      <c r="Z199" s="228">
        <v>1.8</v>
      </c>
      <c r="AA199" s="228">
        <v>2.4</v>
      </c>
      <c r="AB199" s="228">
        <v>-0.6</v>
      </c>
      <c r="AC199" s="229">
        <v>4.8999999999999998E-3</v>
      </c>
      <c r="AD199" s="228">
        <v>1.8</v>
      </c>
      <c r="AE199" s="228">
        <v>2.4</v>
      </c>
      <c r="AF199" s="228">
        <v>-0.6</v>
      </c>
      <c r="AG199" s="229">
        <v>4.8999999999999998E-3</v>
      </c>
      <c r="AH199" s="228">
        <v>3.85</v>
      </c>
      <c r="AI199" s="228">
        <v>4.45</v>
      </c>
      <c r="AJ199" s="228">
        <v>-0.6</v>
      </c>
      <c r="AK199" s="229">
        <v>1.0500000000000001E-2</v>
      </c>
      <c r="AL199" s="228">
        <v>6</v>
      </c>
      <c r="AM199" s="228">
        <v>6.95</v>
      </c>
      <c r="AN199" s="228">
        <v>-0.95</v>
      </c>
      <c r="AO199" s="229">
        <v>1.6299999999999999E-2</v>
      </c>
      <c r="AP199" s="228">
        <v>369.41</v>
      </c>
      <c r="AQ199" s="228">
        <v>372.09</v>
      </c>
      <c r="AR199" s="228">
        <v>0</v>
      </c>
      <c r="AS199" s="228">
        <v>490</v>
      </c>
      <c r="AT199" s="228">
        <v>596</v>
      </c>
      <c r="AU199" s="228">
        <v>-106</v>
      </c>
      <c r="AV199" s="229">
        <v>-0.17730000000000001</v>
      </c>
      <c r="AW199" s="228">
        <v>435</v>
      </c>
      <c r="AX199" s="228">
        <v>553</v>
      </c>
      <c r="AY199" s="228">
        <v>-119</v>
      </c>
      <c r="AZ199" s="229">
        <v>-0.21429999999999999</v>
      </c>
      <c r="BA199" s="228">
        <v>46</v>
      </c>
      <c r="BB199" s="228">
        <v>36</v>
      </c>
      <c r="BC199" s="228">
        <v>10</v>
      </c>
      <c r="BD199" s="229">
        <v>0.29299999999999998</v>
      </c>
      <c r="BE199" s="228">
        <v>10</v>
      </c>
      <c r="BF199" s="228">
        <v>7</v>
      </c>
      <c r="BG199" s="228">
        <v>2</v>
      </c>
      <c r="BH199" s="229">
        <v>0.3402</v>
      </c>
      <c r="BI199" s="230">
        <v>1735</v>
      </c>
      <c r="BJ199" s="230">
        <v>1726</v>
      </c>
      <c r="BK199" s="228">
        <v>10</v>
      </c>
      <c r="BL199" s="229">
        <v>5.7000000000000002E-3</v>
      </c>
      <c r="BM199" s="228">
        <v>723</v>
      </c>
      <c r="BN199" s="228">
        <v>733</v>
      </c>
      <c r="BO199" s="228">
        <v>-10</v>
      </c>
      <c r="BP199" s="229">
        <v>-1.3599999999999999E-2</v>
      </c>
      <c r="BQ199" s="230">
        <v>2949</v>
      </c>
      <c r="BR199" s="230">
        <v>3054</v>
      </c>
      <c r="BS199" s="228">
        <v>-106</v>
      </c>
      <c r="BT199" s="229">
        <v>-3.4700000000000002E-2</v>
      </c>
      <c r="BU199" s="230">
        <v>7214281</v>
      </c>
      <c r="BV199" s="230">
        <v>10439184</v>
      </c>
      <c r="BW199" s="230">
        <v>-3224903</v>
      </c>
      <c r="BX199" s="229">
        <v>-0.30890000000000001</v>
      </c>
      <c r="BY199" s="230">
        <v>3411</v>
      </c>
      <c r="BZ199" s="230">
        <v>3336</v>
      </c>
      <c r="CA199" s="228">
        <v>75</v>
      </c>
      <c r="CB199" s="229">
        <v>2.2599999999999999E-2</v>
      </c>
      <c r="CC199" s="230">
        <v>3262</v>
      </c>
      <c r="CD199" s="230">
        <v>3203</v>
      </c>
      <c r="CE199" s="228">
        <v>58</v>
      </c>
      <c r="CF199" s="229">
        <v>1.8200000000000001E-2</v>
      </c>
      <c r="CG199" s="228">
        <v>139</v>
      </c>
      <c r="CH199" s="228">
        <v>127</v>
      </c>
      <c r="CI199" s="228">
        <v>11</v>
      </c>
      <c r="CJ199" s="229">
        <v>8.9700000000000002E-2</v>
      </c>
      <c r="CK199" s="228">
        <v>11</v>
      </c>
      <c r="CL199" s="228">
        <v>5</v>
      </c>
      <c r="CM199" s="228">
        <v>6</v>
      </c>
      <c r="CN199" s="229">
        <v>1.1155999999999999</v>
      </c>
      <c r="CO199" s="230">
        <v>1295</v>
      </c>
      <c r="CP199" s="230">
        <v>1216</v>
      </c>
      <c r="CQ199" s="228">
        <v>79</v>
      </c>
      <c r="CR199" s="229">
        <v>6.5199999999999994E-2</v>
      </c>
      <c r="CS199" s="228">
        <v>790</v>
      </c>
      <c r="CT199" s="228">
        <v>705</v>
      </c>
      <c r="CU199" s="228">
        <v>84</v>
      </c>
      <c r="CV199" s="229">
        <v>0.1197</v>
      </c>
      <c r="CW199" s="230">
        <v>5496</v>
      </c>
      <c r="CX199" s="230">
        <v>5257</v>
      </c>
      <c r="CY199" s="228">
        <v>239</v>
      </c>
      <c r="CZ199" s="229">
        <v>4.5499999999999999E-2</v>
      </c>
      <c r="DA199" s="228">
        <v>26.4</v>
      </c>
      <c r="DB199" s="228">
        <v>27.69</v>
      </c>
      <c r="DC199" s="228">
        <v>-1.29</v>
      </c>
      <c r="DD199" s="228">
        <v>-1.29</v>
      </c>
      <c r="DE199" s="228">
        <v>33.65</v>
      </c>
      <c r="DF199" s="228">
        <v>33.729999999999997</v>
      </c>
      <c r="DG199" s="228">
        <v>-7.25</v>
      </c>
      <c r="DH199" s="228">
        <v>-0.08</v>
      </c>
      <c r="DI199" s="228">
        <v>26.29</v>
      </c>
      <c r="DJ199" s="228">
        <v>27.42</v>
      </c>
      <c r="DK199" s="228">
        <v>-1.1299999999999999</v>
      </c>
      <c r="DL199" s="228">
        <v>-1.1299999999999999</v>
      </c>
      <c r="DM199" s="228">
        <v>26.68</v>
      </c>
      <c r="DN199" s="228">
        <v>28.33</v>
      </c>
      <c r="DO199" s="228">
        <v>-1.65</v>
      </c>
      <c r="DP199" s="228">
        <v>-1.65</v>
      </c>
      <c r="DQ199" s="228">
        <v>0.61</v>
      </c>
      <c r="DR199" s="228">
        <v>0.57999999999999996</v>
      </c>
      <c r="DS199" s="228">
        <v>0.03</v>
      </c>
      <c r="DT199" s="229">
        <v>5.1700000000000003E-2</v>
      </c>
      <c r="DU199" s="228">
        <v>400</v>
      </c>
      <c r="DV199" s="228">
        <v>360</v>
      </c>
      <c r="DW199" s="228">
        <v>0.42</v>
      </c>
      <c r="DX199" s="228">
        <v>0.42</v>
      </c>
      <c r="DY199" s="228">
        <v>0</v>
      </c>
      <c r="DZ199" s="229">
        <v>0</v>
      </c>
      <c r="EA199" s="229">
        <v>4.3799999999999999E-2</v>
      </c>
      <c r="EB199" s="230">
        <v>3580000</v>
      </c>
      <c r="EC199" s="229">
        <v>5.5999999999999999E-3</v>
      </c>
      <c r="ED199" s="229">
        <v>4.3799999999999999E-2</v>
      </c>
      <c r="EE199" s="228">
        <v>2.68</v>
      </c>
      <c r="EF199" s="229">
        <v>7.3000000000000001E-3</v>
      </c>
      <c r="EG199" s="230">
        <v>2730487</v>
      </c>
      <c r="EH199" s="230">
        <v>5703026</v>
      </c>
      <c r="EI199" s="229">
        <v>-0.5212</v>
      </c>
      <c r="EJ199" s="229">
        <v>0.3785</v>
      </c>
      <c r="EK199" s="231">
        <v>1848.36</v>
      </c>
      <c r="EL199" s="228">
        <v>704.1</v>
      </c>
      <c r="EM199" s="228">
        <v>491</v>
      </c>
      <c r="EN199" s="228">
        <v>514.20000000000005</v>
      </c>
      <c r="EO199" s="231">
        <v>3043.46</v>
      </c>
      <c r="EP199" s="231">
        <v>3130.89</v>
      </c>
      <c r="EQ199" s="228">
        <v>-87.43</v>
      </c>
      <c r="ER199" s="229">
        <v>-2.7900000000000001E-2</v>
      </c>
      <c r="ES199" s="231">
        <v>1353.77</v>
      </c>
      <c r="ET199" s="228">
        <v>770.35</v>
      </c>
      <c r="EU199" s="231">
        <v>3411.91</v>
      </c>
      <c r="EV199" s="231">
        <v>317235726</v>
      </c>
      <c r="EW199" s="231">
        <v>5536.03</v>
      </c>
      <c r="EX199" s="231">
        <v>5297.74</v>
      </c>
      <c r="EY199" s="228">
        <v>238.29</v>
      </c>
      <c r="EZ199" s="229">
        <v>4.4999999999999998E-2</v>
      </c>
      <c r="FA199" s="229">
        <v>0.46910000000000002</v>
      </c>
      <c r="FB199" s="227" t="s">
        <v>567</v>
      </c>
      <c r="FC199">
        <f t="shared" si="4"/>
        <v>0</v>
      </c>
    </row>
    <row r="200" spans="1:159" ht="17.25" thickBot="1" x14ac:dyDescent="0.3">
      <c r="A200" s="226">
        <v>46023</v>
      </c>
      <c r="B200" s="227" t="s">
        <v>170</v>
      </c>
      <c r="C200" s="227" t="s">
        <v>298</v>
      </c>
      <c r="D200" s="228">
        <v>250</v>
      </c>
      <c r="E200" s="228">
        <v>26</v>
      </c>
      <c r="F200" s="231">
        <v>3856.9</v>
      </c>
      <c r="G200" s="231">
        <v>3845.6</v>
      </c>
      <c r="H200" s="228">
        <v>11.3</v>
      </c>
      <c r="I200" s="229">
        <v>2.8999999999999998E-3</v>
      </c>
      <c r="J200" s="231">
        <v>3848.4</v>
      </c>
      <c r="K200" s="231">
        <v>3850</v>
      </c>
      <c r="L200" s="228">
        <v>-1.6</v>
      </c>
      <c r="M200" s="229">
        <v>-4.0000000000000002E-4</v>
      </c>
      <c r="N200" s="231">
        <v>3856.9</v>
      </c>
      <c r="O200" s="231">
        <v>3845.6</v>
      </c>
      <c r="P200" s="228">
        <v>11.3</v>
      </c>
      <c r="Q200" s="229">
        <v>2.8999999999999998E-3</v>
      </c>
      <c r="R200" s="231">
        <v>3855.7</v>
      </c>
      <c r="S200" s="231">
        <v>3844.3</v>
      </c>
      <c r="T200" s="228">
        <v>11.4</v>
      </c>
      <c r="U200" s="229">
        <v>3.0000000000000001E-3</v>
      </c>
      <c r="V200" s="228">
        <v>0</v>
      </c>
      <c r="W200" s="228">
        <v>0</v>
      </c>
      <c r="X200" s="228">
        <v>0</v>
      </c>
      <c r="Y200" s="229">
        <v>0</v>
      </c>
      <c r="Z200" s="228">
        <v>8.5</v>
      </c>
      <c r="AA200" s="228">
        <v>-4.4000000000000004</v>
      </c>
      <c r="AB200" s="228">
        <v>12.9</v>
      </c>
      <c r="AC200" s="229">
        <v>2.2000000000000001E-3</v>
      </c>
      <c r="AD200" s="228">
        <v>8.5</v>
      </c>
      <c r="AE200" s="228">
        <v>-4.4000000000000004</v>
      </c>
      <c r="AF200" s="228">
        <v>12.9</v>
      </c>
      <c r="AG200" s="229">
        <v>2.2000000000000001E-3</v>
      </c>
      <c r="AH200" s="228">
        <v>7.3</v>
      </c>
      <c r="AI200" s="228">
        <v>-5.7</v>
      </c>
      <c r="AJ200" s="228">
        <v>13</v>
      </c>
      <c r="AK200" s="229">
        <v>1.9E-3</v>
      </c>
      <c r="AL200" s="228">
        <v>0</v>
      </c>
      <c r="AM200" s="228">
        <v>0</v>
      </c>
      <c r="AN200" s="228">
        <v>0</v>
      </c>
      <c r="AO200" s="229">
        <v>0</v>
      </c>
      <c r="AP200" s="231">
        <v>3851.04</v>
      </c>
      <c r="AQ200" s="231">
        <v>3856</v>
      </c>
      <c r="AR200" s="228">
        <v>0</v>
      </c>
      <c r="AS200" s="228">
        <v>44</v>
      </c>
      <c r="AT200" s="228">
        <v>113</v>
      </c>
      <c r="AU200" s="228">
        <v>-69</v>
      </c>
      <c r="AV200" s="229">
        <v>-0.61370000000000002</v>
      </c>
      <c r="AW200" s="228">
        <v>43</v>
      </c>
      <c r="AX200" s="228">
        <v>110</v>
      </c>
      <c r="AY200" s="228">
        <v>-67</v>
      </c>
      <c r="AZ200" s="229">
        <v>-0.60760000000000003</v>
      </c>
      <c r="BA200" s="228">
        <v>0</v>
      </c>
      <c r="BB200" s="228">
        <v>3</v>
      </c>
      <c r="BC200" s="228">
        <v>-3</v>
      </c>
      <c r="BD200" s="229">
        <v>-0.8387</v>
      </c>
      <c r="BE200" s="228">
        <v>0</v>
      </c>
      <c r="BF200" s="228">
        <v>0</v>
      </c>
      <c r="BG200" s="228">
        <v>0</v>
      </c>
      <c r="BH200" s="229">
        <v>0</v>
      </c>
      <c r="BI200" s="228">
        <v>46</v>
      </c>
      <c r="BJ200" s="228">
        <v>71</v>
      </c>
      <c r="BK200" s="228">
        <v>-26</v>
      </c>
      <c r="BL200" s="229">
        <v>-0.36220000000000002</v>
      </c>
      <c r="BM200" s="228">
        <v>14</v>
      </c>
      <c r="BN200" s="228">
        <v>52</v>
      </c>
      <c r="BO200" s="228">
        <v>-38</v>
      </c>
      <c r="BP200" s="229">
        <v>-0.73299999999999998</v>
      </c>
      <c r="BQ200" s="228">
        <v>103</v>
      </c>
      <c r="BR200" s="228">
        <v>237</v>
      </c>
      <c r="BS200" s="228">
        <v>-133</v>
      </c>
      <c r="BT200" s="229">
        <v>-0.56420000000000003</v>
      </c>
      <c r="BU200" s="230">
        <v>40455</v>
      </c>
      <c r="BV200" s="230">
        <v>153169</v>
      </c>
      <c r="BW200" s="230">
        <v>-112714</v>
      </c>
      <c r="BX200" s="229">
        <v>-0.7359</v>
      </c>
      <c r="BY200" s="228">
        <v>823</v>
      </c>
      <c r="BZ200" s="228">
        <v>819</v>
      </c>
      <c r="CA200" s="228">
        <v>5</v>
      </c>
      <c r="CB200" s="229">
        <v>6.0000000000000001E-3</v>
      </c>
      <c r="CC200" s="228">
        <v>820</v>
      </c>
      <c r="CD200" s="228">
        <v>815</v>
      </c>
      <c r="CE200" s="228">
        <v>5</v>
      </c>
      <c r="CF200" s="229">
        <v>6.0000000000000001E-3</v>
      </c>
      <c r="CG200" s="228">
        <v>4</v>
      </c>
      <c r="CH200" s="228">
        <v>4</v>
      </c>
      <c r="CI200" s="228">
        <v>0</v>
      </c>
      <c r="CJ200" s="229">
        <v>0</v>
      </c>
      <c r="CK200" s="228">
        <v>0</v>
      </c>
      <c r="CL200" s="228">
        <v>0</v>
      </c>
      <c r="CM200" s="228">
        <v>0</v>
      </c>
      <c r="CN200" s="229">
        <v>0</v>
      </c>
      <c r="CO200" s="228">
        <v>69</v>
      </c>
      <c r="CP200" s="228">
        <v>63</v>
      </c>
      <c r="CQ200" s="228">
        <v>6</v>
      </c>
      <c r="CR200" s="229">
        <v>9.1700000000000004E-2</v>
      </c>
      <c r="CS200" s="228">
        <v>47</v>
      </c>
      <c r="CT200" s="228">
        <v>47</v>
      </c>
      <c r="CU200" s="228">
        <v>0</v>
      </c>
      <c r="CV200" s="229">
        <v>2E-3</v>
      </c>
      <c r="CW200" s="228">
        <v>940</v>
      </c>
      <c r="CX200" s="228">
        <v>929</v>
      </c>
      <c r="CY200" s="228">
        <v>11</v>
      </c>
      <c r="CZ200" s="229">
        <v>1.1599999999999999E-2</v>
      </c>
      <c r="DA200" s="228">
        <v>16</v>
      </c>
      <c r="DB200" s="228">
        <v>16.739999999999998</v>
      </c>
      <c r="DC200" s="228">
        <v>-0.74</v>
      </c>
      <c r="DD200" s="228">
        <v>-0.74</v>
      </c>
      <c r="DE200" s="228">
        <v>24.83</v>
      </c>
      <c r="DF200" s="228">
        <v>24.89</v>
      </c>
      <c r="DG200" s="228">
        <v>-8.83</v>
      </c>
      <c r="DH200" s="228">
        <v>-0.06</v>
      </c>
      <c r="DI200" s="228">
        <v>15.88</v>
      </c>
      <c r="DJ200" s="228">
        <v>16.39</v>
      </c>
      <c r="DK200" s="228">
        <v>-0.51</v>
      </c>
      <c r="DL200" s="228">
        <v>-0.51</v>
      </c>
      <c r="DM200" s="228">
        <v>16.38</v>
      </c>
      <c r="DN200" s="228">
        <v>17.23</v>
      </c>
      <c r="DO200" s="228">
        <v>-0.85</v>
      </c>
      <c r="DP200" s="228">
        <v>-0.85</v>
      </c>
      <c r="DQ200" s="228">
        <v>0.69</v>
      </c>
      <c r="DR200" s="228">
        <v>0.75</v>
      </c>
      <c r="DS200" s="228">
        <v>-0.06</v>
      </c>
      <c r="DT200" s="229">
        <v>-0.08</v>
      </c>
      <c r="DU200" s="231">
        <v>3800</v>
      </c>
      <c r="DV200" s="231">
        <v>3800</v>
      </c>
      <c r="DW200" s="228">
        <v>0.31</v>
      </c>
      <c r="DX200" s="228">
        <v>0.73</v>
      </c>
      <c r="DY200" s="228">
        <v>-0.42</v>
      </c>
      <c r="DZ200" s="229">
        <v>-0.57530000000000003</v>
      </c>
      <c r="EA200" s="229">
        <v>4.5999999999999999E-3</v>
      </c>
      <c r="EB200" s="230">
        <v>9750</v>
      </c>
      <c r="EC200" s="229">
        <v>-2.9999999999999997E-4</v>
      </c>
      <c r="ED200" s="229">
        <v>4.5999999999999999E-3</v>
      </c>
      <c r="EE200" s="228">
        <v>4.96</v>
      </c>
      <c r="EF200" s="229">
        <v>1.2999999999999999E-3</v>
      </c>
      <c r="EG200" s="230">
        <v>18854</v>
      </c>
      <c r="EH200" s="230">
        <v>95360</v>
      </c>
      <c r="EI200" s="229">
        <v>-0.80230000000000001</v>
      </c>
      <c r="EJ200" s="229">
        <v>0.46600000000000003</v>
      </c>
      <c r="EK200" s="228">
        <v>46.52</v>
      </c>
      <c r="EL200" s="228">
        <v>13.71</v>
      </c>
      <c r="EM200" s="228">
        <v>43.52</v>
      </c>
      <c r="EN200" s="228">
        <v>42.34</v>
      </c>
      <c r="EO200" s="228">
        <v>103.75</v>
      </c>
      <c r="EP200" s="228">
        <v>235.96</v>
      </c>
      <c r="EQ200" s="228">
        <v>-132.21</v>
      </c>
      <c r="ER200" s="229">
        <v>-0.56030000000000002</v>
      </c>
      <c r="ES200" s="228">
        <v>69.67</v>
      </c>
      <c r="ET200" s="228">
        <v>45.58</v>
      </c>
      <c r="EU200" s="228">
        <v>823.45</v>
      </c>
      <c r="EV200" s="231">
        <v>10726004</v>
      </c>
      <c r="EW200" s="228">
        <v>938.69</v>
      </c>
      <c r="EX200" s="228">
        <v>925.4</v>
      </c>
      <c r="EY200" s="228">
        <v>13.29</v>
      </c>
      <c r="EZ200" s="229">
        <v>1.44E-2</v>
      </c>
      <c r="FA200" s="229">
        <v>0.22720000000000001</v>
      </c>
      <c r="FB200" s="227" t="s">
        <v>555</v>
      </c>
      <c r="FC200">
        <f t="shared" si="4"/>
        <v>0</v>
      </c>
    </row>
    <row r="201" spans="1:159" ht="17.25" thickBot="1" x14ac:dyDescent="0.3">
      <c r="A201" s="226">
        <v>46023</v>
      </c>
      <c r="B201" s="227" t="s">
        <v>161</v>
      </c>
      <c r="C201" s="227" t="s">
        <v>299</v>
      </c>
      <c r="D201" s="228">
        <v>425</v>
      </c>
      <c r="E201" s="228">
        <v>26</v>
      </c>
      <c r="F201" s="231">
        <v>1336.3</v>
      </c>
      <c r="G201" s="231">
        <v>1315.1</v>
      </c>
      <c r="H201" s="228">
        <v>21.2</v>
      </c>
      <c r="I201" s="229">
        <v>1.61E-2</v>
      </c>
      <c r="J201" s="231">
        <v>1327</v>
      </c>
      <c r="K201" s="231">
        <v>1306.7</v>
      </c>
      <c r="L201" s="228">
        <v>20.3</v>
      </c>
      <c r="M201" s="229">
        <v>1.55E-2</v>
      </c>
      <c r="N201" s="231">
        <v>1336.3</v>
      </c>
      <c r="O201" s="231">
        <v>1315.1</v>
      </c>
      <c r="P201" s="228">
        <v>21.2</v>
      </c>
      <c r="Q201" s="229">
        <v>1.61E-2</v>
      </c>
      <c r="R201" s="231">
        <v>1333.4</v>
      </c>
      <c r="S201" s="231">
        <v>1309.4000000000001</v>
      </c>
      <c r="T201" s="228">
        <v>24</v>
      </c>
      <c r="U201" s="229">
        <v>1.83E-2</v>
      </c>
      <c r="V201" s="231">
        <v>1338.2</v>
      </c>
      <c r="W201" s="228">
        <v>0</v>
      </c>
      <c r="X201" s="231">
        <v>1338.2</v>
      </c>
      <c r="Y201" s="229">
        <v>0</v>
      </c>
      <c r="Z201" s="228">
        <v>9.3000000000000007</v>
      </c>
      <c r="AA201" s="228">
        <v>8.4</v>
      </c>
      <c r="AB201" s="228">
        <v>0.9</v>
      </c>
      <c r="AC201" s="229">
        <v>7.0000000000000001E-3</v>
      </c>
      <c r="AD201" s="228">
        <v>9.3000000000000007</v>
      </c>
      <c r="AE201" s="228">
        <v>8.4</v>
      </c>
      <c r="AF201" s="228">
        <v>0.9</v>
      </c>
      <c r="AG201" s="229">
        <v>7.0000000000000001E-3</v>
      </c>
      <c r="AH201" s="228">
        <v>6.4</v>
      </c>
      <c r="AI201" s="228">
        <v>2.7</v>
      </c>
      <c r="AJ201" s="228">
        <v>3.7</v>
      </c>
      <c r="AK201" s="229">
        <v>4.7999999999999996E-3</v>
      </c>
      <c r="AL201" s="228">
        <v>11.2</v>
      </c>
      <c r="AM201" s="228">
        <v>0</v>
      </c>
      <c r="AN201" s="228">
        <v>11.2</v>
      </c>
      <c r="AO201" s="229">
        <v>8.3999999999999995E-3</v>
      </c>
      <c r="AP201" s="231">
        <v>1328.37</v>
      </c>
      <c r="AQ201" s="231">
        <v>1322.89</v>
      </c>
      <c r="AR201" s="228">
        <v>0</v>
      </c>
      <c r="AS201" s="228">
        <v>66</v>
      </c>
      <c r="AT201" s="228">
        <v>92</v>
      </c>
      <c r="AU201" s="228">
        <v>-27</v>
      </c>
      <c r="AV201" s="229">
        <v>-0.28989999999999999</v>
      </c>
      <c r="AW201" s="228">
        <v>63</v>
      </c>
      <c r="AX201" s="228">
        <v>88</v>
      </c>
      <c r="AY201" s="228">
        <v>-25</v>
      </c>
      <c r="AZ201" s="229">
        <v>-0.28120000000000001</v>
      </c>
      <c r="BA201" s="228">
        <v>2</v>
      </c>
      <c r="BB201" s="228">
        <v>4</v>
      </c>
      <c r="BC201" s="228">
        <v>-2</v>
      </c>
      <c r="BD201" s="229">
        <v>-0.52700000000000002</v>
      </c>
      <c r="BE201" s="228">
        <v>0</v>
      </c>
      <c r="BF201" s="228">
        <v>0</v>
      </c>
      <c r="BG201" s="228">
        <v>0</v>
      </c>
      <c r="BH201" s="229">
        <v>0</v>
      </c>
      <c r="BI201" s="228">
        <v>158</v>
      </c>
      <c r="BJ201" s="228">
        <v>125</v>
      </c>
      <c r="BK201" s="228">
        <v>33</v>
      </c>
      <c r="BL201" s="229">
        <v>0.2621</v>
      </c>
      <c r="BM201" s="228">
        <v>51</v>
      </c>
      <c r="BN201" s="228">
        <v>39</v>
      </c>
      <c r="BO201" s="228">
        <v>12</v>
      </c>
      <c r="BP201" s="229">
        <v>0.29549999999999998</v>
      </c>
      <c r="BQ201" s="228">
        <v>274</v>
      </c>
      <c r="BR201" s="228">
        <v>256</v>
      </c>
      <c r="BS201" s="228">
        <v>17</v>
      </c>
      <c r="BT201" s="229">
        <v>6.8000000000000005E-2</v>
      </c>
      <c r="BU201" s="230">
        <v>223968</v>
      </c>
      <c r="BV201" s="230">
        <v>252166</v>
      </c>
      <c r="BW201" s="230">
        <v>-28198</v>
      </c>
      <c r="BX201" s="229">
        <v>-0.1118</v>
      </c>
      <c r="BY201" s="228">
        <v>373</v>
      </c>
      <c r="BZ201" s="228">
        <v>368</v>
      </c>
      <c r="CA201" s="228">
        <v>5</v>
      </c>
      <c r="CB201" s="229">
        <v>1.34E-2</v>
      </c>
      <c r="CC201" s="228">
        <v>363</v>
      </c>
      <c r="CD201" s="228">
        <v>359</v>
      </c>
      <c r="CE201" s="228">
        <v>4</v>
      </c>
      <c r="CF201" s="229">
        <v>1.1599999999999999E-2</v>
      </c>
      <c r="CG201" s="228">
        <v>10</v>
      </c>
      <c r="CH201" s="228">
        <v>9</v>
      </c>
      <c r="CI201" s="228">
        <v>1</v>
      </c>
      <c r="CJ201" s="229">
        <v>6.3299999999999995E-2</v>
      </c>
      <c r="CK201" s="228">
        <v>0</v>
      </c>
      <c r="CL201" s="228">
        <v>0</v>
      </c>
      <c r="CM201" s="228">
        <v>0</v>
      </c>
      <c r="CN201" s="229">
        <v>0</v>
      </c>
      <c r="CO201" s="228">
        <v>65</v>
      </c>
      <c r="CP201" s="228">
        <v>51</v>
      </c>
      <c r="CQ201" s="228">
        <v>14</v>
      </c>
      <c r="CR201" s="229">
        <v>0.26500000000000001</v>
      </c>
      <c r="CS201" s="228">
        <v>53</v>
      </c>
      <c r="CT201" s="228">
        <v>49</v>
      </c>
      <c r="CU201" s="228">
        <v>4</v>
      </c>
      <c r="CV201" s="229">
        <v>8.1699999999999995E-2</v>
      </c>
      <c r="CW201" s="228">
        <v>490</v>
      </c>
      <c r="CX201" s="228">
        <v>467</v>
      </c>
      <c r="CY201" s="228">
        <v>22</v>
      </c>
      <c r="CZ201" s="229">
        <v>4.8099999999999997E-2</v>
      </c>
      <c r="DA201" s="228">
        <v>23.49</v>
      </c>
      <c r="DB201" s="228">
        <v>23.71</v>
      </c>
      <c r="DC201" s="228">
        <v>-0.22</v>
      </c>
      <c r="DD201" s="228">
        <v>-0.22</v>
      </c>
      <c r="DE201" s="228">
        <v>39.46</v>
      </c>
      <c r="DF201" s="228">
        <v>39.5</v>
      </c>
      <c r="DG201" s="228">
        <v>-15.97</v>
      </c>
      <c r="DH201" s="228">
        <v>-0.04</v>
      </c>
      <c r="DI201" s="228">
        <v>23.47</v>
      </c>
      <c r="DJ201" s="228">
        <v>23.49</v>
      </c>
      <c r="DK201" s="228">
        <v>-0.02</v>
      </c>
      <c r="DL201" s="228">
        <v>-0.02</v>
      </c>
      <c r="DM201" s="228">
        <v>23.54</v>
      </c>
      <c r="DN201" s="228">
        <v>24.44</v>
      </c>
      <c r="DO201" s="228">
        <v>-0.9</v>
      </c>
      <c r="DP201" s="228">
        <v>-0.9</v>
      </c>
      <c r="DQ201" s="228">
        <v>0.81</v>
      </c>
      <c r="DR201" s="228">
        <v>0.95</v>
      </c>
      <c r="DS201" s="228">
        <v>-0.14000000000000001</v>
      </c>
      <c r="DT201" s="229">
        <v>-0.1474</v>
      </c>
      <c r="DU201" s="231">
        <v>1300</v>
      </c>
      <c r="DV201" s="231">
        <v>1300</v>
      </c>
      <c r="DW201" s="228">
        <v>0.32</v>
      </c>
      <c r="DX201" s="228">
        <v>0.31</v>
      </c>
      <c r="DY201" s="228">
        <v>0.01</v>
      </c>
      <c r="DZ201" s="229">
        <v>3.2300000000000002E-2</v>
      </c>
      <c r="EA201" s="229">
        <v>2.6200000000000001E-2</v>
      </c>
      <c r="EB201" s="230">
        <v>67150</v>
      </c>
      <c r="EC201" s="229">
        <v>-2.2000000000000001E-3</v>
      </c>
      <c r="ED201" s="229">
        <v>2.6200000000000001E-2</v>
      </c>
      <c r="EE201" s="228">
        <v>-5.48</v>
      </c>
      <c r="EF201" s="229">
        <v>-4.1000000000000003E-3</v>
      </c>
      <c r="EG201" s="230">
        <v>102775</v>
      </c>
      <c r="EH201" s="230">
        <v>110146</v>
      </c>
      <c r="EI201" s="229">
        <v>-6.6900000000000001E-2</v>
      </c>
      <c r="EJ201" s="229">
        <v>0.45889999999999997</v>
      </c>
      <c r="EK201" s="228">
        <v>162.81</v>
      </c>
      <c r="EL201" s="228">
        <v>49.26</v>
      </c>
      <c r="EM201" s="228">
        <v>65.260000000000005</v>
      </c>
      <c r="EN201" s="228">
        <v>33.58</v>
      </c>
      <c r="EO201" s="228">
        <v>277.33</v>
      </c>
      <c r="EP201" s="228">
        <v>254.42</v>
      </c>
      <c r="EQ201" s="228">
        <v>22.91</v>
      </c>
      <c r="ER201" s="229">
        <v>9.01E-2</v>
      </c>
      <c r="ES201" s="228">
        <v>65.36</v>
      </c>
      <c r="ET201" s="228">
        <v>50.23</v>
      </c>
      <c r="EU201" s="228">
        <v>372.48</v>
      </c>
      <c r="EV201" s="231">
        <v>24646022</v>
      </c>
      <c r="EW201" s="228">
        <v>488.07</v>
      </c>
      <c r="EX201" s="228">
        <v>459.57</v>
      </c>
      <c r="EY201" s="228">
        <v>28.5</v>
      </c>
      <c r="EZ201" s="229">
        <v>6.2E-2</v>
      </c>
      <c r="FA201" s="229">
        <v>0.14879999999999999</v>
      </c>
      <c r="FB201" s="227" t="s">
        <v>555</v>
      </c>
      <c r="FC201">
        <f t="shared" si="4"/>
        <v>0</v>
      </c>
    </row>
    <row r="202" spans="1:159" ht="17.25" thickBot="1" x14ac:dyDescent="0.3">
      <c r="A202" s="226">
        <v>46023</v>
      </c>
      <c r="B202" s="227" t="s">
        <v>197</v>
      </c>
      <c r="C202" s="227" t="s">
        <v>482</v>
      </c>
      <c r="D202" s="228">
        <v>100</v>
      </c>
      <c r="E202" s="228">
        <v>26</v>
      </c>
      <c r="F202" s="231">
        <v>4314.2</v>
      </c>
      <c r="G202" s="231">
        <v>4294.3999999999996</v>
      </c>
      <c r="H202" s="228">
        <v>19.8</v>
      </c>
      <c r="I202" s="229">
        <v>4.5999999999999999E-3</v>
      </c>
      <c r="J202" s="231">
        <v>4297.3999999999996</v>
      </c>
      <c r="K202" s="231">
        <v>4279</v>
      </c>
      <c r="L202" s="228">
        <v>18.399999999999999</v>
      </c>
      <c r="M202" s="229">
        <v>4.3E-3</v>
      </c>
      <c r="N202" s="231">
        <v>4314.2</v>
      </c>
      <c r="O202" s="231">
        <v>4294.3999999999996</v>
      </c>
      <c r="P202" s="228">
        <v>19.8</v>
      </c>
      <c r="Q202" s="229">
        <v>4.5999999999999999E-3</v>
      </c>
      <c r="R202" s="231">
        <v>4339.3999999999996</v>
      </c>
      <c r="S202" s="231">
        <v>4321.2</v>
      </c>
      <c r="T202" s="228">
        <v>18.2</v>
      </c>
      <c r="U202" s="229">
        <v>4.1999999999999997E-3</v>
      </c>
      <c r="V202" s="231">
        <v>4367.3</v>
      </c>
      <c r="W202" s="231">
        <v>4347.1000000000004</v>
      </c>
      <c r="X202" s="228">
        <v>20.2</v>
      </c>
      <c r="Y202" s="229">
        <v>4.5999999999999999E-3</v>
      </c>
      <c r="Z202" s="228">
        <v>16.8</v>
      </c>
      <c r="AA202" s="228">
        <v>15.4</v>
      </c>
      <c r="AB202" s="228">
        <v>1.4</v>
      </c>
      <c r="AC202" s="229">
        <v>3.8999999999999998E-3</v>
      </c>
      <c r="AD202" s="228">
        <v>16.8</v>
      </c>
      <c r="AE202" s="228">
        <v>15.4</v>
      </c>
      <c r="AF202" s="228">
        <v>1.4</v>
      </c>
      <c r="AG202" s="229">
        <v>3.8999999999999998E-3</v>
      </c>
      <c r="AH202" s="228">
        <v>42</v>
      </c>
      <c r="AI202" s="228">
        <v>42.2</v>
      </c>
      <c r="AJ202" s="228">
        <v>-0.2</v>
      </c>
      <c r="AK202" s="229">
        <v>9.7999999999999997E-3</v>
      </c>
      <c r="AL202" s="228">
        <v>69.900000000000006</v>
      </c>
      <c r="AM202" s="228">
        <v>68.099999999999994</v>
      </c>
      <c r="AN202" s="228">
        <v>1.8</v>
      </c>
      <c r="AO202" s="229">
        <v>1.6299999999999999E-2</v>
      </c>
      <c r="AP202" s="231">
        <v>4299.12</v>
      </c>
      <c r="AQ202" s="231">
        <v>4326.18</v>
      </c>
      <c r="AR202" s="228">
        <v>0</v>
      </c>
      <c r="AS202" s="228">
        <v>227</v>
      </c>
      <c r="AT202" s="228">
        <v>407</v>
      </c>
      <c r="AU202" s="228">
        <v>-180</v>
      </c>
      <c r="AV202" s="229">
        <v>-0.44280000000000003</v>
      </c>
      <c r="AW202" s="228">
        <v>212</v>
      </c>
      <c r="AX202" s="228">
        <v>388</v>
      </c>
      <c r="AY202" s="228">
        <v>-176</v>
      </c>
      <c r="AZ202" s="229">
        <v>-0.45340000000000003</v>
      </c>
      <c r="BA202" s="228">
        <v>12</v>
      </c>
      <c r="BB202" s="228">
        <v>15</v>
      </c>
      <c r="BC202" s="228">
        <v>-3</v>
      </c>
      <c r="BD202" s="229">
        <v>-0.2165</v>
      </c>
      <c r="BE202" s="228">
        <v>3</v>
      </c>
      <c r="BF202" s="228">
        <v>4</v>
      </c>
      <c r="BG202" s="228">
        <v>-1</v>
      </c>
      <c r="BH202" s="229">
        <v>-0.28000000000000003</v>
      </c>
      <c r="BI202" s="228">
        <v>825</v>
      </c>
      <c r="BJ202" s="230">
        <v>1669</v>
      </c>
      <c r="BK202" s="228">
        <v>-844</v>
      </c>
      <c r="BL202" s="229">
        <v>-0.50570000000000004</v>
      </c>
      <c r="BM202" s="228">
        <v>320</v>
      </c>
      <c r="BN202" s="228">
        <v>532</v>
      </c>
      <c r="BO202" s="228">
        <v>-212</v>
      </c>
      <c r="BP202" s="229">
        <v>-0.39929999999999999</v>
      </c>
      <c r="BQ202" s="230">
        <v>1372</v>
      </c>
      <c r="BR202" s="230">
        <v>2608</v>
      </c>
      <c r="BS202" s="230">
        <v>-1237</v>
      </c>
      <c r="BT202" s="229">
        <v>-0.47410000000000002</v>
      </c>
      <c r="BU202" s="230">
        <v>384715</v>
      </c>
      <c r="BV202" s="230">
        <v>454716</v>
      </c>
      <c r="BW202" s="230">
        <v>-70001</v>
      </c>
      <c r="BX202" s="229">
        <v>-0.15390000000000001</v>
      </c>
      <c r="BY202" s="230">
        <v>3667</v>
      </c>
      <c r="BZ202" s="230">
        <v>3704</v>
      </c>
      <c r="CA202" s="228">
        <v>-37</v>
      </c>
      <c r="CB202" s="229">
        <v>-0.01</v>
      </c>
      <c r="CC202" s="230">
        <v>3552</v>
      </c>
      <c r="CD202" s="230">
        <v>3592</v>
      </c>
      <c r="CE202" s="228">
        <v>-40</v>
      </c>
      <c r="CF202" s="229">
        <v>-1.12E-2</v>
      </c>
      <c r="CG202" s="228">
        <v>110</v>
      </c>
      <c r="CH202" s="228">
        <v>109</v>
      </c>
      <c r="CI202" s="228">
        <v>1</v>
      </c>
      <c r="CJ202" s="229">
        <v>1.03E-2</v>
      </c>
      <c r="CK202" s="228">
        <v>5</v>
      </c>
      <c r="CL202" s="228">
        <v>3</v>
      </c>
      <c r="CM202" s="228">
        <v>2</v>
      </c>
      <c r="CN202" s="229">
        <v>0.69569999999999999</v>
      </c>
      <c r="CO202" s="228">
        <v>963</v>
      </c>
      <c r="CP202" s="228">
        <v>952</v>
      </c>
      <c r="CQ202" s="228">
        <v>11</v>
      </c>
      <c r="CR202" s="229">
        <v>1.17E-2</v>
      </c>
      <c r="CS202" s="228">
        <v>740</v>
      </c>
      <c r="CT202" s="228">
        <v>710</v>
      </c>
      <c r="CU202" s="228">
        <v>30</v>
      </c>
      <c r="CV202" s="229">
        <v>4.2500000000000003E-2</v>
      </c>
      <c r="CW202" s="230">
        <v>5370</v>
      </c>
      <c r="CX202" s="230">
        <v>5365</v>
      </c>
      <c r="CY202" s="228">
        <v>4</v>
      </c>
      <c r="CZ202" s="229">
        <v>8.0000000000000004E-4</v>
      </c>
      <c r="DA202" s="228">
        <v>26.9</v>
      </c>
      <c r="DB202" s="228">
        <v>27.82</v>
      </c>
      <c r="DC202" s="228">
        <v>-0.92</v>
      </c>
      <c r="DD202" s="228">
        <v>-0.92</v>
      </c>
      <c r="DE202" s="228">
        <v>41.87</v>
      </c>
      <c r="DF202" s="228">
        <v>41.98</v>
      </c>
      <c r="DG202" s="228">
        <v>-14.97</v>
      </c>
      <c r="DH202" s="228">
        <v>-0.11</v>
      </c>
      <c r="DI202" s="228">
        <v>26.63</v>
      </c>
      <c r="DJ202" s="228">
        <v>27.41</v>
      </c>
      <c r="DK202" s="228">
        <v>-0.78</v>
      </c>
      <c r="DL202" s="228">
        <v>-0.78</v>
      </c>
      <c r="DM202" s="228">
        <v>27.61</v>
      </c>
      <c r="DN202" s="228">
        <v>29.11</v>
      </c>
      <c r="DO202" s="228">
        <v>-1.5</v>
      </c>
      <c r="DP202" s="228">
        <v>-1.5</v>
      </c>
      <c r="DQ202" s="228">
        <v>0.77</v>
      </c>
      <c r="DR202" s="228">
        <v>0.75</v>
      </c>
      <c r="DS202" s="228">
        <v>0.02</v>
      </c>
      <c r="DT202" s="229">
        <v>2.6700000000000002E-2</v>
      </c>
      <c r="DU202" s="231">
        <v>4300</v>
      </c>
      <c r="DV202" s="231">
        <v>4200</v>
      </c>
      <c r="DW202" s="228">
        <v>0.39</v>
      </c>
      <c r="DX202" s="228">
        <v>0.32</v>
      </c>
      <c r="DY202" s="228">
        <v>7.0000000000000007E-2</v>
      </c>
      <c r="DZ202" s="229">
        <v>0.21879999999999999</v>
      </c>
      <c r="EA202" s="229">
        <v>3.15E-2</v>
      </c>
      <c r="EB202" s="230">
        <v>260200</v>
      </c>
      <c r="EC202" s="229">
        <v>5.7999999999999996E-3</v>
      </c>
      <c r="ED202" s="229">
        <v>3.15E-2</v>
      </c>
      <c r="EE202" s="228">
        <v>27.06</v>
      </c>
      <c r="EF202" s="229">
        <v>6.3E-3</v>
      </c>
      <c r="EG202" s="230">
        <v>187606</v>
      </c>
      <c r="EH202" s="230">
        <v>220876</v>
      </c>
      <c r="EI202" s="229">
        <v>-0.15060000000000001</v>
      </c>
      <c r="EJ202" s="229">
        <v>0.48759999999999998</v>
      </c>
      <c r="EK202" s="228">
        <v>864.13</v>
      </c>
      <c r="EL202" s="228">
        <v>315.75</v>
      </c>
      <c r="EM202" s="228">
        <v>226.12</v>
      </c>
      <c r="EN202" s="228">
        <v>329.88</v>
      </c>
      <c r="EO202" s="231">
        <v>1405.99</v>
      </c>
      <c r="EP202" s="231">
        <v>2677.8</v>
      </c>
      <c r="EQ202" s="231">
        <v>-1271.81</v>
      </c>
      <c r="ER202" s="229">
        <v>-0.47489999999999999</v>
      </c>
      <c r="ES202" s="228">
        <v>995.78</v>
      </c>
      <c r="ET202" s="228">
        <v>715.22</v>
      </c>
      <c r="EU202" s="231">
        <v>3667.73</v>
      </c>
      <c r="EV202" s="231">
        <v>33590487</v>
      </c>
      <c r="EW202" s="231">
        <v>5378.73</v>
      </c>
      <c r="EX202" s="231">
        <v>5357.66</v>
      </c>
      <c r="EY202" s="228">
        <v>21.07</v>
      </c>
      <c r="EZ202" s="229">
        <v>3.8999999999999998E-3</v>
      </c>
      <c r="FA202" s="229">
        <v>0.3705</v>
      </c>
      <c r="FB202" s="227" t="s">
        <v>556</v>
      </c>
      <c r="FC202">
        <f t="shared" si="4"/>
        <v>0</v>
      </c>
    </row>
    <row r="203" spans="1:159" ht="17.25" thickBot="1" x14ac:dyDescent="0.3">
      <c r="A203" s="226">
        <v>46023</v>
      </c>
      <c r="B203" s="227" t="s">
        <v>162</v>
      </c>
      <c r="C203" s="227" t="s">
        <v>300</v>
      </c>
      <c r="D203" s="228">
        <v>175</v>
      </c>
      <c r="E203" s="228">
        <v>26</v>
      </c>
      <c r="F203" s="231">
        <v>3812.5</v>
      </c>
      <c r="G203" s="231">
        <v>3742.2</v>
      </c>
      <c r="H203" s="228">
        <v>70.3</v>
      </c>
      <c r="I203" s="229">
        <v>1.8800000000000001E-2</v>
      </c>
      <c r="J203" s="231">
        <v>3794.4</v>
      </c>
      <c r="K203" s="231">
        <v>3719.8</v>
      </c>
      <c r="L203" s="228">
        <v>74.599999999999994</v>
      </c>
      <c r="M203" s="229">
        <v>2.01E-2</v>
      </c>
      <c r="N203" s="231">
        <v>3812.5</v>
      </c>
      <c r="O203" s="231">
        <v>3742.2</v>
      </c>
      <c r="P203" s="228">
        <v>70.3</v>
      </c>
      <c r="Q203" s="229">
        <v>1.8800000000000001E-2</v>
      </c>
      <c r="R203" s="231">
        <v>3829.1</v>
      </c>
      <c r="S203" s="231">
        <v>3760.7</v>
      </c>
      <c r="T203" s="228">
        <v>68.400000000000006</v>
      </c>
      <c r="U203" s="229">
        <v>1.8200000000000001E-2</v>
      </c>
      <c r="V203" s="231">
        <v>3844.5</v>
      </c>
      <c r="W203" s="231">
        <v>3771.8</v>
      </c>
      <c r="X203" s="228">
        <v>72.7</v>
      </c>
      <c r="Y203" s="229">
        <v>1.9300000000000001E-2</v>
      </c>
      <c r="Z203" s="228">
        <v>18.100000000000001</v>
      </c>
      <c r="AA203" s="228">
        <v>22.4</v>
      </c>
      <c r="AB203" s="228">
        <v>-4.3</v>
      </c>
      <c r="AC203" s="229">
        <v>4.7999999999999996E-3</v>
      </c>
      <c r="AD203" s="228">
        <v>18.100000000000001</v>
      </c>
      <c r="AE203" s="228">
        <v>22.4</v>
      </c>
      <c r="AF203" s="228">
        <v>-4.3</v>
      </c>
      <c r="AG203" s="229">
        <v>4.7999999999999996E-3</v>
      </c>
      <c r="AH203" s="228">
        <v>34.700000000000003</v>
      </c>
      <c r="AI203" s="228">
        <v>40.9</v>
      </c>
      <c r="AJ203" s="228">
        <v>-6.2</v>
      </c>
      <c r="AK203" s="229">
        <v>9.1000000000000004E-3</v>
      </c>
      <c r="AL203" s="228">
        <v>50.1</v>
      </c>
      <c r="AM203" s="228">
        <v>52</v>
      </c>
      <c r="AN203" s="228">
        <v>-1.9</v>
      </c>
      <c r="AO203" s="229">
        <v>1.32E-2</v>
      </c>
      <c r="AP203" s="231">
        <v>3790.08</v>
      </c>
      <c r="AQ203" s="231">
        <v>3805.79</v>
      </c>
      <c r="AR203" s="228">
        <v>0</v>
      </c>
      <c r="AS203" s="228">
        <v>390</v>
      </c>
      <c r="AT203" s="228">
        <v>316</v>
      </c>
      <c r="AU203" s="228">
        <v>74</v>
      </c>
      <c r="AV203" s="229">
        <v>0.23269999999999999</v>
      </c>
      <c r="AW203" s="228">
        <v>373</v>
      </c>
      <c r="AX203" s="228">
        <v>304</v>
      </c>
      <c r="AY203" s="228">
        <v>69</v>
      </c>
      <c r="AZ203" s="229">
        <v>0.2261</v>
      </c>
      <c r="BA203" s="228">
        <v>15</v>
      </c>
      <c r="BB203" s="228">
        <v>9</v>
      </c>
      <c r="BC203" s="228">
        <v>6</v>
      </c>
      <c r="BD203" s="229">
        <v>0.60709999999999997</v>
      </c>
      <c r="BE203" s="228">
        <v>2</v>
      </c>
      <c r="BF203" s="228">
        <v>3</v>
      </c>
      <c r="BG203" s="228">
        <v>-1</v>
      </c>
      <c r="BH203" s="229">
        <v>-0.32500000000000001</v>
      </c>
      <c r="BI203" s="230">
        <v>2554</v>
      </c>
      <c r="BJ203" s="228">
        <v>995</v>
      </c>
      <c r="BK203" s="230">
        <v>1559</v>
      </c>
      <c r="BL203" s="229">
        <v>1.5662</v>
      </c>
      <c r="BM203" s="228">
        <v>732</v>
      </c>
      <c r="BN203" s="228">
        <v>378</v>
      </c>
      <c r="BO203" s="228">
        <v>354</v>
      </c>
      <c r="BP203" s="229">
        <v>0.93559999999999999</v>
      </c>
      <c r="BQ203" s="230">
        <v>3676</v>
      </c>
      <c r="BR203" s="230">
        <v>1690</v>
      </c>
      <c r="BS203" s="230">
        <v>1986</v>
      </c>
      <c r="BT203" s="229">
        <v>1.1756</v>
      </c>
      <c r="BU203" s="230">
        <v>639127</v>
      </c>
      <c r="BV203" s="230">
        <v>619505</v>
      </c>
      <c r="BW203" s="230">
        <v>19622</v>
      </c>
      <c r="BX203" s="229">
        <v>3.1699999999999999E-2</v>
      </c>
      <c r="BY203" s="230">
        <v>2958</v>
      </c>
      <c r="BZ203" s="230">
        <v>2925</v>
      </c>
      <c r="CA203" s="228">
        <v>34</v>
      </c>
      <c r="CB203" s="229">
        <v>1.15E-2</v>
      </c>
      <c r="CC203" s="230">
        <v>2933</v>
      </c>
      <c r="CD203" s="230">
        <v>2901</v>
      </c>
      <c r="CE203" s="228">
        <v>32</v>
      </c>
      <c r="CF203" s="229">
        <v>1.11E-2</v>
      </c>
      <c r="CG203" s="228">
        <v>24</v>
      </c>
      <c r="CH203" s="228">
        <v>23</v>
      </c>
      <c r="CI203" s="228">
        <v>1</v>
      </c>
      <c r="CJ203" s="229">
        <v>4.99E-2</v>
      </c>
      <c r="CK203" s="228">
        <v>1</v>
      </c>
      <c r="CL203" s="228">
        <v>1</v>
      </c>
      <c r="CM203" s="228">
        <v>0</v>
      </c>
      <c r="CN203" s="229">
        <v>0.17649999999999999</v>
      </c>
      <c r="CO203" s="228">
        <v>529</v>
      </c>
      <c r="CP203" s="228">
        <v>423</v>
      </c>
      <c r="CQ203" s="228">
        <v>106</v>
      </c>
      <c r="CR203" s="229">
        <v>0.25130000000000002</v>
      </c>
      <c r="CS203" s="228">
        <v>387</v>
      </c>
      <c r="CT203" s="228">
        <v>289</v>
      </c>
      <c r="CU203" s="228">
        <v>98</v>
      </c>
      <c r="CV203" s="229">
        <v>0.33839999999999998</v>
      </c>
      <c r="CW203" s="230">
        <v>3874</v>
      </c>
      <c r="CX203" s="230">
        <v>3636</v>
      </c>
      <c r="CY203" s="228">
        <v>238</v>
      </c>
      <c r="CZ203" s="229">
        <v>6.5299999999999997E-2</v>
      </c>
      <c r="DA203" s="228">
        <v>22.47</v>
      </c>
      <c r="DB203" s="228">
        <v>23.28</v>
      </c>
      <c r="DC203" s="228">
        <v>-0.81</v>
      </c>
      <c r="DD203" s="228">
        <v>-0.81</v>
      </c>
      <c r="DE203" s="228">
        <v>29.67</v>
      </c>
      <c r="DF203" s="228">
        <v>29.62</v>
      </c>
      <c r="DG203" s="228">
        <v>-7.2</v>
      </c>
      <c r="DH203" s="228">
        <v>0.05</v>
      </c>
      <c r="DI203" s="228">
        <v>22.2</v>
      </c>
      <c r="DJ203" s="228">
        <v>22.94</v>
      </c>
      <c r="DK203" s="228">
        <v>-0.74</v>
      </c>
      <c r="DL203" s="228">
        <v>-0.74</v>
      </c>
      <c r="DM203" s="228">
        <v>23.41</v>
      </c>
      <c r="DN203" s="228">
        <v>24.19</v>
      </c>
      <c r="DO203" s="228">
        <v>-0.78</v>
      </c>
      <c r="DP203" s="228">
        <v>-0.78</v>
      </c>
      <c r="DQ203" s="228">
        <v>0.73</v>
      </c>
      <c r="DR203" s="228">
        <v>0.68</v>
      </c>
      <c r="DS203" s="228">
        <v>0.05</v>
      </c>
      <c r="DT203" s="229">
        <v>7.3499999999999996E-2</v>
      </c>
      <c r="DU203" s="231">
        <v>3800</v>
      </c>
      <c r="DV203" s="231">
        <v>3600</v>
      </c>
      <c r="DW203" s="228">
        <v>0.28999999999999998</v>
      </c>
      <c r="DX203" s="228">
        <v>0.38</v>
      </c>
      <c r="DY203" s="228">
        <v>-0.09</v>
      </c>
      <c r="DZ203" s="229">
        <v>-0.23680000000000001</v>
      </c>
      <c r="EA203" s="229">
        <v>8.5000000000000006E-3</v>
      </c>
      <c r="EB203" s="230">
        <v>62650</v>
      </c>
      <c r="EC203" s="229">
        <v>4.4000000000000003E-3</v>
      </c>
      <c r="ED203" s="229">
        <v>8.5000000000000006E-3</v>
      </c>
      <c r="EE203" s="228">
        <v>15.71</v>
      </c>
      <c r="EF203" s="229">
        <v>4.1000000000000003E-3</v>
      </c>
      <c r="EG203" s="230">
        <v>188529</v>
      </c>
      <c r="EH203" s="230">
        <v>339257</v>
      </c>
      <c r="EI203" s="229">
        <v>-0.44429999999999997</v>
      </c>
      <c r="EJ203" s="229">
        <v>0.29499999999999998</v>
      </c>
      <c r="EK203" s="231">
        <v>2615.98</v>
      </c>
      <c r="EL203" s="228">
        <v>714.41</v>
      </c>
      <c r="EM203" s="228">
        <v>387.29</v>
      </c>
      <c r="EN203" s="228">
        <v>204.64</v>
      </c>
      <c r="EO203" s="231">
        <v>3717.68</v>
      </c>
      <c r="EP203" s="231">
        <v>1670.84</v>
      </c>
      <c r="EQ203" s="231">
        <v>2046.84</v>
      </c>
      <c r="ER203" s="229">
        <v>1.2250000000000001</v>
      </c>
      <c r="ES203" s="228">
        <v>526.45000000000005</v>
      </c>
      <c r="ET203" s="228">
        <v>365.39</v>
      </c>
      <c r="EU203" s="231">
        <v>2958.36</v>
      </c>
      <c r="EV203" s="231">
        <v>31634588</v>
      </c>
      <c r="EW203" s="231">
        <v>3850.2</v>
      </c>
      <c r="EX203" s="231">
        <v>3556.41</v>
      </c>
      <c r="EY203" s="228">
        <v>293.79000000000002</v>
      </c>
      <c r="EZ203" s="229">
        <v>8.2600000000000007E-2</v>
      </c>
      <c r="FA203" s="229">
        <v>0.32119999999999999</v>
      </c>
      <c r="FB203" s="227" t="s">
        <v>555</v>
      </c>
      <c r="FC203">
        <f t="shared" si="4"/>
        <v>0</v>
      </c>
    </row>
    <row r="204" spans="1:159" ht="17.25" thickBot="1" x14ac:dyDescent="0.3">
      <c r="A204" s="226">
        <v>46023</v>
      </c>
      <c r="B204" s="227" t="s">
        <v>157</v>
      </c>
      <c r="C204" s="227" t="s">
        <v>302</v>
      </c>
      <c r="D204" s="228">
        <v>50</v>
      </c>
      <c r="E204" s="228">
        <v>26</v>
      </c>
      <c r="F204" s="231">
        <v>11949</v>
      </c>
      <c r="G204" s="231">
        <v>11857</v>
      </c>
      <c r="H204" s="228">
        <v>92</v>
      </c>
      <c r="I204" s="229">
        <v>7.7999999999999996E-3</v>
      </c>
      <c r="J204" s="231">
        <v>11901</v>
      </c>
      <c r="K204" s="231">
        <v>11784</v>
      </c>
      <c r="L204" s="228">
        <v>117</v>
      </c>
      <c r="M204" s="229">
        <v>9.9000000000000008E-3</v>
      </c>
      <c r="N204" s="231">
        <v>11949</v>
      </c>
      <c r="O204" s="231">
        <v>11857</v>
      </c>
      <c r="P204" s="228">
        <v>92</v>
      </c>
      <c r="Q204" s="229">
        <v>7.7999999999999996E-3</v>
      </c>
      <c r="R204" s="231">
        <v>12018</v>
      </c>
      <c r="S204" s="231">
        <v>11927</v>
      </c>
      <c r="T204" s="228">
        <v>91</v>
      </c>
      <c r="U204" s="229">
        <v>7.6E-3</v>
      </c>
      <c r="V204" s="231">
        <v>12098</v>
      </c>
      <c r="W204" s="231">
        <v>12000</v>
      </c>
      <c r="X204" s="228">
        <v>98</v>
      </c>
      <c r="Y204" s="229">
        <v>8.2000000000000007E-3</v>
      </c>
      <c r="Z204" s="228">
        <v>48</v>
      </c>
      <c r="AA204" s="228">
        <v>73</v>
      </c>
      <c r="AB204" s="228">
        <v>-25</v>
      </c>
      <c r="AC204" s="229">
        <v>4.0000000000000001E-3</v>
      </c>
      <c r="AD204" s="228">
        <v>48</v>
      </c>
      <c r="AE204" s="228">
        <v>73</v>
      </c>
      <c r="AF204" s="228">
        <v>-25</v>
      </c>
      <c r="AG204" s="229">
        <v>4.0000000000000001E-3</v>
      </c>
      <c r="AH204" s="228">
        <v>117</v>
      </c>
      <c r="AI204" s="228">
        <v>143</v>
      </c>
      <c r="AJ204" s="228">
        <v>-26</v>
      </c>
      <c r="AK204" s="229">
        <v>9.7999999999999997E-3</v>
      </c>
      <c r="AL204" s="228">
        <v>197</v>
      </c>
      <c r="AM204" s="228">
        <v>216</v>
      </c>
      <c r="AN204" s="228">
        <v>-19</v>
      </c>
      <c r="AO204" s="229">
        <v>1.66E-2</v>
      </c>
      <c r="AP204" s="231">
        <v>11922.14</v>
      </c>
      <c r="AQ204" s="231">
        <v>11992.28</v>
      </c>
      <c r="AR204" s="228">
        <v>0</v>
      </c>
      <c r="AS204" s="228">
        <v>207</v>
      </c>
      <c r="AT204" s="228">
        <v>212</v>
      </c>
      <c r="AU204" s="228">
        <v>-5</v>
      </c>
      <c r="AV204" s="229">
        <v>-2.23E-2</v>
      </c>
      <c r="AW204" s="228">
        <v>198</v>
      </c>
      <c r="AX204" s="228">
        <v>205</v>
      </c>
      <c r="AY204" s="228">
        <v>-7</v>
      </c>
      <c r="AZ204" s="229">
        <v>-3.2599999999999997E-2</v>
      </c>
      <c r="BA204" s="228">
        <v>7</v>
      </c>
      <c r="BB204" s="228">
        <v>7</v>
      </c>
      <c r="BC204" s="228">
        <v>0</v>
      </c>
      <c r="BD204" s="229">
        <v>2.7E-2</v>
      </c>
      <c r="BE204" s="228">
        <v>2</v>
      </c>
      <c r="BF204" s="228">
        <v>0</v>
      </c>
      <c r="BG204" s="228">
        <v>2</v>
      </c>
      <c r="BH204" s="229">
        <v>7.5</v>
      </c>
      <c r="BI204" s="228">
        <v>757</v>
      </c>
      <c r="BJ204" s="228">
        <v>523</v>
      </c>
      <c r="BK204" s="228">
        <v>235</v>
      </c>
      <c r="BL204" s="229">
        <v>0.44929999999999998</v>
      </c>
      <c r="BM204" s="228">
        <v>245</v>
      </c>
      <c r="BN204" s="228">
        <v>230</v>
      </c>
      <c r="BO204" s="228">
        <v>15</v>
      </c>
      <c r="BP204" s="229">
        <v>6.5600000000000006E-2</v>
      </c>
      <c r="BQ204" s="230">
        <v>1210</v>
      </c>
      <c r="BR204" s="228">
        <v>965</v>
      </c>
      <c r="BS204" s="228">
        <v>245</v>
      </c>
      <c r="BT204" s="229">
        <v>0.25409999999999999</v>
      </c>
      <c r="BU204" s="230">
        <v>78138</v>
      </c>
      <c r="BV204" s="230">
        <v>177644</v>
      </c>
      <c r="BW204" s="230">
        <v>-99506</v>
      </c>
      <c r="BX204" s="229">
        <v>-0.56010000000000004</v>
      </c>
      <c r="BY204" s="230">
        <v>3630</v>
      </c>
      <c r="BZ204" s="230">
        <v>3670</v>
      </c>
      <c r="CA204" s="228">
        <v>-40</v>
      </c>
      <c r="CB204" s="229">
        <v>-1.0999999999999999E-2</v>
      </c>
      <c r="CC204" s="230">
        <v>3597</v>
      </c>
      <c r="CD204" s="230">
        <v>3640</v>
      </c>
      <c r="CE204" s="228">
        <v>-44</v>
      </c>
      <c r="CF204" s="229">
        <v>-1.2E-2</v>
      </c>
      <c r="CG204" s="228">
        <v>31</v>
      </c>
      <c r="CH204" s="228">
        <v>29</v>
      </c>
      <c r="CI204" s="228">
        <v>1</v>
      </c>
      <c r="CJ204" s="229">
        <v>4.6699999999999998E-2</v>
      </c>
      <c r="CK204" s="228">
        <v>2</v>
      </c>
      <c r="CL204" s="228">
        <v>0</v>
      </c>
      <c r="CM204" s="228">
        <v>2</v>
      </c>
      <c r="CN204" s="229">
        <v>11.333299999999999</v>
      </c>
      <c r="CO204" s="228">
        <v>433</v>
      </c>
      <c r="CP204" s="228">
        <v>352</v>
      </c>
      <c r="CQ204" s="228">
        <v>81</v>
      </c>
      <c r="CR204" s="229">
        <v>0.22969999999999999</v>
      </c>
      <c r="CS204" s="228">
        <v>300</v>
      </c>
      <c r="CT204" s="228">
        <v>259</v>
      </c>
      <c r="CU204" s="228">
        <v>41</v>
      </c>
      <c r="CV204" s="229">
        <v>0.157</v>
      </c>
      <c r="CW204" s="230">
        <v>4362</v>
      </c>
      <c r="CX204" s="230">
        <v>4281</v>
      </c>
      <c r="CY204" s="228">
        <v>81</v>
      </c>
      <c r="CZ204" s="229">
        <v>1.9E-2</v>
      </c>
      <c r="DA204" s="228">
        <v>17.72</v>
      </c>
      <c r="DB204" s="228">
        <v>17.61</v>
      </c>
      <c r="DC204" s="228">
        <v>0.11</v>
      </c>
      <c r="DD204" s="228">
        <v>0.11</v>
      </c>
      <c r="DE204" s="228">
        <v>23.65</v>
      </c>
      <c r="DF204" s="228">
        <v>23.68</v>
      </c>
      <c r="DG204" s="228">
        <v>-5.93</v>
      </c>
      <c r="DH204" s="228">
        <v>-0.03</v>
      </c>
      <c r="DI204" s="228">
        <v>17.649999999999999</v>
      </c>
      <c r="DJ204" s="228">
        <v>17.5</v>
      </c>
      <c r="DK204" s="228">
        <v>0.15</v>
      </c>
      <c r="DL204" s="228">
        <v>0.15</v>
      </c>
      <c r="DM204" s="228">
        <v>17.920000000000002</v>
      </c>
      <c r="DN204" s="228">
        <v>17.850000000000001</v>
      </c>
      <c r="DO204" s="228">
        <v>7.0000000000000007E-2</v>
      </c>
      <c r="DP204" s="228">
        <v>7.0000000000000007E-2</v>
      </c>
      <c r="DQ204" s="228">
        <v>0.69</v>
      </c>
      <c r="DR204" s="228">
        <v>0.74</v>
      </c>
      <c r="DS204" s="228">
        <v>-0.05</v>
      </c>
      <c r="DT204" s="229">
        <v>-6.7599999999999993E-2</v>
      </c>
      <c r="DU204" s="231">
        <v>12000</v>
      </c>
      <c r="DV204" s="231">
        <v>11500</v>
      </c>
      <c r="DW204" s="228">
        <v>0.32</v>
      </c>
      <c r="DX204" s="228">
        <v>0.44</v>
      </c>
      <c r="DY204" s="228">
        <v>-0.12</v>
      </c>
      <c r="DZ204" s="229">
        <v>-0.2727</v>
      </c>
      <c r="EA204" s="229">
        <v>9.1000000000000004E-3</v>
      </c>
      <c r="EB204" s="230">
        <v>24750</v>
      </c>
      <c r="EC204" s="229">
        <v>5.7999999999999996E-3</v>
      </c>
      <c r="ED204" s="229">
        <v>9.1000000000000004E-3</v>
      </c>
      <c r="EE204" s="228">
        <v>70.14</v>
      </c>
      <c r="EF204" s="229">
        <v>5.8999999999999999E-3</v>
      </c>
      <c r="EG204" s="230">
        <v>30450</v>
      </c>
      <c r="EH204" s="230">
        <v>119754</v>
      </c>
      <c r="EI204" s="229">
        <v>-0.74570000000000003</v>
      </c>
      <c r="EJ204" s="229">
        <v>0.38969999999999999</v>
      </c>
      <c r="EK204" s="228">
        <v>786.92</v>
      </c>
      <c r="EL204" s="228">
        <v>240.76</v>
      </c>
      <c r="EM204" s="228">
        <v>206.92</v>
      </c>
      <c r="EN204" s="228">
        <v>179.98</v>
      </c>
      <c r="EO204" s="231">
        <v>1234.5999999999999</v>
      </c>
      <c r="EP204" s="228">
        <v>972.98</v>
      </c>
      <c r="EQ204" s="228">
        <v>261.62</v>
      </c>
      <c r="ER204" s="229">
        <v>0.26889999999999997</v>
      </c>
      <c r="ES204" s="228">
        <v>445.85</v>
      </c>
      <c r="ET204" s="228">
        <v>289.86</v>
      </c>
      <c r="EU204" s="231">
        <v>3629.71</v>
      </c>
      <c r="EV204" s="231">
        <v>11955674</v>
      </c>
      <c r="EW204" s="231">
        <v>4365.43</v>
      </c>
      <c r="EX204" s="231">
        <v>4252.8</v>
      </c>
      <c r="EY204" s="228">
        <v>112.63</v>
      </c>
      <c r="EZ204" s="229">
        <v>2.6499999999999999E-2</v>
      </c>
      <c r="FA204" s="229">
        <v>0.30530000000000002</v>
      </c>
      <c r="FB204" s="227" t="s">
        <v>556</v>
      </c>
      <c r="FC204">
        <f t="shared" si="4"/>
        <v>0</v>
      </c>
    </row>
    <row r="205" spans="1:159" ht="17.25" thickBot="1" x14ac:dyDescent="0.3">
      <c r="A205" s="226">
        <v>46023</v>
      </c>
      <c r="B205" s="227" t="s">
        <v>172</v>
      </c>
      <c r="C205" s="227" t="s">
        <v>593</v>
      </c>
      <c r="D205" s="228">
        <v>4425</v>
      </c>
      <c r="E205" s="228">
        <v>26</v>
      </c>
      <c r="F205" s="228">
        <v>154.5</v>
      </c>
      <c r="G205" s="228">
        <v>154.81</v>
      </c>
      <c r="H205" s="228">
        <v>-0.31</v>
      </c>
      <c r="I205" s="229">
        <v>-2E-3</v>
      </c>
      <c r="J205" s="228">
        <v>153.58000000000001</v>
      </c>
      <c r="K205" s="228">
        <v>153.76</v>
      </c>
      <c r="L205" s="228">
        <v>-0.18</v>
      </c>
      <c r="M205" s="229">
        <v>-1.1999999999999999E-3</v>
      </c>
      <c r="N205" s="228">
        <v>154.5</v>
      </c>
      <c r="O205" s="228">
        <v>154.81</v>
      </c>
      <c r="P205" s="228">
        <v>-0.31</v>
      </c>
      <c r="Q205" s="229">
        <v>-2E-3</v>
      </c>
      <c r="R205" s="228">
        <v>155.44</v>
      </c>
      <c r="S205" s="228">
        <v>155.66999999999999</v>
      </c>
      <c r="T205" s="228">
        <v>-0.23</v>
      </c>
      <c r="U205" s="229">
        <v>-1.5E-3</v>
      </c>
      <c r="V205" s="228">
        <v>155.69999999999999</v>
      </c>
      <c r="W205" s="228">
        <v>157.5</v>
      </c>
      <c r="X205" s="228">
        <v>-1.8</v>
      </c>
      <c r="Y205" s="229">
        <v>-1.14E-2</v>
      </c>
      <c r="Z205" s="228">
        <v>0.92</v>
      </c>
      <c r="AA205" s="228">
        <v>1.05</v>
      </c>
      <c r="AB205" s="228">
        <v>-0.13</v>
      </c>
      <c r="AC205" s="229">
        <v>6.0000000000000001E-3</v>
      </c>
      <c r="AD205" s="228">
        <v>0.92</v>
      </c>
      <c r="AE205" s="228">
        <v>1.05</v>
      </c>
      <c r="AF205" s="228">
        <v>-0.13</v>
      </c>
      <c r="AG205" s="229">
        <v>6.0000000000000001E-3</v>
      </c>
      <c r="AH205" s="228">
        <v>1.86</v>
      </c>
      <c r="AI205" s="228">
        <v>1.91</v>
      </c>
      <c r="AJ205" s="228">
        <v>-0.05</v>
      </c>
      <c r="AK205" s="229">
        <v>1.21E-2</v>
      </c>
      <c r="AL205" s="228">
        <v>2.12</v>
      </c>
      <c r="AM205" s="228">
        <v>3.74</v>
      </c>
      <c r="AN205" s="228">
        <v>-1.62</v>
      </c>
      <c r="AO205" s="229">
        <v>1.38E-2</v>
      </c>
      <c r="AP205" s="228">
        <v>154.51</v>
      </c>
      <c r="AQ205" s="228">
        <v>155.51</v>
      </c>
      <c r="AR205" s="228">
        <v>0</v>
      </c>
      <c r="AS205" s="228">
        <v>187</v>
      </c>
      <c r="AT205" s="228">
        <v>353</v>
      </c>
      <c r="AU205" s="228">
        <v>-166</v>
      </c>
      <c r="AV205" s="229">
        <v>-0.4713</v>
      </c>
      <c r="AW205" s="228">
        <v>178</v>
      </c>
      <c r="AX205" s="228">
        <v>344</v>
      </c>
      <c r="AY205" s="228">
        <v>-166</v>
      </c>
      <c r="AZ205" s="229">
        <v>-0.4839</v>
      </c>
      <c r="BA205" s="228">
        <v>9</v>
      </c>
      <c r="BB205" s="228">
        <v>9</v>
      </c>
      <c r="BC205" s="228">
        <v>0</v>
      </c>
      <c r="BD205" s="229">
        <v>-7.9000000000000008E-3</v>
      </c>
      <c r="BE205" s="228">
        <v>0</v>
      </c>
      <c r="BF205" s="228">
        <v>0</v>
      </c>
      <c r="BG205" s="228">
        <v>0</v>
      </c>
      <c r="BH205" s="229">
        <v>1</v>
      </c>
      <c r="BI205" s="228">
        <v>226</v>
      </c>
      <c r="BJ205" s="228">
        <v>480</v>
      </c>
      <c r="BK205" s="228">
        <v>-254</v>
      </c>
      <c r="BL205" s="229">
        <v>-0.52980000000000005</v>
      </c>
      <c r="BM205" s="228">
        <v>117</v>
      </c>
      <c r="BN205" s="228">
        <v>354</v>
      </c>
      <c r="BO205" s="228">
        <v>-237</v>
      </c>
      <c r="BP205" s="229">
        <v>-0.67069999999999996</v>
      </c>
      <c r="BQ205" s="228">
        <v>529</v>
      </c>
      <c r="BR205" s="230">
        <v>1187</v>
      </c>
      <c r="BS205" s="228">
        <v>-658</v>
      </c>
      <c r="BT205" s="229">
        <v>-0.5544</v>
      </c>
      <c r="BU205" s="230">
        <v>6317355</v>
      </c>
      <c r="BV205" s="230">
        <v>12176157</v>
      </c>
      <c r="BW205" s="230">
        <v>-5858802</v>
      </c>
      <c r="BX205" s="229">
        <v>-0.48120000000000002</v>
      </c>
      <c r="BY205" s="230">
        <v>1233</v>
      </c>
      <c r="BZ205" s="230">
        <v>1202</v>
      </c>
      <c r="CA205" s="228">
        <v>31</v>
      </c>
      <c r="CB205" s="229">
        <v>2.58E-2</v>
      </c>
      <c r="CC205" s="230">
        <v>1210</v>
      </c>
      <c r="CD205" s="230">
        <v>1183</v>
      </c>
      <c r="CE205" s="228">
        <v>28</v>
      </c>
      <c r="CF205" s="229">
        <v>2.3400000000000001E-2</v>
      </c>
      <c r="CG205" s="228">
        <v>23</v>
      </c>
      <c r="CH205" s="228">
        <v>19</v>
      </c>
      <c r="CI205" s="228">
        <v>3</v>
      </c>
      <c r="CJ205" s="229">
        <v>0.15790000000000001</v>
      </c>
      <c r="CK205" s="228">
        <v>0</v>
      </c>
      <c r="CL205" s="228">
        <v>0</v>
      </c>
      <c r="CM205" s="228">
        <v>0</v>
      </c>
      <c r="CN205" s="229">
        <v>2</v>
      </c>
      <c r="CO205" s="228">
        <v>265</v>
      </c>
      <c r="CP205" s="228">
        <v>238</v>
      </c>
      <c r="CQ205" s="228">
        <v>28</v>
      </c>
      <c r="CR205" s="229">
        <v>0.1159</v>
      </c>
      <c r="CS205" s="228">
        <v>279</v>
      </c>
      <c r="CT205" s="228">
        <v>265</v>
      </c>
      <c r="CU205" s="228">
        <v>14</v>
      </c>
      <c r="CV205" s="229">
        <v>5.3499999999999999E-2</v>
      </c>
      <c r="CW205" s="230">
        <v>1777</v>
      </c>
      <c r="CX205" s="230">
        <v>1705</v>
      </c>
      <c r="CY205" s="228">
        <v>73</v>
      </c>
      <c r="CZ205" s="229">
        <v>4.2700000000000002E-2</v>
      </c>
      <c r="DA205" s="228">
        <v>26.75</v>
      </c>
      <c r="DB205" s="228">
        <v>27.04</v>
      </c>
      <c r="DC205" s="228">
        <v>-0.28999999999999998</v>
      </c>
      <c r="DD205" s="228">
        <v>-0.28999999999999998</v>
      </c>
      <c r="DE205" s="228">
        <v>39.9</v>
      </c>
      <c r="DF205" s="228">
        <v>40</v>
      </c>
      <c r="DG205" s="228">
        <v>-13.15</v>
      </c>
      <c r="DH205" s="228">
        <v>-0.1</v>
      </c>
      <c r="DI205" s="228">
        <v>26.76</v>
      </c>
      <c r="DJ205" s="228">
        <v>27.19</v>
      </c>
      <c r="DK205" s="228">
        <v>-0.43</v>
      </c>
      <c r="DL205" s="228">
        <v>-0.43</v>
      </c>
      <c r="DM205" s="228">
        <v>26.71</v>
      </c>
      <c r="DN205" s="228">
        <v>26.83</v>
      </c>
      <c r="DO205" s="228">
        <v>-0.12</v>
      </c>
      <c r="DP205" s="228">
        <v>-0.12</v>
      </c>
      <c r="DQ205" s="228">
        <v>1.05</v>
      </c>
      <c r="DR205" s="228">
        <v>1.1100000000000001</v>
      </c>
      <c r="DS205" s="228">
        <v>-0.06</v>
      </c>
      <c r="DT205" s="229">
        <v>-5.4100000000000002E-2</v>
      </c>
      <c r="DU205" s="228">
        <v>155</v>
      </c>
      <c r="DV205" s="228">
        <v>150</v>
      </c>
      <c r="DW205" s="228">
        <v>0.52</v>
      </c>
      <c r="DX205" s="228">
        <v>0.74</v>
      </c>
      <c r="DY205" s="228">
        <v>-0.22</v>
      </c>
      <c r="DZ205" s="229">
        <v>-0.29730000000000001</v>
      </c>
      <c r="EA205" s="229">
        <v>1.8599999999999998E-2</v>
      </c>
      <c r="EB205" s="230">
        <v>1269975</v>
      </c>
      <c r="EC205" s="229">
        <v>6.1000000000000004E-3</v>
      </c>
      <c r="ED205" s="229">
        <v>1.8599999999999998E-2</v>
      </c>
      <c r="EE205" s="228">
        <v>1</v>
      </c>
      <c r="EF205" s="229">
        <v>6.4999999999999997E-3</v>
      </c>
      <c r="EG205" s="230">
        <v>2308255</v>
      </c>
      <c r="EH205" s="230">
        <v>5060634</v>
      </c>
      <c r="EI205" s="229">
        <v>-0.54390000000000005</v>
      </c>
      <c r="EJ205" s="229">
        <v>0.3654</v>
      </c>
      <c r="EK205" s="228">
        <v>235.99</v>
      </c>
      <c r="EL205" s="228">
        <v>115.54</v>
      </c>
      <c r="EM205" s="228">
        <v>186.64</v>
      </c>
      <c r="EN205" s="228">
        <v>111.1</v>
      </c>
      <c r="EO205" s="228">
        <v>538.17999999999995</v>
      </c>
      <c r="EP205" s="231">
        <v>1205.1600000000001</v>
      </c>
      <c r="EQ205" s="228">
        <v>-666.98</v>
      </c>
      <c r="ER205" s="229">
        <v>-0.5534</v>
      </c>
      <c r="ES205" s="228">
        <v>271.97000000000003</v>
      </c>
      <c r="ET205" s="228">
        <v>267.97000000000003</v>
      </c>
      <c r="EU205" s="231">
        <v>1233.4000000000001</v>
      </c>
      <c r="EV205" s="231">
        <v>289041713</v>
      </c>
      <c r="EW205" s="231">
        <v>1773.34</v>
      </c>
      <c r="EX205" s="231">
        <v>1702.72</v>
      </c>
      <c r="EY205" s="228">
        <v>70.62</v>
      </c>
      <c r="EZ205" s="229">
        <v>4.1500000000000002E-2</v>
      </c>
      <c r="FA205" s="229">
        <v>0.39800000000000002</v>
      </c>
      <c r="FB205" s="227" t="s">
        <v>567</v>
      </c>
      <c r="FC205">
        <f t="shared" si="4"/>
        <v>0</v>
      </c>
    </row>
    <row r="206" spans="1:159" ht="17.25" thickBot="1" x14ac:dyDescent="0.3">
      <c r="A206" s="226">
        <v>46023</v>
      </c>
      <c r="B206" s="227" t="s">
        <v>168</v>
      </c>
      <c r="C206" s="227" t="s">
        <v>569</v>
      </c>
      <c r="D206" s="228">
        <v>400</v>
      </c>
      <c r="E206" s="228">
        <v>26</v>
      </c>
      <c r="F206" s="231">
        <v>1409.5</v>
      </c>
      <c r="G206" s="231">
        <v>1449</v>
      </c>
      <c r="H206" s="228">
        <v>-39.5</v>
      </c>
      <c r="I206" s="229">
        <v>-2.7300000000000001E-2</v>
      </c>
      <c r="J206" s="231">
        <v>1404.2</v>
      </c>
      <c r="K206" s="231">
        <v>1443.7</v>
      </c>
      <c r="L206" s="228">
        <v>-39.5</v>
      </c>
      <c r="M206" s="229">
        <v>-2.7400000000000001E-2</v>
      </c>
      <c r="N206" s="231">
        <v>1409.5</v>
      </c>
      <c r="O206" s="231">
        <v>1449</v>
      </c>
      <c r="P206" s="228">
        <v>-39.5</v>
      </c>
      <c r="Q206" s="229">
        <v>-2.7300000000000001E-2</v>
      </c>
      <c r="R206" s="231">
        <v>1418.8</v>
      </c>
      <c r="S206" s="231">
        <v>1457.1</v>
      </c>
      <c r="T206" s="228">
        <v>-38.299999999999997</v>
      </c>
      <c r="U206" s="229">
        <v>-2.63E-2</v>
      </c>
      <c r="V206" s="231">
        <v>1426.3</v>
      </c>
      <c r="W206" s="231">
        <v>1466</v>
      </c>
      <c r="X206" s="228">
        <v>-39.700000000000003</v>
      </c>
      <c r="Y206" s="229">
        <v>-2.7099999999999999E-2</v>
      </c>
      <c r="Z206" s="228">
        <v>5.3</v>
      </c>
      <c r="AA206" s="228">
        <v>5.3</v>
      </c>
      <c r="AB206" s="228">
        <v>0</v>
      </c>
      <c r="AC206" s="229">
        <v>3.8E-3</v>
      </c>
      <c r="AD206" s="228">
        <v>5.3</v>
      </c>
      <c r="AE206" s="228">
        <v>5.3</v>
      </c>
      <c r="AF206" s="228">
        <v>0</v>
      </c>
      <c r="AG206" s="229">
        <v>3.8E-3</v>
      </c>
      <c r="AH206" s="228">
        <v>14.6</v>
      </c>
      <c r="AI206" s="228">
        <v>13.4</v>
      </c>
      <c r="AJ206" s="228">
        <v>1.2</v>
      </c>
      <c r="AK206" s="229">
        <v>1.04E-2</v>
      </c>
      <c r="AL206" s="228">
        <v>22.1</v>
      </c>
      <c r="AM206" s="228">
        <v>22.3</v>
      </c>
      <c r="AN206" s="228">
        <v>-0.2</v>
      </c>
      <c r="AO206" s="229">
        <v>1.5699999999999999E-2</v>
      </c>
      <c r="AP206" s="231">
        <v>1417.98</v>
      </c>
      <c r="AQ206" s="231">
        <v>1424.61</v>
      </c>
      <c r="AR206" s="228">
        <v>0</v>
      </c>
      <c r="AS206" s="228">
        <v>286</v>
      </c>
      <c r="AT206" s="228">
        <v>263</v>
      </c>
      <c r="AU206" s="228">
        <v>23</v>
      </c>
      <c r="AV206" s="229">
        <v>8.72E-2</v>
      </c>
      <c r="AW206" s="228">
        <v>275</v>
      </c>
      <c r="AX206" s="228">
        <v>257</v>
      </c>
      <c r="AY206" s="228">
        <v>18</v>
      </c>
      <c r="AZ206" s="229">
        <v>6.93E-2</v>
      </c>
      <c r="BA206" s="228">
        <v>10</v>
      </c>
      <c r="BB206" s="228">
        <v>6</v>
      </c>
      <c r="BC206" s="228">
        <v>4</v>
      </c>
      <c r="BD206" s="229">
        <v>0.71289999999999998</v>
      </c>
      <c r="BE206" s="228">
        <v>1</v>
      </c>
      <c r="BF206" s="228">
        <v>0</v>
      </c>
      <c r="BG206" s="228">
        <v>1</v>
      </c>
      <c r="BH206" s="229">
        <v>3.8</v>
      </c>
      <c r="BI206" s="228">
        <v>950</v>
      </c>
      <c r="BJ206" s="228">
        <v>625</v>
      </c>
      <c r="BK206" s="228">
        <v>325</v>
      </c>
      <c r="BL206" s="229">
        <v>0.52080000000000004</v>
      </c>
      <c r="BM206" s="228">
        <v>718</v>
      </c>
      <c r="BN206" s="228">
        <v>208</v>
      </c>
      <c r="BO206" s="228">
        <v>510</v>
      </c>
      <c r="BP206" s="229">
        <v>2.4504999999999999</v>
      </c>
      <c r="BQ206" s="230">
        <v>1954</v>
      </c>
      <c r="BR206" s="230">
        <v>1096</v>
      </c>
      <c r="BS206" s="228">
        <v>858</v>
      </c>
      <c r="BT206" s="229">
        <v>0.78280000000000005</v>
      </c>
      <c r="BU206" s="230">
        <v>1076470</v>
      </c>
      <c r="BV206" s="230">
        <v>790291</v>
      </c>
      <c r="BW206" s="230">
        <v>286179</v>
      </c>
      <c r="BX206" s="229">
        <v>0.36209999999999998</v>
      </c>
      <c r="BY206" s="230">
        <v>1734</v>
      </c>
      <c r="BZ206" s="230">
        <v>1692</v>
      </c>
      <c r="CA206" s="228">
        <v>42</v>
      </c>
      <c r="CB206" s="229">
        <v>2.5000000000000001E-2</v>
      </c>
      <c r="CC206" s="230">
        <v>1716</v>
      </c>
      <c r="CD206" s="230">
        <v>1677</v>
      </c>
      <c r="CE206" s="228">
        <v>39</v>
      </c>
      <c r="CF206" s="229">
        <v>2.3099999999999999E-2</v>
      </c>
      <c r="CG206" s="228">
        <v>17</v>
      </c>
      <c r="CH206" s="228">
        <v>15</v>
      </c>
      <c r="CI206" s="228">
        <v>2</v>
      </c>
      <c r="CJ206" s="229">
        <v>0.1583</v>
      </c>
      <c r="CK206" s="228">
        <v>1</v>
      </c>
      <c r="CL206" s="228">
        <v>0</v>
      </c>
      <c r="CM206" s="228">
        <v>1</v>
      </c>
      <c r="CN206" s="229">
        <v>22</v>
      </c>
      <c r="CO206" s="228">
        <v>449</v>
      </c>
      <c r="CP206" s="228">
        <v>322</v>
      </c>
      <c r="CQ206" s="228">
        <v>127</v>
      </c>
      <c r="CR206" s="229">
        <v>0.39439999999999997</v>
      </c>
      <c r="CS206" s="228">
        <v>351</v>
      </c>
      <c r="CT206" s="228">
        <v>251</v>
      </c>
      <c r="CU206" s="228">
        <v>100</v>
      </c>
      <c r="CV206" s="229">
        <v>0.3982</v>
      </c>
      <c r="CW206" s="230">
        <v>2534</v>
      </c>
      <c r="CX206" s="230">
        <v>2265</v>
      </c>
      <c r="CY206" s="228">
        <v>269</v>
      </c>
      <c r="CZ206" s="229">
        <v>0.11890000000000001</v>
      </c>
      <c r="DA206" s="228">
        <v>22.97</v>
      </c>
      <c r="DB206" s="228">
        <v>21.3</v>
      </c>
      <c r="DC206" s="228">
        <v>1.67</v>
      </c>
      <c r="DD206" s="228">
        <v>1.67</v>
      </c>
      <c r="DE206" s="228">
        <v>27.11</v>
      </c>
      <c r="DF206" s="228">
        <v>26.91</v>
      </c>
      <c r="DG206" s="228">
        <v>-4.1399999999999997</v>
      </c>
      <c r="DH206" s="228">
        <v>0.2</v>
      </c>
      <c r="DI206" s="228">
        <v>22.9</v>
      </c>
      <c r="DJ206" s="228">
        <v>21.25</v>
      </c>
      <c r="DK206" s="228">
        <v>1.65</v>
      </c>
      <c r="DL206" s="228">
        <v>1.65</v>
      </c>
      <c r="DM206" s="228">
        <v>23.06</v>
      </c>
      <c r="DN206" s="228">
        <v>21.45</v>
      </c>
      <c r="DO206" s="228">
        <v>1.61</v>
      </c>
      <c r="DP206" s="228">
        <v>1.61</v>
      </c>
      <c r="DQ206" s="228">
        <v>0.78</v>
      </c>
      <c r="DR206" s="228">
        <v>0.78</v>
      </c>
      <c r="DS206" s="228">
        <v>0</v>
      </c>
      <c r="DT206" s="229">
        <v>0</v>
      </c>
      <c r="DU206" s="231">
        <v>1440</v>
      </c>
      <c r="DV206" s="231">
        <v>1300</v>
      </c>
      <c r="DW206" s="228">
        <v>0.76</v>
      </c>
      <c r="DX206" s="228">
        <v>0.33</v>
      </c>
      <c r="DY206" s="228">
        <v>0.43</v>
      </c>
      <c r="DZ206" s="229">
        <v>1.3029999999999999</v>
      </c>
      <c r="EA206" s="229">
        <v>1.0500000000000001E-2</v>
      </c>
      <c r="EB206" s="230">
        <v>104000</v>
      </c>
      <c r="EC206" s="229">
        <v>6.6E-3</v>
      </c>
      <c r="ED206" s="229">
        <v>1.0500000000000001E-2</v>
      </c>
      <c r="EE206" s="228">
        <v>6.63</v>
      </c>
      <c r="EF206" s="229">
        <v>4.7000000000000002E-3</v>
      </c>
      <c r="EG206" s="230">
        <v>546655</v>
      </c>
      <c r="EH206" s="230">
        <v>475074</v>
      </c>
      <c r="EI206" s="229">
        <v>0.1507</v>
      </c>
      <c r="EJ206" s="229">
        <v>0.50780000000000003</v>
      </c>
      <c r="EK206" s="228">
        <v>994.56</v>
      </c>
      <c r="EL206" s="228">
        <v>705.55</v>
      </c>
      <c r="EM206" s="228">
        <v>287.91000000000003</v>
      </c>
      <c r="EN206" s="228">
        <v>138.94</v>
      </c>
      <c r="EO206" s="231">
        <v>1988.03</v>
      </c>
      <c r="EP206" s="231">
        <v>1137.58</v>
      </c>
      <c r="EQ206" s="228">
        <v>850.44</v>
      </c>
      <c r="ER206" s="229">
        <v>0.74760000000000004</v>
      </c>
      <c r="ES206" s="228">
        <v>465.58</v>
      </c>
      <c r="ET206" s="228">
        <v>346.97</v>
      </c>
      <c r="EU206" s="231">
        <v>1734.21</v>
      </c>
      <c r="EV206" s="231">
        <v>37091426</v>
      </c>
      <c r="EW206" s="231">
        <v>2546.77</v>
      </c>
      <c r="EX206" s="231">
        <v>2328.06</v>
      </c>
      <c r="EY206" s="228">
        <v>218.71</v>
      </c>
      <c r="EZ206" s="229">
        <v>9.3899999999999997E-2</v>
      </c>
      <c r="FA206" s="229">
        <v>0.48470000000000002</v>
      </c>
      <c r="FB206" s="227" t="s">
        <v>567</v>
      </c>
      <c r="FC206">
        <f t="shared" si="4"/>
        <v>0</v>
      </c>
    </row>
    <row r="207" spans="1:159" ht="17.25" thickBot="1" x14ac:dyDescent="0.3">
      <c r="A207" s="226">
        <v>46023</v>
      </c>
      <c r="B207" s="227" t="s">
        <v>162</v>
      </c>
      <c r="C207" s="227" t="s">
        <v>674</v>
      </c>
      <c r="D207" s="228">
        <v>550</v>
      </c>
      <c r="E207" s="228">
        <v>26</v>
      </c>
      <c r="F207" s="231">
        <v>1296</v>
      </c>
      <c r="G207" s="231">
        <v>1289.3</v>
      </c>
      <c r="H207" s="228">
        <v>6.7</v>
      </c>
      <c r="I207" s="229">
        <v>5.1999999999999998E-3</v>
      </c>
      <c r="J207" s="231">
        <v>1286.7</v>
      </c>
      <c r="K207" s="231">
        <v>1285.8</v>
      </c>
      <c r="L207" s="228">
        <v>0.9</v>
      </c>
      <c r="M207" s="229">
        <v>6.9999999999999999E-4</v>
      </c>
      <c r="N207" s="231">
        <v>1296</v>
      </c>
      <c r="O207" s="231">
        <v>1289.3</v>
      </c>
      <c r="P207" s="228">
        <v>6.7</v>
      </c>
      <c r="Q207" s="229">
        <v>5.1999999999999998E-3</v>
      </c>
      <c r="R207" s="231">
        <v>1302.8</v>
      </c>
      <c r="S207" s="231">
        <v>1295.5</v>
      </c>
      <c r="T207" s="228">
        <v>7.3</v>
      </c>
      <c r="U207" s="229">
        <v>5.5999999999999999E-3</v>
      </c>
      <c r="V207" s="228">
        <v>0</v>
      </c>
      <c r="W207" s="228">
        <v>0</v>
      </c>
      <c r="X207" s="228">
        <v>0</v>
      </c>
      <c r="Y207" s="229">
        <v>0</v>
      </c>
      <c r="Z207" s="228">
        <v>9.3000000000000007</v>
      </c>
      <c r="AA207" s="228">
        <v>3.5</v>
      </c>
      <c r="AB207" s="228">
        <v>5.8</v>
      </c>
      <c r="AC207" s="229">
        <v>7.1999999999999998E-3</v>
      </c>
      <c r="AD207" s="228">
        <v>9.3000000000000007</v>
      </c>
      <c r="AE207" s="228">
        <v>3.5</v>
      </c>
      <c r="AF207" s="228">
        <v>5.8</v>
      </c>
      <c r="AG207" s="229">
        <v>7.1999999999999998E-3</v>
      </c>
      <c r="AH207" s="228">
        <v>16.100000000000001</v>
      </c>
      <c r="AI207" s="228">
        <v>9.6999999999999993</v>
      </c>
      <c r="AJ207" s="228">
        <v>6.4</v>
      </c>
      <c r="AK207" s="229">
        <v>1.2500000000000001E-2</v>
      </c>
      <c r="AL207" s="228">
        <v>0</v>
      </c>
      <c r="AM207" s="228">
        <v>0</v>
      </c>
      <c r="AN207" s="228">
        <v>0</v>
      </c>
      <c r="AO207" s="229">
        <v>0</v>
      </c>
      <c r="AP207" s="231">
        <v>1297.75</v>
      </c>
      <c r="AQ207" s="231">
        <v>1302.7</v>
      </c>
      <c r="AR207" s="228">
        <v>0</v>
      </c>
      <c r="AS207" s="228">
        <v>89</v>
      </c>
      <c r="AT207" s="228">
        <v>82</v>
      </c>
      <c r="AU207" s="228">
        <v>7</v>
      </c>
      <c r="AV207" s="229">
        <v>8.4199999999999997E-2</v>
      </c>
      <c r="AW207" s="228">
        <v>87</v>
      </c>
      <c r="AX207" s="228">
        <v>81</v>
      </c>
      <c r="AY207" s="228">
        <v>5</v>
      </c>
      <c r="AZ207" s="229">
        <v>6.7400000000000002E-2</v>
      </c>
      <c r="BA207" s="228">
        <v>2</v>
      </c>
      <c r="BB207" s="228">
        <v>1</v>
      </c>
      <c r="BC207" s="228">
        <v>1</v>
      </c>
      <c r="BD207" s="229">
        <v>2.2222</v>
      </c>
      <c r="BE207" s="228">
        <v>0</v>
      </c>
      <c r="BF207" s="228">
        <v>0</v>
      </c>
      <c r="BG207" s="228">
        <v>0</v>
      </c>
      <c r="BH207" s="229">
        <v>0</v>
      </c>
      <c r="BI207" s="228">
        <v>99</v>
      </c>
      <c r="BJ207" s="228">
        <v>51</v>
      </c>
      <c r="BK207" s="228">
        <v>48</v>
      </c>
      <c r="BL207" s="229">
        <v>0.93440000000000001</v>
      </c>
      <c r="BM207" s="228">
        <v>25</v>
      </c>
      <c r="BN207" s="228">
        <v>48</v>
      </c>
      <c r="BO207" s="228">
        <v>-23</v>
      </c>
      <c r="BP207" s="229">
        <v>-0.4763</v>
      </c>
      <c r="BQ207" s="228">
        <v>213</v>
      </c>
      <c r="BR207" s="228">
        <v>181</v>
      </c>
      <c r="BS207" s="228">
        <v>32</v>
      </c>
      <c r="BT207" s="229">
        <v>0.17510000000000001</v>
      </c>
      <c r="BU207" s="230">
        <v>312960</v>
      </c>
      <c r="BV207" s="230">
        <v>529723</v>
      </c>
      <c r="BW207" s="230">
        <v>-216763</v>
      </c>
      <c r="BX207" s="229">
        <v>-0.40920000000000001</v>
      </c>
      <c r="BY207" s="228">
        <v>543</v>
      </c>
      <c r="BZ207" s="228">
        <v>536</v>
      </c>
      <c r="CA207" s="228">
        <v>7</v>
      </c>
      <c r="CB207" s="229">
        <v>1.3599999999999999E-2</v>
      </c>
      <c r="CC207" s="228">
        <v>541</v>
      </c>
      <c r="CD207" s="228">
        <v>534</v>
      </c>
      <c r="CE207" s="228">
        <v>7</v>
      </c>
      <c r="CF207" s="229">
        <v>1.26E-2</v>
      </c>
      <c r="CG207" s="228">
        <v>3</v>
      </c>
      <c r="CH207" s="228">
        <v>2</v>
      </c>
      <c r="CI207" s="228">
        <v>1</v>
      </c>
      <c r="CJ207" s="229">
        <v>0.2581</v>
      </c>
      <c r="CK207" s="228">
        <v>0</v>
      </c>
      <c r="CL207" s="228">
        <v>0</v>
      </c>
      <c r="CM207" s="228">
        <v>0</v>
      </c>
      <c r="CN207" s="229">
        <v>0</v>
      </c>
      <c r="CO207" s="228">
        <v>58</v>
      </c>
      <c r="CP207" s="228">
        <v>35</v>
      </c>
      <c r="CQ207" s="228">
        <v>24</v>
      </c>
      <c r="CR207" s="229">
        <v>0.67900000000000005</v>
      </c>
      <c r="CS207" s="228">
        <v>44</v>
      </c>
      <c r="CT207" s="228">
        <v>34</v>
      </c>
      <c r="CU207" s="228">
        <v>9</v>
      </c>
      <c r="CV207" s="229">
        <v>0.27439999999999998</v>
      </c>
      <c r="CW207" s="228">
        <v>645</v>
      </c>
      <c r="CX207" s="228">
        <v>605</v>
      </c>
      <c r="CY207" s="228">
        <v>40</v>
      </c>
      <c r="CZ207" s="229">
        <v>6.6400000000000001E-2</v>
      </c>
      <c r="DA207" s="228">
        <v>24.59</v>
      </c>
      <c r="DB207" s="228">
        <v>24.89</v>
      </c>
      <c r="DC207" s="228">
        <v>-0.3</v>
      </c>
      <c r="DD207" s="228">
        <v>-0.3</v>
      </c>
      <c r="DE207" s="228">
        <v>39.94</v>
      </c>
      <c r="DF207" s="228">
        <v>40.03</v>
      </c>
      <c r="DG207" s="228">
        <v>-15.35</v>
      </c>
      <c r="DH207" s="228">
        <v>-0.09</v>
      </c>
      <c r="DI207" s="228">
        <v>24.64</v>
      </c>
      <c r="DJ207" s="228">
        <v>24.67</v>
      </c>
      <c r="DK207" s="228">
        <v>-0.03</v>
      </c>
      <c r="DL207" s="228">
        <v>-0.03</v>
      </c>
      <c r="DM207" s="228">
        <v>24.4</v>
      </c>
      <c r="DN207" s="228">
        <v>25.13</v>
      </c>
      <c r="DO207" s="228">
        <v>-0.73</v>
      </c>
      <c r="DP207" s="228">
        <v>-0.73</v>
      </c>
      <c r="DQ207" s="228">
        <v>0.75</v>
      </c>
      <c r="DR207" s="228">
        <v>0.99</v>
      </c>
      <c r="DS207" s="228">
        <v>-0.24</v>
      </c>
      <c r="DT207" s="229">
        <v>-0.2424</v>
      </c>
      <c r="DU207" s="231">
        <v>1300</v>
      </c>
      <c r="DV207" s="231">
        <v>1300</v>
      </c>
      <c r="DW207" s="228">
        <v>0.25</v>
      </c>
      <c r="DX207" s="228">
        <v>0.94</v>
      </c>
      <c r="DY207" s="228">
        <v>-0.69</v>
      </c>
      <c r="DZ207" s="229">
        <v>-0.73399999999999999</v>
      </c>
      <c r="EA207" s="229">
        <v>5.1000000000000004E-3</v>
      </c>
      <c r="EB207" s="230">
        <v>17050</v>
      </c>
      <c r="EC207" s="229">
        <v>5.1999999999999998E-3</v>
      </c>
      <c r="ED207" s="229">
        <v>5.1000000000000004E-3</v>
      </c>
      <c r="EE207" s="228">
        <v>4.95</v>
      </c>
      <c r="EF207" s="229">
        <v>3.8E-3</v>
      </c>
      <c r="EG207" s="230">
        <v>182463</v>
      </c>
      <c r="EH207" s="230">
        <v>292469</v>
      </c>
      <c r="EI207" s="229">
        <v>-0.37609999999999999</v>
      </c>
      <c r="EJ207" s="229">
        <v>0.58299999999999996</v>
      </c>
      <c r="EK207" s="228">
        <v>102.37</v>
      </c>
      <c r="EL207" s="228">
        <v>25.25</v>
      </c>
      <c r="EM207" s="228">
        <v>89.16</v>
      </c>
      <c r="EN207" s="228">
        <v>40.24</v>
      </c>
      <c r="EO207" s="228">
        <v>216.78</v>
      </c>
      <c r="EP207" s="228">
        <v>180.88</v>
      </c>
      <c r="EQ207" s="228">
        <v>35.9</v>
      </c>
      <c r="ER207" s="229">
        <v>0.19850000000000001</v>
      </c>
      <c r="ES207" s="228">
        <v>59.05</v>
      </c>
      <c r="ET207" s="228">
        <v>42.33</v>
      </c>
      <c r="EU207" s="228">
        <v>543.38</v>
      </c>
      <c r="EV207" s="231">
        <v>27292222</v>
      </c>
      <c r="EW207" s="228">
        <v>644.76</v>
      </c>
      <c r="EX207" s="228">
        <v>601.34</v>
      </c>
      <c r="EY207" s="228">
        <v>43.42</v>
      </c>
      <c r="EZ207" s="229">
        <v>7.22E-2</v>
      </c>
      <c r="FA207" s="229">
        <v>0.18240000000000001</v>
      </c>
      <c r="FB207" s="227" t="s">
        <v>555</v>
      </c>
      <c r="FC207">
        <f t="shared" si="4"/>
        <v>0</v>
      </c>
    </row>
    <row r="208" spans="1:159" ht="17.25" thickBot="1" x14ac:dyDescent="0.3">
      <c r="A208" s="226">
        <v>46023</v>
      </c>
      <c r="B208" s="227" t="s">
        <v>498</v>
      </c>
      <c r="C208" s="227" t="s">
        <v>303</v>
      </c>
      <c r="D208" s="228">
        <v>1355</v>
      </c>
      <c r="E208" s="228">
        <v>26</v>
      </c>
      <c r="F208" s="228">
        <v>810.6</v>
      </c>
      <c r="G208" s="228">
        <v>799.45</v>
      </c>
      <c r="H208" s="228">
        <v>11.15</v>
      </c>
      <c r="I208" s="229">
        <v>1.3899999999999999E-2</v>
      </c>
      <c r="J208" s="228">
        <v>805.35</v>
      </c>
      <c r="K208" s="228">
        <v>795.15</v>
      </c>
      <c r="L208" s="228">
        <v>10.199999999999999</v>
      </c>
      <c r="M208" s="229">
        <v>1.2800000000000001E-2</v>
      </c>
      <c r="N208" s="228">
        <v>810.6</v>
      </c>
      <c r="O208" s="228">
        <v>799.45</v>
      </c>
      <c r="P208" s="228">
        <v>11.15</v>
      </c>
      <c r="Q208" s="229">
        <v>1.3899999999999999E-2</v>
      </c>
      <c r="R208" s="228">
        <v>815.25</v>
      </c>
      <c r="S208" s="228">
        <v>803.9</v>
      </c>
      <c r="T208" s="228">
        <v>11.35</v>
      </c>
      <c r="U208" s="229">
        <v>1.41E-2</v>
      </c>
      <c r="V208" s="228">
        <v>818.4</v>
      </c>
      <c r="W208" s="228">
        <v>807.2</v>
      </c>
      <c r="X208" s="228">
        <v>11.2</v>
      </c>
      <c r="Y208" s="229">
        <v>1.3899999999999999E-2</v>
      </c>
      <c r="Z208" s="228">
        <v>5.25</v>
      </c>
      <c r="AA208" s="228">
        <v>4.3</v>
      </c>
      <c r="AB208" s="228">
        <v>0.95</v>
      </c>
      <c r="AC208" s="229">
        <v>6.4999999999999997E-3</v>
      </c>
      <c r="AD208" s="228">
        <v>5.25</v>
      </c>
      <c r="AE208" s="228">
        <v>4.3</v>
      </c>
      <c r="AF208" s="228">
        <v>0.95</v>
      </c>
      <c r="AG208" s="229">
        <v>6.4999999999999997E-3</v>
      </c>
      <c r="AH208" s="228">
        <v>9.9</v>
      </c>
      <c r="AI208" s="228">
        <v>8.75</v>
      </c>
      <c r="AJ208" s="228">
        <v>1.1499999999999999</v>
      </c>
      <c r="AK208" s="229">
        <v>1.23E-2</v>
      </c>
      <c r="AL208" s="228">
        <v>13.05</v>
      </c>
      <c r="AM208" s="228">
        <v>12.05</v>
      </c>
      <c r="AN208" s="228">
        <v>1</v>
      </c>
      <c r="AO208" s="229">
        <v>1.6199999999999999E-2</v>
      </c>
      <c r="AP208" s="228">
        <v>801.45</v>
      </c>
      <c r="AQ208" s="228">
        <v>807.46</v>
      </c>
      <c r="AR208" s="228">
        <v>0</v>
      </c>
      <c r="AS208" s="228">
        <v>530</v>
      </c>
      <c r="AT208" s="228">
        <v>628</v>
      </c>
      <c r="AU208" s="228">
        <v>-98</v>
      </c>
      <c r="AV208" s="229">
        <v>-0.15590000000000001</v>
      </c>
      <c r="AW208" s="228">
        <v>510</v>
      </c>
      <c r="AX208" s="228">
        <v>600</v>
      </c>
      <c r="AY208" s="228">
        <v>-89</v>
      </c>
      <c r="AZ208" s="229">
        <v>-0.14910000000000001</v>
      </c>
      <c r="BA208" s="228">
        <v>17</v>
      </c>
      <c r="BB208" s="228">
        <v>26</v>
      </c>
      <c r="BC208" s="228">
        <v>-9</v>
      </c>
      <c r="BD208" s="229">
        <v>-0.35980000000000001</v>
      </c>
      <c r="BE208" s="228">
        <v>3</v>
      </c>
      <c r="BF208" s="228">
        <v>2</v>
      </c>
      <c r="BG208" s="228">
        <v>1</v>
      </c>
      <c r="BH208" s="229">
        <v>0.36359999999999998</v>
      </c>
      <c r="BI208" s="230">
        <v>1471</v>
      </c>
      <c r="BJ208" s="230">
        <v>2362</v>
      </c>
      <c r="BK208" s="228">
        <v>-891</v>
      </c>
      <c r="BL208" s="229">
        <v>-0.37709999999999999</v>
      </c>
      <c r="BM208" s="228">
        <v>650</v>
      </c>
      <c r="BN208" s="228">
        <v>825</v>
      </c>
      <c r="BO208" s="228">
        <v>-175</v>
      </c>
      <c r="BP208" s="229">
        <v>-0.21229999999999999</v>
      </c>
      <c r="BQ208" s="230">
        <v>2651</v>
      </c>
      <c r="BR208" s="230">
        <v>3815</v>
      </c>
      <c r="BS208" s="230">
        <v>-1164</v>
      </c>
      <c r="BT208" s="229">
        <v>-0.30499999999999999</v>
      </c>
      <c r="BU208" s="230">
        <v>2790632</v>
      </c>
      <c r="BV208" s="230">
        <v>3124421</v>
      </c>
      <c r="BW208" s="230">
        <v>-333789</v>
      </c>
      <c r="BX208" s="229">
        <v>-0.10680000000000001</v>
      </c>
      <c r="BY208" s="230">
        <v>3298</v>
      </c>
      <c r="BZ208" s="230">
        <v>3274</v>
      </c>
      <c r="CA208" s="228">
        <v>23</v>
      </c>
      <c r="CB208" s="229">
        <v>7.1000000000000004E-3</v>
      </c>
      <c r="CC208" s="230">
        <v>3266</v>
      </c>
      <c r="CD208" s="230">
        <v>3246</v>
      </c>
      <c r="CE208" s="228">
        <v>20</v>
      </c>
      <c r="CF208" s="229">
        <v>6.1000000000000004E-3</v>
      </c>
      <c r="CG208" s="228">
        <v>28</v>
      </c>
      <c r="CH208" s="228">
        <v>27</v>
      </c>
      <c r="CI208" s="228">
        <v>1</v>
      </c>
      <c r="CJ208" s="229">
        <v>4.1300000000000003E-2</v>
      </c>
      <c r="CK208" s="228">
        <v>4</v>
      </c>
      <c r="CL208" s="228">
        <v>2</v>
      </c>
      <c r="CM208" s="228">
        <v>2</v>
      </c>
      <c r="CN208" s="229">
        <v>1.5</v>
      </c>
      <c r="CO208" s="228">
        <v>771</v>
      </c>
      <c r="CP208" s="228">
        <v>769</v>
      </c>
      <c r="CQ208" s="228">
        <v>2</v>
      </c>
      <c r="CR208" s="229">
        <v>2E-3</v>
      </c>
      <c r="CS208" s="228">
        <v>551</v>
      </c>
      <c r="CT208" s="228">
        <v>499</v>
      </c>
      <c r="CU208" s="228">
        <v>52</v>
      </c>
      <c r="CV208" s="229">
        <v>0.1046</v>
      </c>
      <c r="CW208" s="230">
        <v>4620</v>
      </c>
      <c r="CX208" s="230">
        <v>4543</v>
      </c>
      <c r="CY208" s="228">
        <v>77</v>
      </c>
      <c r="CZ208" s="229">
        <v>1.6899999999999998E-2</v>
      </c>
      <c r="DA208" s="228">
        <v>23.48</v>
      </c>
      <c r="DB208" s="228">
        <v>24.25</v>
      </c>
      <c r="DC208" s="228">
        <v>-0.77</v>
      </c>
      <c r="DD208" s="228">
        <v>-0.77</v>
      </c>
      <c r="DE208" s="228">
        <v>31.87</v>
      </c>
      <c r="DF208" s="228">
        <v>31.9</v>
      </c>
      <c r="DG208" s="228">
        <v>-8.39</v>
      </c>
      <c r="DH208" s="228">
        <v>-0.03</v>
      </c>
      <c r="DI208" s="228">
        <v>23.25</v>
      </c>
      <c r="DJ208" s="228">
        <v>24.15</v>
      </c>
      <c r="DK208" s="228">
        <v>-0.9</v>
      </c>
      <c r="DL208" s="228">
        <v>-0.9</v>
      </c>
      <c r="DM208" s="228">
        <v>24.01</v>
      </c>
      <c r="DN208" s="228">
        <v>24.57</v>
      </c>
      <c r="DO208" s="228">
        <v>-0.56000000000000005</v>
      </c>
      <c r="DP208" s="228">
        <v>-0.56000000000000005</v>
      </c>
      <c r="DQ208" s="228">
        <v>0.71</v>
      </c>
      <c r="DR208" s="228">
        <v>0.65</v>
      </c>
      <c r="DS208" s="228">
        <v>0.06</v>
      </c>
      <c r="DT208" s="229">
        <v>9.2299999999999993E-2</v>
      </c>
      <c r="DU208" s="228">
        <v>800</v>
      </c>
      <c r="DV208" s="228">
        <v>800</v>
      </c>
      <c r="DW208" s="228">
        <v>0.44</v>
      </c>
      <c r="DX208" s="228">
        <v>0.35</v>
      </c>
      <c r="DY208" s="228">
        <v>0.09</v>
      </c>
      <c r="DZ208" s="229">
        <v>0.2571</v>
      </c>
      <c r="EA208" s="229">
        <v>9.5999999999999992E-3</v>
      </c>
      <c r="EB208" s="230">
        <v>346880</v>
      </c>
      <c r="EC208" s="229">
        <v>5.7000000000000002E-3</v>
      </c>
      <c r="ED208" s="229">
        <v>9.5999999999999992E-3</v>
      </c>
      <c r="EE208" s="228">
        <v>6.01</v>
      </c>
      <c r="EF208" s="229">
        <v>7.4999999999999997E-3</v>
      </c>
      <c r="EG208" s="230">
        <v>1491235</v>
      </c>
      <c r="EH208" s="230">
        <v>1514906</v>
      </c>
      <c r="EI208" s="229">
        <v>-1.5599999999999999E-2</v>
      </c>
      <c r="EJ208" s="229">
        <v>0.53439999999999999</v>
      </c>
      <c r="EK208" s="231">
        <v>1511.36</v>
      </c>
      <c r="EL208" s="228">
        <v>634.69000000000005</v>
      </c>
      <c r="EM208" s="228">
        <v>524.47</v>
      </c>
      <c r="EN208" s="228">
        <v>143.61000000000001</v>
      </c>
      <c r="EO208" s="231">
        <v>2670.52</v>
      </c>
      <c r="EP208" s="231">
        <v>3843.7</v>
      </c>
      <c r="EQ208" s="231">
        <v>-1173.18</v>
      </c>
      <c r="ER208" s="229">
        <v>-0.30520000000000003</v>
      </c>
      <c r="ES208" s="228">
        <v>773.7</v>
      </c>
      <c r="ET208" s="228">
        <v>518.57000000000005</v>
      </c>
      <c r="EU208" s="231">
        <v>3297.92</v>
      </c>
      <c r="EV208" s="231">
        <v>84228583</v>
      </c>
      <c r="EW208" s="231">
        <v>4590.1899999999996</v>
      </c>
      <c r="EX208" s="231">
        <v>4467.62</v>
      </c>
      <c r="EY208" s="228">
        <v>122.57</v>
      </c>
      <c r="EZ208" s="229">
        <v>2.7400000000000001E-2</v>
      </c>
      <c r="FA208" s="229">
        <v>0.67659999999999998</v>
      </c>
      <c r="FB208" s="227" t="s">
        <v>555</v>
      </c>
      <c r="FC208">
        <f t="shared" si="4"/>
        <v>0</v>
      </c>
    </row>
    <row r="209" spans="1:159" ht="17.25" thickBot="1" x14ac:dyDescent="0.3">
      <c r="A209" s="226">
        <v>46023</v>
      </c>
      <c r="B209" s="227" t="s">
        <v>168</v>
      </c>
      <c r="C209" s="227" t="s">
        <v>586</v>
      </c>
      <c r="D209" s="228">
        <v>1125</v>
      </c>
      <c r="E209" s="228">
        <v>26</v>
      </c>
      <c r="F209" s="228">
        <v>494.35</v>
      </c>
      <c r="G209" s="228">
        <v>491.6</v>
      </c>
      <c r="H209" s="228">
        <v>2.75</v>
      </c>
      <c r="I209" s="229">
        <v>5.5999999999999999E-3</v>
      </c>
      <c r="J209" s="228">
        <v>491.75</v>
      </c>
      <c r="K209" s="228">
        <v>489.85</v>
      </c>
      <c r="L209" s="228">
        <v>1.9</v>
      </c>
      <c r="M209" s="229">
        <v>3.8999999999999998E-3</v>
      </c>
      <c r="N209" s="228">
        <v>494.35</v>
      </c>
      <c r="O209" s="228">
        <v>491.6</v>
      </c>
      <c r="P209" s="228">
        <v>2.75</v>
      </c>
      <c r="Q209" s="229">
        <v>5.5999999999999999E-3</v>
      </c>
      <c r="R209" s="228">
        <v>497.65</v>
      </c>
      <c r="S209" s="228">
        <v>494.55</v>
      </c>
      <c r="T209" s="228">
        <v>3.1</v>
      </c>
      <c r="U209" s="229">
        <v>6.3E-3</v>
      </c>
      <c r="V209" s="228">
        <v>500.1</v>
      </c>
      <c r="W209" s="228">
        <v>497.75</v>
      </c>
      <c r="X209" s="228">
        <v>2.35</v>
      </c>
      <c r="Y209" s="229">
        <v>4.7000000000000002E-3</v>
      </c>
      <c r="Z209" s="228">
        <v>2.6</v>
      </c>
      <c r="AA209" s="228">
        <v>1.75</v>
      </c>
      <c r="AB209" s="228">
        <v>0.85</v>
      </c>
      <c r="AC209" s="229">
        <v>5.3E-3</v>
      </c>
      <c r="AD209" s="228">
        <v>2.6</v>
      </c>
      <c r="AE209" s="228">
        <v>1.75</v>
      </c>
      <c r="AF209" s="228">
        <v>0.85</v>
      </c>
      <c r="AG209" s="229">
        <v>5.3E-3</v>
      </c>
      <c r="AH209" s="228">
        <v>5.9</v>
      </c>
      <c r="AI209" s="228">
        <v>4.7</v>
      </c>
      <c r="AJ209" s="228">
        <v>1.2</v>
      </c>
      <c r="AK209" s="229">
        <v>1.2E-2</v>
      </c>
      <c r="AL209" s="228">
        <v>8.35</v>
      </c>
      <c r="AM209" s="228">
        <v>7.9</v>
      </c>
      <c r="AN209" s="228">
        <v>0.45</v>
      </c>
      <c r="AO209" s="229">
        <v>1.7000000000000001E-2</v>
      </c>
      <c r="AP209" s="228">
        <v>493.52</v>
      </c>
      <c r="AQ209" s="228">
        <v>496.34</v>
      </c>
      <c r="AR209" s="228">
        <v>0</v>
      </c>
      <c r="AS209" s="228">
        <v>188</v>
      </c>
      <c r="AT209" s="228">
        <v>354</v>
      </c>
      <c r="AU209" s="228">
        <v>-166</v>
      </c>
      <c r="AV209" s="229">
        <v>-0.46789999999999998</v>
      </c>
      <c r="AW209" s="228">
        <v>181</v>
      </c>
      <c r="AX209" s="228">
        <v>343</v>
      </c>
      <c r="AY209" s="228">
        <v>-162</v>
      </c>
      <c r="AZ209" s="229">
        <v>-0.47360000000000002</v>
      </c>
      <c r="BA209" s="228">
        <v>6</v>
      </c>
      <c r="BB209" s="228">
        <v>10</v>
      </c>
      <c r="BC209" s="228">
        <v>-4</v>
      </c>
      <c r="BD209" s="229">
        <v>-0.36359999999999998</v>
      </c>
      <c r="BE209" s="228">
        <v>2</v>
      </c>
      <c r="BF209" s="228">
        <v>1</v>
      </c>
      <c r="BG209" s="228">
        <v>0</v>
      </c>
      <c r="BH209" s="229">
        <v>0.42109999999999997</v>
      </c>
      <c r="BI209" s="228">
        <v>350</v>
      </c>
      <c r="BJ209" s="228">
        <v>544</v>
      </c>
      <c r="BK209" s="228">
        <v>-195</v>
      </c>
      <c r="BL209" s="229">
        <v>-0.35749999999999998</v>
      </c>
      <c r="BM209" s="228">
        <v>141</v>
      </c>
      <c r="BN209" s="228">
        <v>217</v>
      </c>
      <c r="BO209" s="228">
        <v>-76</v>
      </c>
      <c r="BP209" s="229">
        <v>-0.35070000000000001</v>
      </c>
      <c r="BQ209" s="228">
        <v>679</v>
      </c>
      <c r="BR209" s="230">
        <v>1115</v>
      </c>
      <c r="BS209" s="228">
        <v>-436</v>
      </c>
      <c r="BT209" s="229">
        <v>-0.39119999999999999</v>
      </c>
      <c r="BU209" s="230">
        <v>2056801</v>
      </c>
      <c r="BV209" s="230">
        <v>5153263</v>
      </c>
      <c r="BW209" s="230">
        <v>-3096462</v>
      </c>
      <c r="BX209" s="229">
        <v>-0.60089999999999999</v>
      </c>
      <c r="BY209" s="230">
        <v>2475</v>
      </c>
      <c r="BZ209" s="230">
        <v>2490</v>
      </c>
      <c r="CA209" s="228">
        <v>-15</v>
      </c>
      <c r="CB209" s="229">
        <v>-6.1000000000000004E-3</v>
      </c>
      <c r="CC209" s="230">
        <v>2446</v>
      </c>
      <c r="CD209" s="230">
        <v>2463</v>
      </c>
      <c r="CE209" s="228">
        <v>-16</v>
      </c>
      <c r="CF209" s="229">
        <v>-6.6E-3</v>
      </c>
      <c r="CG209" s="228">
        <v>26</v>
      </c>
      <c r="CH209" s="228">
        <v>26</v>
      </c>
      <c r="CI209" s="228">
        <v>0</v>
      </c>
      <c r="CJ209" s="229">
        <v>-2.0999999999999999E-3</v>
      </c>
      <c r="CK209" s="228">
        <v>2</v>
      </c>
      <c r="CL209" s="228">
        <v>1</v>
      </c>
      <c r="CM209" s="228">
        <v>1</v>
      </c>
      <c r="CN209" s="229">
        <v>1</v>
      </c>
      <c r="CO209" s="228">
        <v>438</v>
      </c>
      <c r="CP209" s="228">
        <v>438</v>
      </c>
      <c r="CQ209" s="228">
        <v>0</v>
      </c>
      <c r="CR209" s="229">
        <v>5.0000000000000001E-4</v>
      </c>
      <c r="CS209" s="228">
        <v>294</v>
      </c>
      <c r="CT209" s="228">
        <v>295</v>
      </c>
      <c r="CU209" s="228">
        <v>-1</v>
      </c>
      <c r="CV209" s="229">
        <v>-3.8E-3</v>
      </c>
      <c r="CW209" s="230">
        <v>3207</v>
      </c>
      <c r="CX209" s="230">
        <v>3223</v>
      </c>
      <c r="CY209" s="228">
        <v>-16</v>
      </c>
      <c r="CZ209" s="229">
        <v>-5.0000000000000001E-3</v>
      </c>
      <c r="DA209" s="228">
        <v>26.15</v>
      </c>
      <c r="DB209" s="228">
        <v>26.54</v>
      </c>
      <c r="DC209" s="228">
        <v>-0.39</v>
      </c>
      <c r="DD209" s="228">
        <v>-0.39</v>
      </c>
      <c r="DE209" s="228">
        <v>37.299999999999997</v>
      </c>
      <c r="DF209" s="228">
        <v>37.39</v>
      </c>
      <c r="DG209" s="228">
        <v>-11.15</v>
      </c>
      <c r="DH209" s="228">
        <v>-0.09</v>
      </c>
      <c r="DI209" s="228">
        <v>26.17</v>
      </c>
      <c r="DJ209" s="228">
        <v>26.62</v>
      </c>
      <c r="DK209" s="228">
        <v>-0.45</v>
      </c>
      <c r="DL209" s="228">
        <v>-0.45</v>
      </c>
      <c r="DM209" s="228">
        <v>26.1</v>
      </c>
      <c r="DN209" s="228">
        <v>26.36</v>
      </c>
      <c r="DO209" s="228">
        <v>-0.26</v>
      </c>
      <c r="DP209" s="228">
        <v>-0.26</v>
      </c>
      <c r="DQ209" s="228">
        <v>0.67</v>
      </c>
      <c r="DR209" s="228">
        <v>0.67</v>
      </c>
      <c r="DS209" s="228">
        <v>0</v>
      </c>
      <c r="DT209" s="229">
        <v>0</v>
      </c>
      <c r="DU209" s="228">
        <v>500</v>
      </c>
      <c r="DV209" s="228">
        <v>460</v>
      </c>
      <c r="DW209" s="228">
        <v>0.4</v>
      </c>
      <c r="DX209" s="228">
        <v>0.4</v>
      </c>
      <c r="DY209" s="228">
        <v>0</v>
      </c>
      <c r="DZ209" s="229">
        <v>0</v>
      </c>
      <c r="EA209" s="229">
        <v>1.15E-2</v>
      </c>
      <c r="EB209" s="230">
        <v>555750</v>
      </c>
      <c r="EC209" s="229">
        <v>6.7000000000000002E-3</v>
      </c>
      <c r="ED209" s="229">
        <v>1.15E-2</v>
      </c>
      <c r="EE209" s="228">
        <v>2.82</v>
      </c>
      <c r="EF209" s="229">
        <v>5.7000000000000002E-3</v>
      </c>
      <c r="EG209" s="230">
        <v>917807</v>
      </c>
      <c r="EH209" s="230">
        <v>3090877</v>
      </c>
      <c r="EI209" s="229">
        <v>-0.70309999999999995</v>
      </c>
      <c r="EJ209" s="229">
        <v>0.44619999999999999</v>
      </c>
      <c r="EK209" s="228">
        <v>363.2</v>
      </c>
      <c r="EL209" s="228">
        <v>137.71</v>
      </c>
      <c r="EM209" s="228">
        <v>188.05</v>
      </c>
      <c r="EN209" s="228">
        <v>207.75</v>
      </c>
      <c r="EO209" s="228">
        <v>688.96</v>
      </c>
      <c r="EP209" s="231">
        <v>1125.3699999999999</v>
      </c>
      <c r="EQ209" s="228">
        <v>-436.42</v>
      </c>
      <c r="ER209" s="229">
        <v>-0.38779999999999998</v>
      </c>
      <c r="ES209" s="228">
        <v>449.18</v>
      </c>
      <c r="ET209" s="228">
        <v>277.64999999999998</v>
      </c>
      <c r="EU209" s="231">
        <v>2474.98</v>
      </c>
      <c r="EV209" s="231">
        <v>205761118</v>
      </c>
      <c r="EW209" s="231">
        <v>3201.81</v>
      </c>
      <c r="EX209" s="231">
        <v>3203.11</v>
      </c>
      <c r="EY209" s="228">
        <v>-1.3</v>
      </c>
      <c r="EZ209" s="229">
        <v>-4.0000000000000002E-4</v>
      </c>
      <c r="FA209" s="229">
        <v>0.31530000000000002</v>
      </c>
      <c r="FB209" s="227" t="s">
        <v>556</v>
      </c>
      <c r="FC209">
        <f t="shared" si="4"/>
        <v>0</v>
      </c>
    </row>
    <row r="210" spans="1:159" ht="17.25" thickBot="1" x14ac:dyDescent="0.3">
      <c r="A210" s="226">
        <v>46023</v>
      </c>
      <c r="B210" s="227" t="s">
        <v>227</v>
      </c>
      <c r="C210" s="227" t="s">
        <v>304</v>
      </c>
      <c r="D210" s="228">
        <v>1150</v>
      </c>
      <c r="E210" s="228">
        <v>26</v>
      </c>
      <c r="F210" s="228">
        <v>605.35</v>
      </c>
      <c r="G210" s="228">
        <v>605.9</v>
      </c>
      <c r="H210" s="228">
        <v>-0.55000000000000004</v>
      </c>
      <c r="I210" s="229">
        <v>-8.9999999999999998E-4</v>
      </c>
      <c r="J210" s="228">
        <v>602.65</v>
      </c>
      <c r="K210" s="228">
        <v>604.4</v>
      </c>
      <c r="L210" s="228">
        <v>-1.75</v>
      </c>
      <c r="M210" s="229">
        <v>-2.8999999999999998E-3</v>
      </c>
      <c r="N210" s="228">
        <v>605.35</v>
      </c>
      <c r="O210" s="228">
        <v>605.9</v>
      </c>
      <c r="P210" s="228">
        <v>-0.55000000000000004</v>
      </c>
      <c r="Q210" s="229">
        <v>-8.9999999999999998E-4</v>
      </c>
      <c r="R210" s="228">
        <v>606.6</v>
      </c>
      <c r="S210" s="228">
        <v>607.25</v>
      </c>
      <c r="T210" s="228">
        <v>-0.65</v>
      </c>
      <c r="U210" s="229">
        <v>-1.1000000000000001E-3</v>
      </c>
      <c r="V210" s="228">
        <v>607.6</v>
      </c>
      <c r="W210" s="228">
        <v>608.35</v>
      </c>
      <c r="X210" s="228">
        <v>-0.75</v>
      </c>
      <c r="Y210" s="229">
        <v>-1.1999999999999999E-3</v>
      </c>
      <c r="Z210" s="228">
        <v>2.7</v>
      </c>
      <c r="AA210" s="228">
        <v>1.5</v>
      </c>
      <c r="AB210" s="228">
        <v>1.2</v>
      </c>
      <c r="AC210" s="229">
        <v>4.4999999999999997E-3</v>
      </c>
      <c r="AD210" s="228">
        <v>2.7</v>
      </c>
      <c r="AE210" s="228">
        <v>1.5</v>
      </c>
      <c r="AF210" s="228">
        <v>1.2</v>
      </c>
      <c r="AG210" s="229">
        <v>4.4999999999999997E-3</v>
      </c>
      <c r="AH210" s="228">
        <v>3.95</v>
      </c>
      <c r="AI210" s="228">
        <v>2.85</v>
      </c>
      <c r="AJ210" s="228">
        <v>1.1000000000000001</v>
      </c>
      <c r="AK210" s="229">
        <v>6.6E-3</v>
      </c>
      <c r="AL210" s="228">
        <v>4.95</v>
      </c>
      <c r="AM210" s="228">
        <v>3.95</v>
      </c>
      <c r="AN210" s="228">
        <v>1</v>
      </c>
      <c r="AO210" s="229">
        <v>8.2000000000000007E-3</v>
      </c>
      <c r="AP210" s="228">
        <v>603.96</v>
      </c>
      <c r="AQ210" s="228">
        <v>605.26</v>
      </c>
      <c r="AR210" s="228">
        <v>0</v>
      </c>
      <c r="AS210" s="228">
        <v>407</v>
      </c>
      <c r="AT210" s="228">
        <v>928</v>
      </c>
      <c r="AU210" s="228">
        <v>-521</v>
      </c>
      <c r="AV210" s="229">
        <v>-0.56110000000000004</v>
      </c>
      <c r="AW210" s="228">
        <v>377</v>
      </c>
      <c r="AX210" s="228">
        <v>885</v>
      </c>
      <c r="AY210" s="228">
        <v>-507</v>
      </c>
      <c r="AZ210" s="229">
        <v>-0.57350000000000001</v>
      </c>
      <c r="BA210" s="228">
        <v>19</v>
      </c>
      <c r="BB210" s="228">
        <v>34</v>
      </c>
      <c r="BC210" s="228">
        <v>-15</v>
      </c>
      <c r="BD210" s="229">
        <v>-0.438</v>
      </c>
      <c r="BE210" s="228">
        <v>11</v>
      </c>
      <c r="BF210" s="228">
        <v>9</v>
      </c>
      <c r="BG210" s="228">
        <v>2</v>
      </c>
      <c r="BH210" s="229">
        <v>0.1716</v>
      </c>
      <c r="BI210" s="230">
        <v>1080</v>
      </c>
      <c r="BJ210" s="230">
        <v>2045</v>
      </c>
      <c r="BK210" s="228">
        <v>-965</v>
      </c>
      <c r="BL210" s="229">
        <v>-0.47199999999999998</v>
      </c>
      <c r="BM210" s="228">
        <v>562</v>
      </c>
      <c r="BN210" s="230">
        <v>1235</v>
      </c>
      <c r="BO210" s="228">
        <v>-674</v>
      </c>
      <c r="BP210" s="229">
        <v>-0.54530000000000001</v>
      </c>
      <c r="BQ210" s="230">
        <v>2049</v>
      </c>
      <c r="BR210" s="230">
        <v>4208</v>
      </c>
      <c r="BS210" s="230">
        <v>-2159</v>
      </c>
      <c r="BT210" s="229">
        <v>-0.51319999999999999</v>
      </c>
      <c r="BU210" s="230">
        <v>4592047</v>
      </c>
      <c r="BV210" s="230">
        <v>9611022</v>
      </c>
      <c r="BW210" s="230">
        <v>-5018975</v>
      </c>
      <c r="BX210" s="229">
        <v>-0.5222</v>
      </c>
      <c r="BY210" s="230">
        <v>5561</v>
      </c>
      <c r="BZ210" s="230">
        <v>5576</v>
      </c>
      <c r="CA210" s="228">
        <v>-15</v>
      </c>
      <c r="CB210" s="229">
        <v>-2.5999999999999999E-3</v>
      </c>
      <c r="CC210" s="230">
        <v>5433</v>
      </c>
      <c r="CD210" s="230">
        <v>5457</v>
      </c>
      <c r="CE210" s="228">
        <v>-23</v>
      </c>
      <c r="CF210" s="229">
        <v>-4.3E-3</v>
      </c>
      <c r="CG210" s="228">
        <v>115</v>
      </c>
      <c r="CH210" s="228">
        <v>113</v>
      </c>
      <c r="CI210" s="228">
        <v>1</v>
      </c>
      <c r="CJ210" s="229">
        <v>1.11E-2</v>
      </c>
      <c r="CK210" s="228">
        <v>13</v>
      </c>
      <c r="CL210" s="228">
        <v>6</v>
      </c>
      <c r="CM210" s="228">
        <v>7</v>
      </c>
      <c r="CN210" s="229">
        <v>1.2891999999999999</v>
      </c>
      <c r="CO210" s="230">
        <v>2350</v>
      </c>
      <c r="CP210" s="230">
        <v>2208</v>
      </c>
      <c r="CQ210" s="228">
        <v>142</v>
      </c>
      <c r="CR210" s="229">
        <v>6.4299999999999996E-2</v>
      </c>
      <c r="CS210" s="230">
        <v>1294</v>
      </c>
      <c r="CT210" s="230">
        <v>1225</v>
      </c>
      <c r="CU210" s="228">
        <v>69</v>
      </c>
      <c r="CV210" s="229">
        <v>5.6099999999999997E-2</v>
      </c>
      <c r="CW210" s="230">
        <v>9204</v>
      </c>
      <c r="CX210" s="230">
        <v>9008</v>
      </c>
      <c r="CY210" s="228">
        <v>196</v>
      </c>
      <c r="CZ210" s="229">
        <v>2.1700000000000001E-2</v>
      </c>
      <c r="DA210" s="228">
        <v>29.45</v>
      </c>
      <c r="DB210" s="228">
        <v>30.6</v>
      </c>
      <c r="DC210" s="228">
        <v>-1.1499999999999999</v>
      </c>
      <c r="DD210" s="228">
        <v>-1.1499999999999999</v>
      </c>
      <c r="DE210" s="228">
        <v>36.520000000000003</v>
      </c>
      <c r="DF210" s="228">
        <v>36.61</v>
      </c>
      <c r="DG210" s="228">
        <v>-7.07</v>
      </c>
      <c r="DH210" s="228">
        <v>-0.09</v>
      </c>
      <c r="DI210" s="228">
        <v>29.55</v>
      </c>
      <c r="DJ210" s="228">
        <v>30.9</v>
      </c>
      <c r="DK210" s="228">
        <v>-1.35</v>
      </c>
      <c r="DL210" s="228">
        <v>-1.35</v>
      </c>
      <c r="DM210" s="228">
        <v>29.25</v>
      </c>
      <c r="DN210" s="228">
        <v>30.11</v>
      </c>
      <c r="DO210" s="228">
        <v>-0.86</v>
      </c>
      <c r="DP210" s="228">
        <v>-0.86</v>
      </c>
      <c r="DQ210" s="228">
        <v>0.55000000000000004</v>
      </c>
      <c r="DR210" s="228">
        <v>0.55000000000000004</v>
      </c>
      <c r="DS210" s="228">
        <v>0</v>
      </c>
      <c r="DT210" s="229">
        <v>0</v>
      </c>
      <c r="DU210" s="228">
        <v>650</v>
      </c>
      <c r="DV210" s="228">
        <v>600</v>
      </c>
      <c r="DW210" s="228">
        <v>0.52</v>
      </c>
      <c r="DX210" s="228">
        <v>0.6</v>
      </c>
      <c r="DY210" s="228">
        <v>-0.08</v>
      </c>
      <c r="DZ210" s="229">
        <v>-0.1333</v>
      </c>
      <c r="EA210" s="229">
        <v>2.3E-2</v>
      </c>
      <c r="EB210" s="230">
        <v>1966500</v>
      </c>
      <c r="EC210" s="229">
        <v>2.0999999999999999E-3</v>
      </c>
      <c r="ED210" s="229">
        <v>2.3E-2</v>
      </c>
      <c r="EE210" s="228">
        <v>1.3</v>
      </c>
      <c r="EF210" s="229">
        <v>2.2000000000000001E-3</v>
      </c>
      <c r="EG210" s="230">
        <v>1502666</v>
      </c>
      <c r="EH210" s="230">
        <v>4088435</v>
      </c>
      <c r="EI210" s="229">
        <v>-0.63249999999999995</v>
      </c>
      <c r="EJ210" s="229">
        <v>0.32719999999999999</v>
      </c>
      <c r="EK210" s="231">
        <v>1139.23</v>
      </c>
      <c r="EL210" s="228">
        <v>549.41</v>
      </c>
      <c r="EM210" s="228">
        <v>406.4</v>
      </c>
      <c r="EN210" s="228">
        <v>479.21</v>
      </c>
      <c r="EO210" s="231">
        <v>2095.04</v>
      </c>
      <c r="EP210" s="231">
        <v>4321.45</v>
      </c>
      <c r="EQ210" s="231">
        <v>-2226.41</v>
      </c>
      <c r="ER210" s="229">
        <v>-0.51519999999999999</v>
      </c>
      <c r="ES210" s="231">
        <v>2413.17</v>
      </c>
      <c r="ET210" s="231">
        <v>1207.04</v>
      </c>
      <c r="EU210" s="231">
        <v>5561.08</v>
      </c>
      <c r="EV210" s="231">
        <v>255091106</v>
      </c>
      <c r="EW210" s="231">
        <v>9181.2900000000009</v>
      </c>
      <c r="EX210" s="231">
        <v>8989.07</v>
      </c>
      <c r="EY210" s="228">
        <v>192.22</v>
      </c>
      <c r="EZ210" s="229">
        <v>2.1399999999999999E-2</v>
      </c>
      <c r="FA210" s="229">
        <v>0.59609999999999996</v>
      </c>
      <c r="FB210" s="227" t="s">
        <v>568</v>
      </c>
      <c r="FC210">
        <f t="shared" si="4"/>
        <v>0</v>
      </c>
    </row>
    <row r="211" spans="1:159" ht="17.25" thickBot="1" x14ac:dyDescent="0.3">
      <c r="A211" s="226">
        <v>46023</v>
      </c>
      <c r="B211" s="227" t="s">
        <v>184</v>
      </c>
      <c r="C211" s="227" t="s">
        <v>305</v>
      </c>
      <c r="D211" s="228">
        <v>375</v>
      </c>
      <c r="E211" s="228">
        <v>26</v>
      </c>
      <c r="F211" s="231">
        <v>1383.9</v>
      </c>
      <c r="G211" s="231">
        <v>1359.3</v>
      </c>
      <c r="H211" s="228">
        <v>24.6</v>
      </c>
      <c r="I211" s="229">
        <v>1.8100000000000002E-2</v>
      </c>
      <c r="J211" s="231">
        <v>1384.3</v>
      </c>
      <c r="K211" s="231">
        <v>1361.2</v>
      </c>
      <c r="L211" s="228">
        <v>23.1</v>
      </c>
      <c r="M211" s="229">
        <v>1.7000000000000001E-2</v>
      </c>
      <c r="N211" s="231">
        <v>1383.9</v>
      </c>
      <c r="O211" s="231">
        <v>1359.3</v>
      </c>
      <c r="P211" s="228">
        <v>24.6</v>
      </c>
      <c r="Q211" s="229">
        <v>1.8100000000000002E-2</v>
      </c>
      <c r="R211" s="231">
        <v>1374.5</v>
      </c>
      <c r="S211" s="231">
        <v>1350</v>
      </c>
      <c r="T211" s="228">
        <v>24.5</v>
      </c>
      <c r="U211" s="229">
        <v>1.8100000000000002E-2</v>
      </c>
      <c r="V211" s="231">
        <v>1369</v>
      </c>
      <c r="W211" s="231">
        <v>1341</v>
      </c>
      <c r="X211" s="228">
        <v>28</v>
      </c>
      <c r="Y211" s="229">
        <v>2.0899999999999998E-2</v>
      </c>
      <c r="Z211" s="228">
        <v>-0.4</v>
      </c>
      <c r="AA211" s="228">
        <v>-1.9</v>
      </c>
      <c r="AB211" s="228">
        <v>1.5</v>
      </c>
      <c r="AC211" s="229">
        <v>-2.9999999999999997E-4</v>
      </c>
      <c r="AD211" s="228">
        <v>-0.4</v>
      </c>
      <c r="AE211" s="228">
        <v>-1.9</v>
      </c>
      <c r="AF211" s="228">
        <v>1.5</v>
      </c>
      <c r="AG211" s="229">
        <v>-2.9999999999999997E-4</v>
      </c>
      <c r="AH211" s="228">
        <v>-9.8000000000000007</v>
      </c>
      <c r="AI211" s="228">
        <v>-11.2</v>
      </c>
      <c r="AJ211" s="228">
        <v>1.4</v>
      </c>
      <c r="AK211" s="229">
        <v>-7.1000000000000004E-3</v>
      </c>
      <c r="AL211" s="228">
        <v>-15.3</v>
      </c>
      <c r="AM211" s="228">
        <v>-20.2</v>
      </c>
      <c r="AN211" s="228">
        <v>4.9000000000000004</v>
      </c>
      <c r="AO211" s="229">
        <v>-1.11E-2</v>
      </c>
      <c r="AP211" s="231">
        <v>1377.98</v>
      </c>
      <c r="AQ211" s="231">
        <v>1368.17</v>
      </c>
      <c r="AR211" s="228">
        <v>0</v>
      </c>
      <c r="AS211" s="228">
        <v>134</v>
      </c>
      <c r="AT211" s="228">
        <v>118</v>
      </c>
      <c r="AU211" s="228">
        <v>17</v>
      </c>
      <c r="AV211" s="229">
        <v>0.14299999999999999</v>
      </c>
      <c r="AW211" s="228">
        <v>122</v>
      </c>
      <c r="AX211" s="228">
        <v>109</v>
      </c>
      <c r="AY211" s="228">
        <v>14</v>
      </c>
      <c r="AZ211" s="229">
        <v>0.1255</v>
      </c>
      <c r="BA211" s="228">
        <v>9</v>
      </c>
      <c r="BB211" s="228">
        <v>7</v>
      </c>
      <c r="BC211" s="228">
        <v>2</v>
      </c>
      <c r="BD211" s="229">
        <v>0.27939999999999998</v>
      </c>
      <c r="BE211" s="228">
        <v>3</v>
      </c>
      <c r="BF211" s="228">
        <v>2</v>
      </c>
      <c r="BG211" s="228">
        <v>1</v>
      </c>
      <c r="BH211" s="229">
        <v>0.67649999999999999</v>
      </c>
      <c r="BI211" s="228">
        <v>489</v>
      </c>
      <c r="BJ211" s="228">
        <v>320</v>
      </c>
      <c r="BK211" s="228">
        <v>169</v>
      </c>
      <c r="BL211" s="229">
        <v>0.52639999999999998</v>
      </c>
      <c r="BM211" s="228">
        <v>149</v>
      </c>
      <c r="BN211" s="228">
        <v>147</v>
      </c>
      <c r="BO211" s="228">
        <v>2</v>
      </c>
      <c r="BP211" s="229">
        <v>1.4800000000000001E-2</v>
      </c>
      <c r="BQ211" s="228">
        <v>772</v>
      </c>
      <c r="BR211" s="228">
        <v>585</v>
      </c>
      <c r="BS211" s="228">
        <v>188</v>
      </c>
      <c r="BT211" s="229">
        <v>0.32079999999999997</v>
      </c>
      <c r="BU211" s="230">
        <v>293332</v>
      </c>
      <c r="BV211" s="230">
        <v>331263</v>
      </c>
      <c r="BW211" s="230">
        <v>-37931</v>
      </c>
      <c r="BX211" s="229">
        <v>-0.1145</v>
      </c>
      <c r="BY211" s="230">
        <v>1413</v>
      </c>
      <c r="BZ211" s="230">
        <v>1411</v>
      </c>
      <c r="CA211" s="228">
        <v>2</v>
      </c>
      <c r="CB211" s="229">
        <v>1.2999999999999999E-3</v>
      </c>
      <c r="CC211" s="230">
        <v>1386</v>
      </c>
      <c r="CD211" s="230">
        <v>1387</v>
      </c>
      <c r="CE211" s="228">
        <v>0</v>
      </c>
      <c r="CF211" s="229">
        <v>-1E-4</v>
      </c>
      <c r="CG211" s="228">
        <v>23</v>
      </c>
      <c r="CH211" s="228">
        <v>23</v>
      </c>
      <c r="CI211" s="228">
        <v>0</v>
      </c>
      <c r="CJ211" s="229">
        <v>4.4999999999999997E-3</v>
      </c>
      <c r="CK211" s="228">
        <v>3</v>
      </c>
      <c r="CL211" s="228">
        <v>2</v>
      </c>
      <c r="CM211" s="228">
        <v>2</v>
      </c>
      <c r="CN211" s="229">
        <v>1.1613</v>
      </c>
      <c r="CO211" s="228">
        <v>265</v>
      </c>
      <c r="CP211" s="228">
        <v>257</v>
      </c>
      <c r="CQ211" s="228">
        <v>8</v>
      </c>
      <c r="CR211" s="229">
        <v>3.0700000000000002E-2</v>
      </c>
      <c r="CS211" s="228">
        <v>218</v>
      </c>
      <c r="CT211" s="228">
        <v>208</v>
      </c>
      <c r="CU211" s="228">
        <v>10</v>
      </c>
      <c r="CV211" s="229">
        <v>4.99E-2</v>
      </c>
      <c r="CW211" s="230">
        <v>1896</v>
      </c>
      <c r="CX211" s="230">
        <v>1876</v>
      </c>
      <c r="CY211" s="228">
        <v>20</v>
      </c>
      <c r="CZ211" s="229">
        <v>1.0699999999999999E-2</v>
      </c>
      <c r="DA211" s="228">
        <v>24.11</v>
      </c>
      <c r="DB211" s="228">
        <v>24.64</v>
      </c>
      <c r="DC211" s="228">
        <v>-0.53</v>
      </c>
      <c r="DD211" s="228">
        <v>-0.53</v>
      </c>
      <c r="DE211" s="228">
        <v>35.840000000000003</v>
      </c>
      <c r="DF211" s="228">
        <v>35.85</v>
      </c>
      <c r="DG211" s="228">
        <v>-11.73</v>
      </c>
      <c r="DH211" s="228">
        <v>-0.01</v>
      </c>
      <c r="DI211" s="228">
        <v>23.88</v>
      </c>
      <c r="DJ211" s="228">
        <v>24.37</v>
      </c>
      <c r="DK211" s="228">
        <v>-0.49</v>
      </c>
      <c r="DL211" s="228">
        <v>-0.49</v>
      </c>
      <c r="DM211" s="228">
        <v>24.86</v>
      </c>
      <c r="DN211" s="228">
        <v>25.23</v>
      </c>
      <c r="DO211" s="228">
        <v>-0.37</v>
      </c>
      <c r="DP211" s="228">
        <v>-0.37</v>
      </c>
      <c r="DQ211" s="228">
        <v>0.82</v>
      </c>
      <c r="DR211" s="228">
        <v>0.81</v>
      </c>
      <c r="DS211" s="228">
        <v>0.01</v>
      </c>
      <c r="DT211" s="229">
        <v>1.23E-2</v>
      </c>
      <c r="DU211" s="231">
        <v>1400</v>
      </c>
      <c r="DV211" s="231">
        <v>1400</v>
      </c>
      <c r="DW211" s="228">
        <v>0.31</v>
      </c>
      <c r="DX211" s="228">
        <v>0.46</v>
      </c>
      <c r="DY211" s="228">
        <v>-0.15</v>
      </c>
      <c r="DZ211" s="229">
        <v>-0.3261</v>
      </c>
      <c r="EA211" s="229">
        <v>1.9E-2</v>
      </c>
      <c r="EB211" s="230">
        <v>180000</v>
      </c>
      <c r="EC211" s="229">
        <v>-6.7999999999999996E-3</v>
      </c>
      <c r="ED211" s="229">
        <v>1.9E-2</v>
      </c>
      <c r="EE211" s="228">
        <v>-9.81</v>
      </c>
      <c r="EF211" s="229">
        <v>-7.1000000000000004E-3</v>
      </c>
      <c r="EG211" s="230">
        <v>78299</v>
      </c>
      <c r="EH211" s="230">
        <v>123790</v>
      </c>
      <c r="EI211" s="229">
        <v>-0.36749999999999999</v>
      </c>
      <c r="EJ211" s="229">
        <v>0.26690000000000003</v>
      </c>
      <c r="EK211" s="228">
        <v>509.38</v>
      </c>
      <c r="EL211" s="228">
        <v>144.46</v>
      </c>
      <c r="EM211" s="228">
        <v>133.69</v>
      </c>
      <c r="EN211" s="228">
        <v>112.22</v>
      </c>
      <c r="EO211" s="228">
        <v>787.53</v>
      </c>
      <c r="EP211" s="228">
        <v>586.42999999999995</v>
      </c>
      <c r="EQ211" s="228">
        <v>201.1</v>
      </c>
      <c r="ER211" s="229">
        <v>0.34289999999999998</v>
      </c>
      <c r="ES211" s="228">
        <v>275.88</v>
      </c>
      <c r="ET211" s="228">
        <v>207.55</v>
      </c>
      <c r="EU211" s="231">
        <v>1413.09</v>
      </c>
      <c r="EV211" s="231">
        <v>34594689</v>
      </c>
      <c r="EW211" s="231">
        <v>1896.52</v>
      </c>
      <c r="EX211" s="231">
        <v>1850.72</v>
      </c>
      <c r="EY211" s="228">
        <v>45.8</v>
      </c>
      <c r="EZ211" s="229">
        <v>2.47E-2</v>
      </c>
      <c r="FA211" s="229">
        <v>0.39610000000000001</v>
      </c>
      <c r="FB211" s="227" t="s">
        <v>555</v>
      </c>
      <c r="FC211">
        <f t="shared" si="4"/>
        <v>0</v>
      </c>
    </row>
    <row r="212" spans="1:159" ht="17.25" thickBot="1" x14ac:dyDescent="0.3">
      <c r="A212" s="226">
        <v>46023</v>
      </c>
      <c r="B212" s="227" t="s">
        <v>694</v>
      </c>
      <c r="C212" s="227" t="s">
        <v>692</v>
      </c>
      <c r="D212" s="228">
        <v>175</v>
      </c>
      <c r="E212" s="228">
        <v>26</v>
      </c>
      <c r="F212" s="231">
        <v>2973.5</v>
      </c>
      <c r="G212" s="231">
        <v>2984.5</v>
      </c>
      <c r="H212" s="228">
        <v>-11</v>
      </c>
      <c r="I212" s="229">
        <v>-3.7000000000000002E-3</v>
      </c>
      <c r="J212" s="231">
        <v>2955.3</v>
      </c>
      <c r="K212" s="231">
        <v>2968.1</v>
      </c>
      <c r="L212" s="228">
        <v>-12.8</v>
      </c>
      <c r="M212" s="229">
        <v>-4.3E-3</v>
      </c>
      <c r="N212" s="231">
        <v>2973.5</v>
      </c>
      <c r="O212" s="231">
        <v>2984.5</v>
      </c>
      <c r="P212" s="228">
        <v>-11</v>
      </c>
      <c r="Q212" s="229">
        <v>-3.7000000000000002E-3</v>
      </c>
      <c r="R212" s="231">
        <v>2984.3</v>
      </c>
      <c r="S212" s="231">
        <v>3006.5</v>
      </c>
      <c r="T212" s="228">
        <v>-22.2</v>
      </c>
      <c r="U212" s="229">
        <v>-7.4000000000000003E-3</v>
      </c>
      <c r="V212" s="228">
        <v>0</v>
      </c>
      <c r="W212" s="228">
        <v>0</v>
      </c>
      <c r="X212" s="228">
        <v>0</v>
      </c>
      <c r="Y212" s="229">
        <v>0</v>
      </c>
      <c r="Z212" s="228">
        <v>18.2</v>
      </c>
      <c r="AA212" s="228">
        <v>16.399999999999999</v>
      </c>
      <c r="AB212" s="228">
        <v>1.8</v>
      </c>
      <c r="AC212" s="229">
        <v>6.1999999999999998E-3</v>
      </c>
      <c r="AD212" s="228">
        <v>18.2</v>
      </c>
      <c r="AE212" s="228">
        <v>16.399999999999999</v>
      </c>
      <c r="AF212" s="228">
        <v>1.8</v>
      </c>
      <c r="AG212" s="229">
        <v>6.1999999999999998E-3</v>
      </c>
      <c r="AH212" s="228">
        <v>29</v>
      </c>
      <c r="AI212" s="228">
        <v>38.4</v>
      </c>
      <c r="AJ212" s="228">
        <v>-9.4</v>
      </c>
      <c r="AK212" s="229">
        <v>9.7999999999999997E-3</v>
      </c>
      <c r="AL212" s="228">
        <v>0</v>
      </c>
      <c r="AM212" s="228">
        <v>0</v>
      </c>
      <c r="AN212" s="228">
        <v>0</v>
      </c>
      <c r="AO212" s="229">
        <v>0</v>
      </c>
      <c r="AP212" s="231">
        <v>2979.94</v>
      </c>
      <c r="AQ212" s="231">
        <v>2991.93</v>
      </c>
      <c r="AR212" s="228">
        <v>0</v>
      </c>
      <c r="AS212" s="228">
        <v>35</v>
      </c>
      <c r="AT212" s="228">
        <v>151</v>
      </c>
      <c r="AU212" s="228">
        <v>-116</v>
      </c>
      <c r="AV212" s="229">
        <v>-0.76519999999999999</v>
      </c>
      <c r="AW212" s="228">
        <v>35</v>
      </c>
      <c r="AX212" s="228">
        <v>149</v>
      </c>
      <c r="AY212" s="228">
        <v>-114</v>
      </c>
      <c r="AZ212" s="229">
        <v>-0.76739999999999997</v>
      </c>
      <c r="BA212" s="228">
        <v>1</v>
      </c>
      <c r="BB212" s="228">
        <v>2</v>
      </c>
      <c r="BC212" s="228">
        <v>-2</v>
      </c>
      <c r="BD212" s="229">
        <v>-0.63039999999999996</v>
      </c>
      <c r="BE212" s="228">
        <v>0</v>
      </c>
      <c r="BF212" s="228">
        <v>0</v>
      </c>
      <c r="BG212" s="228">
        <v>0</v>
      </c>
      <c r="BH212" s="229">
        <v>0</v>
      </c>
      <c r="BI212" s="228">
        <v>112</v>
      </c>
      <c r="BJ212" s="228">
        <v>386</v>
      </c>
      <c r="BK212" s="228">
        <v>-274</v>
      </c>
      <c r="BL212" s="229">
        <v>-0.70909999999999995</v>
      </c>
      <c r="BM212" s="228">
        <v>15</v>
      </c>
      <c r="BN212" s="228">
        <v>58</v>
      </c>
      <c r="BO212" s="228">
        <v>-43</v>
      </c>
      <c r="BP212" s="229">
        <v>-0.7429</v>
      </c>
      <c r="BQ212" s="228">
        <v>163</v>
      </c>
      <c r="BR212" s="228">
        <v>596</v>
      </c>
      <c r="BS212" s="228">
        <v>-433</v>
      </c>
      <c r="BT212" s="229">
        <v>-0.72670000000000001</v>
      </c>
      <c r="BU212" s="230">
        <v>393109</v>
      </c>
      <c r="BV212" s="230">
        <v>1083975</v>
      </c>
      <c r="BW212" s="230">
        <v>-690866</v>
      </c>
      <c r="BX212" s="229">
        <v>-0.63729999999999998</v>
      </c>
      <c r="BY212" s="228">
        <v>81</v>
      </c>
      <c r="BZ212" s="228">
        <v>71</v>
      </c>
      <c r="CA212" s="228">
        <v>10</v>
      </c>
      <c r="CB212" s="229">
        <v>0.14449999999999999</v>
      </c>
      <c r="CC212" s="228">
        <v>79</v>
      </c>
      <c r="CD212" s="228">
        <v>70</v>
      </c>
      <c r="CE212" s="228">
        <v>10</v>
      </c>
      <c r="CF212" s="229">
        <v>0.13850000000000001</v>
      </c>
      <c r="CG212" s="228">
        <v>2</v>
      </c>
      <c r="CH212" s="228">
        <v>1</v>
      </c>
      <c r="CI212" s="228">
        <v>1</v>
      </c>
      <c r="CJ212" s="229">
        <v>0.44440000000000002</v>
      </c>
      <c r="CK212" s="228">
        <v>0</v>
      </c>
      <c r="CL212" s="228">
        <v>0</v>
      </c>
      <c r="CM212" s="228">
        <v>0</v>
      </c>
      <c r="CN212" s="229">
        <v>0</v>
      </c>
      <c r="CO212" s="228">
        <v>99</v>
      </c>
      <c r="CP212" s="228">
        <v>83</v>
      </c>
      <c r="CQ212" s="228">
        <v>17</v>
      </c>
      <c r="CR212" s="229">
        <v>0.20230000000000001</v>
      </c>
      <c r="CS212" s="228">
        <v>30</v>
      </c>
      <c r="CT212" s="228">
        <v>24</v>
      </c>
      <c r="CU212" s="228">
        <v>6</v>
      </c>
      <c r="CV212" s="229">
        <v>0.2505</v>
      </c>
      <c r="CW212" s="228">
        <v>211</v>
      </c>
      <c r="CX212" s="228">
        <v>178</v>
      </c>
      <c r="CY212" s="228">
        <v>33</v>
      </c>
      <c r="CZ212" s="229">
        <v>0.18579999999999999</v>
      </c>
      <c r="DA212" s="228">
        <v>34.94</v>
      </c>
      <c r="DB212" s="228">
        <v>34.979999999999997</v>
      </c>
      <c r="DC212" s="228">
        <v>-0.04</v>
      </c>
      <c r="DD212" s="228">
        <v>-0.04</v>
      </c>
      <c r="DE212" s="228">
        <v>48.88</v>
      </c>
      <c r="DF212" s="228">
        <v>49</v>
      </c>
      <c r="DG212" s="228">
        <v>-13.94</v>
      </c>
      <c r="DH212" s="228">
        <v>-0.12</v>
      </c>
      <c r="DI212" s="228">
        <v>35.1</v>
      </c>
      <c r="DJ212" s="228">
        <v>35.1</v>
      </c>
      <c r="DK212" s="228">
        <v>0</v>
      </c>
      <c r="DL212" s="228">
        <v>0</v>
      </c>
      <c r="DM212" s="228">
        <v>33.76</v>
      </c>
      <c r="DN212" s="228">
        <v>34.15</v>
      </c>
      <c r="DO212" s="228">
        <v>-0.39</v>
      </c>
      <c r="DP212" s="228">
        <v>-0.39</v>
      </c>
      <c r="DQ212" s="228">
        <v>0.3</v>
      </c>
      <c r="DR212" s="228">
        <v>0.28999999999999998</v>
      </c>
      <c r="DS212" s="228">
        <v>0.01</v>
      </c>
      <c r="DT212" s="229">
        <v>3.4500000000000003E-2</v>
      </c>
      <c r="DU212" s="231">
        <v>3500</v>
      </c>
      <c r="DV212" s="231">
        <v>2800</v>
      </c>
      <c r="DW212" s="228">
        <v>0.13</v>
      </c>
      <c r="DX212" s="228">
        <v>0.15</v>
      </c>
      <c r="DY212" s="228">
        <v>-0.02</v>
      </c>
      <c r="DZ212" s="229">
        <v>-0.1333</v>
      </c>
      <c r="EA212" s="229">
        <v>2.5000000000000001E-2</v>
      </c>
      <c r="EB212" s="230">
        <v>4725</v>
      </c>
      <c r="EC212" s="229">
        <v>3.5999999999999999E-3</v>
      </c>
      <c r="ED212" s="229">
        <v>2.5000000000000001E-2</v>
      </c>
      <c r="EE212" s="228">
        <v>11.99</v>
      </c>
      <c r="EF212" s="229">
        <v>4.0000000000000001E-3</v>
      </c>
      <c r="EG212" s="230">
        <v>109553</v>
      </c>
      <c r="EH212" s="230">
        <v>300838</v>
      </c>
      <c r="EI212" s="229">
        <v>-0.63580000000000003</v>
      </c>
      <c r="EJ212" s="229">
        <v>0.2787</v>
      </c>
      <c r="EK212" s="228">
        <v>124.37</v>
      </c>
      <c r="EL212" s="228">
        <v>14.74</v>
      </c>
      <c r="EM212" s="228">
        <v>35.57</v>
      </c>
      <c r="EN212" s="228">
        <v>29.05</v>
      </c>
      <c r="EO212" s="228">
        <v>174.69</v>
      </c>
      <c r="EP212" s="228">
        <v>632</v>
      </c>
      <c r="EQ212" s="228">
        <v>-457.31</v>
      </c>
      <c r="ER212" s="229">
        <v>-0.72360000000000002</v>
      </c>
      <c r="ES212" s="228">
        <v>107.97</v>
      </c>
      <c r="ET212" s="228">
        <v>28.89</v>
      </c>
      <c r="EU212" s="228">
        <v>81.180000000000007</v>
      </c>
      <c r="EV212" s="231">
        <v>15436318</v>
      </c>
      <c r="EW212" s="228">
        <v>218.04</v>
      </c>
      <c r="EX212" s="228">
        <v>184.23</v>
      </c>
      <c r="EY212" s="228">
        <v>33.81</v>
      </c>
      <c r="EZ212" s="229">
        <v>0.1835</v>
      </c>
      <c r="FA212" s="229">
        <v>4.5900000000000003E-2</v>
      </c>
      <c r="FB212" s="227" t="s">
        <v>567</v>
      </c>
      <c r="FC212">
        <f t="shared" si="4"/>
        <v>0</v>
      </c>
    </row>
    <row r="213" spans="1:159" ht="17.25" thickBot="1" x14ac:dyDescent="0.3">
      <c r="A213" s="226">
        <v>46023</v>
      </c>
      <c r="B213" s="227" t="s">
        <v>221</v>
      </c>
      <c r="C213" s="227" t="s">
        <v>306</v>
      </c>
      <c r="D213" s="228">
        <v>3000</v>
      </c>
      <c r="E213" s="228">
        <v>26</v>
      </c>
      <c r="F213" s="228">
        <v>264.60000000000002</v>
      </c>
      <c r="G213" s="228">
        <v>262.44</v>
      </c>
      <c r="H213" s="228">
        <v>2.16</v>
      </c>
      <c r="I213" s="229">
        <v>8.2000000000000007E-3</v>
      </c>
      <c r="J213" s="228">
        <v>267.35000000000002</v>
      </c>
      <c r="K213" s="228">
        <v>263.27999999999997</v>
      </c>
      <c r="L213" s="228">
        <v>4.07</v>
      </c>
      <c r="M213" s="229">
        <v>1.55E-2</v>
      </c>
      <c r="N213" s="228">
        <v>264.60000000000002</v>
      </c>
      <c r="O213" s="228">
        <v>262.44</v>
      </c>
      <c r="P213" s="228">
        <v>2.16</v>
      </c>
      <c r="Q213" s="229">
        <v>8.2000000000000007E-3</v>
      </c>
      <c r="R213" s="228">
        <v>263.89999999999998</v>
      </c>
      <c r="S213" s="228">
        <v>261.72000000000003</v>
      </c>
      <c r="T213" s="228">
        <v>2.1800000000000002</v>
      </c>
      <c r="U213" s="229">
        <v>8.3000000000000001E-3</v>
      </c>
      <c r="V213" s="228">
        <v>263.95</v>
      </c>
      <c r="W213" s="228">
        <v>261.60000000000002</v>
      </c>
      <c r="X213" s="228">
        <v>2.35</v>
      </c>
      <c r="Y213" s="229">
        <v>8.9999999999999993E-3</v>
      </c>
      <c r="Z213" s="228">
        <v>-2.75</v>
      </c>
      <c r="AA213" s="228">
        <v>-0.84</v>
      </c>
      <c r="AB213" s="228">
        <v>-1.91</v>
      </c>
      <c r="AC213" s="229">
        <v>-1.03E-2</v>
      </c>
      <c r="AD213" s="228">
        <v>-2.75</v>
      </c>
      <c r="AE213" s="228">
        <v>-0.84</v>
      </c>
      <c r="AF213" s="228">
        <v>-1.91</v>
      </c>
      <c r="AG213" s="229">
        <v>-1.03E-2</v>
      </c>
      <c r="AH213" s="228">
        <v>-3.45</v>
      </c>
      <c r="AI213" s="228">
        <v>-1.56</v>
      </c>
      <c r="AJ213" s="228">
        <v>-1.89</v>
      </c>
      <c r="AK213" s="229">
        <v>-1.29E-2</v>
      </c>
      <c r="AL213" s="228">
        <v>-3.4</v>
      </c>
      <c r="AM213" s="228">
        <v>-1.68</v>
      </c>
      <c r="AN213" s="228">
        <v>-1.72</v>
      </c>
      <c r="AO213" s="229">
        <v>-1.2699999999999999E-2</v>
      </c>
      <c r="AP213" s="228">
        <v>264.36</v>
      </c>
      <c r="AQ213" s="228">
        <v>263.60000000000002</v>
      </c>
      <c r="AR213" s="228">
        <v>0</v>
      </c>
      <c r="AS213" s="228">
        <v>219</v>
      </c>
      <c r="AT213" s="228">
        <v>407</v>
      </c>
      <c r="AU213" s="228">
        <v>-188</v>
      </c>
      <c r="AV213" s="229">
        <v>-0.46110000000000001</v>
      </c>
      <c r="AW213" s="228">
        <v>201</v>
      </c>
      <c r="AX213" s="228">
        <v>382</v>
      </c>
      <c r="AY213" s="228">
        <v>-181</v>
      </c>
      <c r="AZ213" s="229">
        <v>-0.47449999999999998</v>
      </c>
      <c r="BA213" s="228">
        <v>14</v>
      </c>
      <c r="BB213" s="228">
        <v>21</v>
      </c>
      <c r="BC213" s="228">
        <v>-7</v>
      </c>
      <c r="BD213" s="229">
        <v>-0.34229999999999999</v>
      </c>
      <c r="BE213" s="228">
        <v>5</v>
      </c>
      <c r="BF213" s="228">
        <v>4</v>
      </c>
      <c r="BG213" s="228">
        <v>1</v>
      </c>
      <c r="BH213" s="229">
        <v>0.16980000000000001</v>
      </c>
      <c r="BI213" s="228">
        <v>735</v>
      </c>
      <c r="BJ213" s="230">
        <v>1240</v>
      </c>
      <c r="BK213" s="228">
        <v>-505</v>
      </c>
      <c r="BL213" s="229">
        <v>-0.40710000000000002</v>
      </c>
      <c r="BM213" s="228">
        <v>340</v>
      </c>
      <c r="BN213" s="228">
        <v>457</v>
      </c>
      <c r="BO213" s="228">
        <v>-117</v>
      </c>
      <c r="BP213" s="229">
        <v>-0.25530000000000003</v>
      </c>
      <c r="BQ213" s="230">
        <v>1295</v>
      </c>
      <c r="BR213" s="230">
        <v>2104</v>
      </c>
      <c r="BS213" s="228">
        <v>-809</v>
      </c>
      <c r="BT213" s="229">
        <v>-0.3846</v>
      </c>
      <c r="BU213" s="230">
        <v>4080909</v>
      </c>
      <c r="BV213" s="230">
        <v>6020567</v>
      </c>
      <c r="BW213" s="230">
        <v>-1939658</v>
      </c>
      <c r="BX213" s="229">
        <v>-0.32219999999999999</v>
      </c>
      <c r="BY213" s="230">
        <v>2607</v>
      </c>
      <c r="BZ213" s="230">
        <v>2582</v>
      </c>
      <c r="CA213" s="228">
        <v>25</v>
      </c>
      <c r="CB213" s="229">
        <v>9.7000000000000003E-3</v>
      </c>
      <c r="CC213" s="230">
        <v>2504</v>
      </c>
      <c r="CD213" s="230">
        <v>2483</v>
      </c>
      <c r="CE213" s="228">
        <v>21</v>
      </c>
      <c r="CF213" s="229">
        <v>8.5000000000000006E-3</v>
      </c>
      <c r="CG213" s="228">
        <v>97</v>
      </c>
      <c r="CH213" s="228">
        <v>96</v>
      </c>
      <c r="CI213" s="228">
        <v>1</v>
      </c>
      <c r="CJ213" s="229">
        <v>6.6E-3</v>
      </c>
      <c r="CK213" s="228">
        <v>7</v>
      </c>
      <c r="CL213" s="228">
        <v>3</v>
      </c>
      <c r="CM213" s="228">
        <v>3</v>
      </c>
      <c r="CN213" s="229">
        <v>1</v>
      </c>
      <c r="CO213" s="228">
        <v>775</v>
      </c>
      <c r="CP213" s="228">
        <v>751</v>
      </c>
      <c r="CQ213" s="228">
        <v>23</v>
      </c>
      <c r="CR213" s="229">
        <v>3.1300000000000001E-2</v>
      </c>
      <c r="CS213" s="228">
        <v>591</v>
      </c>
      <c r="CT213" s="228">
        <v>516</v>
      </c>
      <c r="CU213" s="228">
        <v>75</v>
      </c>
      <c r="CV213" s="229">
        <v>0.14510000000000001</v>
      </c>
      <c r="CW213" s="230">
        <v>3973</v>
      </c>
      <c r="CX213" s="230">
        <v>3849</v>
      </c>
      <c r="CY213" s="228">
        <v>123</v>
      </c>
      <c r="CZ213" s="229">
        <v>3.2000000000000001E-2</v>
      </c>
      <c r="DA213" s="228">
        <v>24.24</v>
      </c>
      <c r="DB213" s="228">
        <v>24.32</v>
      </c>
      <c r="DC213" s="228">
        <v>-0.08</v>
      </c>
      <c r="DD213" s="228">
        <v>-0.08</v>
      </c>
      <c r="DE213" s="228">
        <v>29.3</v>
      </c>
      <c r="DF213" s="228">
        <v>29.35</v>
      </c>
      <c r="DG213" s="228">
        <v>-5.0599999999999996</v>
      </c>
      <c r="DH213" s="228">
        <v>-0.05</v>
      </c>
      <c r="DI213" s="228">
        <v>24.05</v>
      </c>
      <c r="DJ213" s="228">
        <v>24.15</v>
      </c>
      <c r="DK213" s="228">
        <v>-0.1</v>
      </c>
      <c r="DL213" s="228">
        <v>-0.1</v>
      </c>
      <c r="DM213" s="228">
        <v>24.64</v>
      </c>
      <c r="DN213" s="228">
        <v>24.78</v>
      </c>
      <c r="DO213" s="228">
        <v>-0.14000000000000001</v>
      </c>
      <c r="DP213" s="228">
        <v>-0.14000000000000001</v>
      </c>
      <c r="DQ213" s="228">
        <v>0.76</v>
      </c>
      <c r="DR213" s="228">
        <v>0.69</v>
      </c>
      <c r="DS213" s="228">
        <v>7.0000000000000007E-2</v>
      </c>
      <c r="DT213" s="229">
        <v>0.1014</v>
      </c>
      <c r="DU213" s="228">
        <v>265</v>
      </c>
      <c r="DV213" s="228">
        <v>260</v>
      </c>
      <c r="DW213" s="228">
        <v>0.46</v>
      </c>
      <c r="DX213" s="228">
        <v>0.37</v>
      </c>
      <c r="DY213" s="228">
        <v>0.09</v>
      </c>
      <c r="DZ213" s="229">
        <v>0.2432</v>
      </c>
      <c r="EA213" s="229">
        <v>3.9600000000000003E-2</v>
      </c>
      <c r="EB213" s="230">
        <v>3759000</v>
      </c>
      <c r="EC213" s="229">
        <v>-2.5999999999999999E-3</v>
      </c>
      <c r="ED213" s="229">
        <v>3.9600000000000003E-2</v>
      </c>
      <c r="EE213" s="228">
        <v>-0.76</v>
      </c>
      <c r="EF213" s="229">
        <v>-2.8999999999999998E-3</v>
      </c>
      <c r="EG213" s="230">
        <v>1420851</v>
      </c>
      <c r="EH213" s="230">
        <v>3308829</v>
      </c>
      <c r="EI213" s="229">
        <v>-0.5706</v>
      </c>
      <c r="EJ213" s="229">
        <v>0.34820000000000001</v>
      </c>
      <c r="EK213" s="228">
        <v>772.86</v>
      </c>
      <c r="EL213" s="228">
        <v>335.64</v>
      </c>
      <c r="EM213" s="228">
        <v>219.24</v>
      </c>
      <c r="EN213" s="228">
        <v>167.4</v>
      </c>
      <c r="EO213" s="231">
        <v>1327.74</v>
      </c>
      <c r="EP213" s="231">
        <v>2136.35</v>
      </c>
      <c r="EQ213" s="228">
        <v>-808.61</v>
      </c>
      <c r="ER213" s="229">
        <v>-0.3785</v>
      </c>
      <c r="ES213" s="228">
        <v>807.23</v>
      </c>
      <c r="ET213" s="228">
        <v>570.5</v>
      </c>
      <c r="EU213" s="231">
        <v>2606.81</v>
      </c>
      <c r="EV213" s="231">
        <v>358423198</v>
      </c>
      <c r="EW213" s="231">
        <v>3984.53</v>
      </c>
      <c r="EX213" s="231">
        <v>3839.87</v>
      </c>
      <c r="EY213" s="228">
        <v>144.66</v>
      </c>
      <c r="EZ213" s="229">
        <v>3.7699999999999997E-2</v>
      </c>
      <c r="FA213" s="229">
        <v>0.41889999999999999</v>
      </c>
      <c r="FB213" s="227" t="s">
        <v>555</v>
      </c>
      <c r="FC213">
        <f t="shared" si="4"/>
        <v>0</v>
      </c>
    </row>
    <row r="214" spans="1:159" ht="17.25" thickBot="1" x14ac:dyDescent="0.3">
      <c r="A214" s="226">
        <v>46023</v>
      </c>
      <c r="B214" s="227" t="s">
        <v>172</v>
      </c>
      <c r="C214" s="227" t="s">
        <v>590</v>
      </c>
      <c r="D214" s="228">
        <v>31100</v>
      </c>
      <c r="E214" s="228">
        <v>26</v>
      </c>
      <c r="F214" s="228">
        <v>21.61</v>
      </c>
      <c r="G214" s="228">
        <v>21.71</v>
      </c>
      <c r="H214" s="228">
        <v>-0.1</v>
      </c>
      <c r="I214" s="229">
        <v>-4.5999999999999999E-3</v>
      </c>
      <c r="J214" s="228">
        <v>21.49</v>
      </c>
      <c r="K214" s="228">
        <v>21.6</v>
      </c>
      <c r="L214" s="228">
        <v>-0.11</v>
      </c>
      <c r="M214" s="229">
        <v>-5.1000000000000004E-3</v>
      </c>
      <c r="N214" s="228">
        <v>21.61</v>
      </c>
      <c r="O214" s="228">
        <v>21.71</v>
      </c>
      <c r="P214" s="228">
        <v>-0.1</v>
      </c>
      <c r="Q214" s="229">
        <v>-4.5999999999999999E-3</v>
      </c>
      <c r="R214" s="228">
        <v>21.75</v>
      </c>
      <c r="S214" s="228">
        <v>21.85</v>
      </c>
      <c r="T214" s="228">
        <v>-0.1</v>
      </c>
      <c r="U214" s="229">
        <v>-4.5999999999999999E-3</v>
      </c>
      <c r="V214" s="228">
        <v>21.87</v>
      </c>
      <c r="W214" s="228">
        <v>22.03</v>
      </c>
      <c r="X214" s="228">
        <v>-0.16</v>
      </c>
      <c r="Y214" s="229">
        <v>-7.3000000000000001E-3</v>
      </c>
      <c r="Z214" s="228">
        <v>0.12</v>
      </c>
      <c r="AA214" s="228">
        <v>0.11</v>
      </c>
      <c r="AB214" s="228">
        <v>0.01</v>
      </c>
      <c r="AC214" s="229">
        <v>5.5999999999999999E-3</v>
      </c>
      <c r="AD214" s="228">
        <v>0.12</v>
      </c>
      <c r="AE214" s="228">
        <v>0.11</v>
      </c>
      <c r="AF214" s="228">
        <v>0.01</v>
      </c>
      <c r="AG214" s="229">
        <v>5.5999999999999999E-3</v>
      </c>
      <c r="AH214" s="228">
        <v>0.26</v>
      </c>
      <c r="AI214" s="228">
        <v>0.25</v>
      </c>
      <c r="AJ214" s="228">
        <v>0.01</v>
      </c>
      <c r="AK214" s="229">
        <v>1.21E-2</v>
      </c>
      <c r="AL214" s="228">
        <v>0.38</v>
      </c>
      <c r="AM214" s="228">
        <v>0.43</v>
      </c>
      <c r="AN214" s="228">
        <v>-0.05</v>
      </c>
      <c r="AO214" s="229">
        <v>1.77E-2</v>
      </c>
      <c r="AP214" s="228">
        <v>21.62</v>
      </c>
      <c r="AQ214" s="228">
        <v>21.75</v>
      </c>
      <c r="AR214" s="228">
        <v>0</v>
      </c>
      <c r="AS214" s="228">
        <v>138</v>
      </c>
      <c r="AT214" s="228">
        <v>279</v>
      </c>
      <c r="AU214" s="228">
        <v>-141</v>
      </c>
      <c r="AV214" s="229">
        <v>-0.50590000000000002</v>
      </c>
      <c r="AW214" s="228">
        <v>121</v>
      </c>
      <c r="AX214" s="228">
        <v>251</v>
      </c>
      <c r="AY214" s="228">
        <v>-130</v>
      </c>
      <c r="AZ214" s="229">
        <v>-0.51659999999999995</v>
      </c>
      <c r="BA214" s="228">
        <v>13</v>
      </c>
      <c r="BB214" s="228">
        <v>22</v>
      </c>
      <c r="BC214" s="228">
        <v>-9</v>
      </c>
      <c r="BD214" s="229">
        <v>-0.41339999999999999</v>
      </c>
      <c r="BE214" s="228">
        <v>4</v>
      </c>
      <c r="BF214" s="228">
        <v>6</v>
      </c>
      <c r="BG214" s="228">
        <v>-2</v>
      </c>
      <c r="BH214" s="229">
        <v>-0.4022</v>
      </c>
      <c r="BI214" s="228">
        <v>311</v>
      </c>
      <c r="BJ214" s="228">
        <v>472</v>
      </c>
      <c r="BK214" s="228">
        <v>-161</v>
      </c>
      <c r="BL214" s="229">
        <v>-0.34150000000000003</v>
      </c>
      <c r="BM214" s="228">
        <v>76</v>
      </c>
      <c r="BN214" s="228">
        <v>173</v>
      </c>
      <c r="BO214" s="228">
        <v>-97</v>
      </c>
      <c r="BP214" s="229">
        <v>-0.55910000000000004</v>
      </c>
      <c r="BQ214" s="228">
        <v>525</v>
      </c>
      <c r="BR214" s="228">
        <v>925</v>
      </c>
      <c r="BS214" s="228">
        <v>-399</v>
      </c>
      <c r="BT214" s="229">
        <v>-0.432</v>
      </c>
      <c r="BU214" s="230">
        <v>37678802</v>
      </c>
      <c r="BV214" s="230">
        <v>72196019</v>
      </c>
      <c r="BW214" s="230">
        <v>-34517217</v>
      </c>
      <c r="BX214" s="229">
        <v>-0.47810000000000002</v>
      </c>
      <c r="BY214" s="230">
        <v>2411</v>
      </c>
      <c r="BZ214" s="230">
        <v>2401</v>
      </c>
      <c r="CA214" s="228">
        <v>11</v>
      </c>
      <c r="CB214" s="229">
        <v>4.4999999999999997E-3</v>
      </c>
      <c r="CC214" s="230">
        <v>2289</v>
      </c>
      <c r="CD214" s="230">
        <v>2285</v>
      </c>
      <c r="CE214" s="228">
        <v>4</v>
      </c>
      <c r="CF214" s="229">
        <v>1.8E-3</v>
      </c>
      <c r="CG214" s="228">
        <v>116</v>
      </c>
      <c r="CH214" s="228">
        <v>112</v>
      </c>
      <c r="CI214" s="228">
        <v>5</v>
      </c>
      <c r="CJ214" s="229">
        <v>4.0899999999999999E-2</v>
      </c>
      <c r="CK214" s="228">
        <v>6</v>
      </c>
      <c r="CL214" s="228">
        <v>4</v>
      </c>
      <c r="CM214" s="228">
        <v>2</v>
      </c>
      <c r="CN214" s="229">
        <v>0.54390000000000005</v>
      </c>
      <c r="CO214" s="228">
        <v>552</v>
      </c>
      <c r="CP214" s="228">
        <v>532</v>
      </c>
      <c r="CQ214" s="228">
        <v>20</v>
      </c>
      <c r="CR214" s="229">
        <v>3.7699999999999997E-2</v>
      </c>
      <c r="CS214" s="228">
        <v>372</v>
      </c>
      <c r="CT214" s="228">
        <v>357</v>
      </c>
      <c r="CU214" s="228">
        <v>16</v>
      </c>
      <c r="CV214" s="229">
        <v>4.3499999999999997E-2</v>
      </c>
      <c r="CW214" s="230">
        <v>3335</v>
      </c>
      <c r="CX214" s="230">
        <v>3289</v>
      </c>
      <c r="CY214" s="228">
        <v>46</v>
      </c>
      <c r="CZ214" s="229">
        <v>1.41E-2</v>
      </c>
      <c r="DA214" s="228">
        <v>29.28</v>
      </c>
      <c r="DB214" s="228">
        <v>28.79</v>
      </c>
      <c r="DC214" s="228">
        <v>0.49</v>
      </c>
      <c r="DD214" s="228">
        <v>0.49</v>
      </c>
      <c r="DE214" s="228">
        <v>38.69</v>
      </c>
      <c r="DF214" s="228">
        <v>38.78</v>
      </c>
      <c r="DG214" s="228">
        <v>-9.41</v>
      </c>
      <c r="DH214" s="228">
        <v>-0.09</v>
      </c>
      <c r="DI214" s="228">
        <v>29.81</v>
      </c>
      <c r="DJ214" s="228">
        <v>29.24</v>
      </c>
      <c r="DK214" s="228">
        <v>0.56999999999999995</v>
      </c>
      <c r="DL214" s="228">
        <v>0.56999999999999995</v>
      </c>
      <c r="DM214" s="228">
        <v>27.1</v>
      </c>
      <c r="DN214" s="228">
        <v>27.56</v>
      </c>
      <c r="DO214" s="228">
        <v>-0.46</v>
      </c>
      <c r="DP214" s="228">
        <v>-0.46</v>
      </c>
      <c r="DQ214" s="228">
        <v>0.67</v>
      </c>
      <c r="DR214" s="228">
        <v>0.67</v>
      </c>
      <c r="DS214" s="228">
        <v>0</v>
      </c>
      <c r="DT214" s="229">
        <v>0</v>
      </c>
      <c r="DU214" s="228">
        <v>22</v>
      </c>
      <c r="DV214" s="228">
        <v>22</v>
      </c>
      <c r="DW214" s="228">
        <v>0.25</v>
      </c>
      <c r="DX214" s="228">
        <v>0.37</v>
      </c>
      <c r="DY214" s="228">
        <v>-0.12</v>
      </c>
      <c r="DZ214" s="229">
        <v>-0.32429999999999998</v>
      </c>
      <c r="EA214" s="229">
        <v>5.0700000000000002E-2</v>
      </c>
      <c r="EB214" s="230">
        <v>53523100</v>
      </c>
      <c r="EC214" s="229">
        <v>6.4999999999999997E-3</v>
      </c>
      <c r="ED214" s="229">
        <v>5.0700000000000002E-2</v>
      </c>
      <c r="EE214" s="228">
        <v>0.13</v>
      </c>
      <c r="EF214" s="229">
        <v>6.0000000000000001E-3</v>
      </c>
      <c r="EG214" s="230">
        <v>15349074</v>
      </c>
      <c r="EH214" s="230">
        <v>32267242</v>
      </c>
      <c r="EI214" s="229">
        <v>-0.52429999999999999</v>
      </c>
      <c r="EJ214" s="229">
        <v>0.40739999999999998</v>
      </c>
      <c r="EK214" s="228">
        <v>339.72</v>
      </c>
      <c r="EL214" s="228">
        <v>74.69</v>
      </c>
      <c r="EM214" s="228">
        <v>138.16999999999999</v>
      </c>
      <c r="EN214" s="228">
        <v>154.63</v>
      </c>
      <c r="EO214" s="228">
        <v>552.57000000000005</v>
      </c>
      <c r="EP214" s="228">
        <v>961.23</v>
      </c>
      <c r="EQ214" s="228">
        <v>-408.66</v>
      </c>
      <c r="ER214" s="229">
        <v>-0.42509999999999998</v>
      </c>
      <c r="ES214" s="228">
        <v>592.04</v>
      </c>
      <c r="ET214" s="228">
        <v>366.16</v>
      </c>
      <c r="EU214" s="231">
        <v>2412.08</v>
      </c>
      <c r="EV214" s="231">
        <v>3547322779</v>
      </c>
      <c r="EW214" s="231">
        <v>3370.29</v>
      </c>
      <c r="EX214" s="231">
        <v>3334.14</v>
      </c>
      <c r="EY214" s="228">
        <v>36.15</v>
      </c>
      <c r="EZ214" s="229">
        <v>1.0800000000000001E-2</v>
      </c>
      <c r="FA214" s="229">
        <v>0.43509999999999999</v>
      </c>
      <c r="FB214" s="227" t="s">
        <v>567</v>
      </c>
      <c r="FC214">
        <f t="shared" si="4"/>
        <v>0</v>
      </c>
    </row>
    <row r="215" spans="1:159" ht="17.25" thickBot="1" x14ac:dyDescent="0.3">
      <c r="A215" s="226">
        <v>46023</v>
      </c>
      <c r="B215" s="227" t="s">
        <v>170</v>
      </c>
      <c r="C215" s="227" t="s">
        <v>557</v>
      </c>
      <c r="D215" s="228">
        <v>900</v>
      </c>
      <c r="E215" s="228">
        <v>26</v>
      </c>
      <c r="F215" s="228">
        <v>919.3</v>
      </c>
      <c r="G215" s="228">
        <v>917.65</v>
      </c>
      <c r="H215" s="228">
        <v>1.65</v>
      </c>
      <c r="I215" s="229">
        <v>1.8E-3</v>
      </c>
      <c r="J215" s="228">
        <v>915.05</v>
      </c>
      <c r="K215" s="228">
        <v>914.35</v>
      </c>
      <c r="L215" s="228">
        <v>0.7</v>
      </c>
      <c r="M215" s="229">
        <v>8.0000000000000004E-4</v>
      </c>
      <c r="N215" s="228">
        <v>919.3</v>
      </c>
      <c r="O215" s="228">
        <v>917.65</v>
      </c>
      <c r="P215" s="228">
        <v>1.65</v>
      </c>
      <c r="Q215" s="229">
        <v>1.8E-3</v>
      </c>
      <c r="R215" s="228">
        <v>924.1</v>
      </c>
      <c r="S215" s="228">
        <v>923.65</v>
      </c>
      <c r="T215" s="228">
        <v>0.45</v>
      </c>
      <c r="U215" s="229">
        <v>5.0000000000000001E-4</v>
      </c>
      <c r="V215" s="228">
        <v>925</v>
      </c>
      <c r="W215" s="228">
        <v>925</v>
      </c>
      <c r="X215" s="228">
        <v>0</v>
      </c>
      <c r="Y215" s="229">
        <v>0</v>
      </c>
      <c r="Z215" s="228">
        <v>4.25</v>
      </c>
      <c r="AA215" s="228">
        <v>3.3</v>
      </c>
      <c r="AB215" s="228">
        <v>0.95</v>
      </c>
      <c r="AC215" s="229">
        <v>4.5999999999999999E-3</v>
      </c>
      <c r="AD215" s="228">
        <v>4.25</v>
      </c>
      <c r="AE215" s="228">
        <v>3.3</v>
      </c>
      <c r="AF215" s="228">
        <v>0.95</v>
      </c>
      <c r="AG215" s="229">
        <v>4.5999999999999999E-3</v>
      </c>
      <c r="AH215" s="228">
        <v>9.0500000000000007</v>
      </c>
      <c r="AI215" s="228">
        <v>9.3000000000000007</v>
      </c>
      <c r="AJ215" s="228">
        <v>-0.25</v>
      </c>
      <c r="AK215" s="229">
        <v>9.9000000000000008E-3</v>
      </c>
      <c r="AL215" s="228">
        <v>9.9499999999999993</v>
      </c>
      <c r="AM215" s="228">
        <v>10.65</v>
      </c>
      <c r="AN215" s="228">
        <v>-0.7</v>
      </c>
      <c r="AO215" s="229">
        <v>1.09E-2</v>
      </c>
      <c r="AP215" s="228">
        <v>916.29</v>
      </c>
      <c r="AQ215" s="228">
        <v>921.19</v>
      </c>
      <c r="AR215" s="228">
        <v>0</v>
      </c>
      <c r="AS215" s="228">
        <v>61</v>
      </c>
      <c r="AT215" s="228">
        <v>105</v>
      </c>
      <c r="AU215" s="228">
        <v>-44</v>
      </c>
      <c r="AV215" s="229">
        <v>-0.42059999999999997</v>
      </c>
      <c r="AW215" s="228">
        <v>57</v>
      </c>
      <c r="AX215" s="228">
        <v>101</v>
      </c>
      <c r="AY215" s="228">
        <v>-44</v>
      </c>
      <c r="AZ215" s="229">
        <v>-0.43819999999999998</v>
      </c>
      <c r="BA215" s="228">
        <v>4</v>
      </c>
      <c r="BB215" s="228">
        <v>4</v>
      </c>
      <c r="BC215" s="228">
        <v>0</v>
      </c>
      <c r="BD215" s="229">
        <v>2.3300000000000001E-2</v>
      </c>
      <c r="BE215" s="228">
        <v>0</v>
      </c>
      <c r="BF215" s="228">
        <v>0</v>
      </c>
      <c r="BG215" s="228">
        <v>0</v>
      </c>
      <c r="BH215" s="229">
        <v>2</v>
      </c>
      <c r="BI215" s="228">
        <v>130</v>
      </c>
      <c r="BJ215" s="228">
        <v>174</v>
      </c>
      <c r="BK215" s="228">
        <v>-44</v>
      </c>
      <c r="BL215" s="229">
        <v>-0.25119999999999998</v>
      </c>
      <c r="BM215" s="228">
        <v>74</v>
      </c>
      <c r="BN215" s="228">
        <v>105</v>
      </c>
      <c r="BO215" s="228">
        <v>-32</v>
      </c>
      <c r="BP215" s="229">
        <v>-0.30009999999999998</v>
      </c>
      <c r="BQ215" s="228">
        <v>265</v>
      </c>
      <c r="BR215" s="228">
        <v>384</v>
      </c>
      <c r="BS215" s="228">
        <v>-119</v>
      </c>
      <c r="BT215" s="229">
        <v>-0.31080000000000002</v>
      </c>
      <c r="BU215" s="230">
        <v>492814</v>
      </c>
      <c r="BV215" s="230">
        <v>398352</v>
      </c>
      <c r="BW215" s="230">
        <v>94462</v>
      </c>
      <c r="BX215" s="229">
        <v>0.23710000000000001</v>
      </c>
      <c r="BY215" s="228">
        <v>945</v>
      </c>
      <c r="BZ215" s="228">
        <v>953</v>
      </c>
      <c r="CA215" s="228">
        <v>-9</v>
      </c>
      <c r="CB215" s="229">
        <v>-8.8999999999999999E-3</v>
      </c>
      <c r="CC215" s="228">
        <v>921</v>
      </c>
      <c r="CD215" s="228">
        <v>930</v>
      </c>
      <c r="CE215" s="228">
        <v>-9</v>
      </c>
      <c r="CF215" s="229">
        <v>-9.7999999999999997E-3</v>
      </c>
      <c r="CG215" s="228">
        <v>23</v>
      </c>
      <c r="CH215" s="228">
        <v>23</v>
      </c>
      <c r="CI215" s="228">
        <v>0</v>
      </c>
      <c r="CJ215" s="229">
        <v>1.7899999999999999E-2</v>
      </c>
      <c r="CK215" s="228">
        <v>0</v>
      </c>
      <c r="CL215" s="228">
        <v>0</v>
      </c>
      <c r="CM215" s="228">
        <v>0</v>
      </c>
      <c r="CN215" s="229">
        <v>2</v>
      </c>
      <c r="CO215" s="228">
        <v>250</v>
      </c>
      <c r="CP215" s="228">
        <v>224</v>
      </c>
      <c r="CQ215" s="228">
        <v>26</v>
      </c>
      <c r="CR215" s="229">
        <v>0.11840000000000001</v>
      </c>
      <c r="CS215" s="228">
        <v>207</v>
      </c>
      <c r="CT215" s="228">
        <v>183</v>
      </c>
      <c r="CU215" s="228">
        <v>24</v>
      </c>
      <c r="CV215" s="229">
        <v>0.1326</v>
      </c>
      <c r="CW215" s="230">
        <v>1402</v>
      </c>
      <c r="CX215" s="230">
        <v>1360</v>
      </c>
      <c r="CY215" s="228">
        <v>42</v>
      </c>
      <c r="CZ215" s="229">
        <v>3.1E-2</v>
      </c>
      <c r="DA215" s="228">
        <v>17.64</v>
      </c>
      <c r="DB215" s="228">
        <v>18.57</v>
      </c>
      <c r="DC215" s="228">
        <v>-0.93</v>
      </c>
      <c r="DD215" s="228">
        <v>-0.93</v>
      </c>
      <c r="DE215" s="228">
        <v>27.53</v>
      </c>
      <c r="DF215" s="228">
        <v>27.6</v>
      </c>
      <c r="DG215" s="228">
        <v>-9.89</v>
      </c>
      <c r="DH215" s="228">
        <v>-7.0000000000000007E-2</v>
      </c>
      <c r="DI215" s="228">
        <v>17.39</v>
      </c>
      <c r="DJ215" s="228">
        <v>18.37</v>
      </c>
      <c r="DK215" s="228">
        <v>-0.98</v>
      </c>
      <c r="DL215" s="228">
        <v>-0.98</v>
      </c>
      <c r="DM215" s="228">
        <v>18.079999999999998</v>
      </c>
      <c r="DN215" s="228">
        <v>18.91</v>
      </c>
      <c r="DO215" s="228">
        <v>-0.83</v>
      </c>
      <c r="DP215" s="228">
        <v>-0.83</v>
      </c>
      <c r="DQ215" s="228">
        <v>0.83</v>
      </c>
      <c r="DR215" s="228">
        <v>0.82</v>
      </c>
      <c r="DS215" s="228">
        <v>0.01</v>
      </c>
      <c r="DT215" s="229">
        <v>1.2200000000000001E-2</v>
      </c>
      <c r="DU215" s="231">
        <v>1000</v>
      </c>
      <c r="DV215" s="228">
        <v>900</v>
      </c>
      <c r="DW215" s="228">
        <v>0.56999999999999995</v>
      </c>
      <c r="DX215" s="228">
        <v>0.61</v>
      </c>
      <c r="DY215" s="228">
        <v>-0.04</v>
      </c>
      <c r="DZ215" s="229">
        <v>-6.5600000000000006E-2</v>
      </c>
      <c r="EA215" s="229">
        <v>2.5100000000000001E-2</v>
      </c>
      <c r="EB215" s="230">
        <v>252000</v>
      </c>
      <c r="EC215" s="229">
        <v>5.1999999999999998E-3</v>
      </c>
      <c r="ED215" s="229">
        <v>2.5100000000000001E-2</v>
      </c>
      <c r="EE215" s="228">
        <v>4.9000000000000004</v>
      </c>
      <c r="EF215" s="229">
        <v>5.3E-3</v>
      </c>
      <c r="EG215" s="230">
        <v>230221</v>
      </c>
      <c r="EH215" s="230">
        <v>195274</v>
      </c>
      <c r="EI215" s="229">
        <v>0.17899999999999999</v>
      </c>
      <c r="EJ215" s="229">
        <v>0.4672</v>
      </c>
      <c r="EK215" s="228">
        <v>134.93</v>
      </c>
      <c r="EL215" s="228">
        <v>71.77</v>
      </c>
      <c r="EM215" s="228">
        <v>60.47</v>
      </c>
      <c r="EN215" s="228">
        <v>52.06</v>
      </c>
      <c r="EO215" s="228">
        <v>267.16000000000003</v>
      </c>
      <c r="EP215" s="228">
        <v>389.49</v>
      </c>
      <c r="EQ215" s="228">
        <v>-122.33</v>
      </c>
      <c r="ER215" s="229">
        <v>-0.31409999999999999</v>
      </c>
      <c r="ES215" s="228">
        <v>259.14999999999998</v>
      </c>
      <c r="ET215" s="228">
        <v>205.42</v>
      </c>
      <c r="EU215" s="228">
        <v>945.06</v>
      </c>
      <c r="EV215" s="231">
        <v>37741451</v>
      </c>
      <c r="EW215" s="231">
        <v>1409.63</v>
      </c>
      <c r="EX215" s="231">
        <v>1366.15</v>
      </c>
      <c r="EY215" s="228">
        <v>43.48</v>
      </c>
      <c r="EZ215" s="229">
        <v>3.1800000000000002E-2</v>
      </c>
      <c r="FA215" s="229">
        <v>0.40410000000000001</v>
      </c>
      <c r="FB215" s="227" t="s">
        <v>556</v>
      </c>
      <c r="FC215">
        <f t="shared" si="4"/>
        <v>0</v>
      </c>
    </row>
    <row r="216" spans="1:159" x14ac:dyDescent="0.25">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BY325-CC325</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BY389-CC389</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BY152" sqref="BY152"/>
    </sheetView>
  </sheetViews>
  <sheetFormatPr defaultRowHeight="15" x14ac:dyDescent="0.25"/>
  <cols>
    <col min="1" max="1" width="11.57031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4" customWidth="1"/>
    <col min="79" max="79" width="9" customWidth="1"/>
    <col min="80" max="81" width="15.5703125" customWidth="1"/>
    <col min="82" max="82" width="14" customWidth="1"/>
    <col min="83" max="83" width="11.42578125" customWidth="1"/>
    <col min="84" max="84" width="14" customWidth="1"/>
    <col min="85" max="85" width="14.42578125" customWidth="1"/>
    <col min="86" max="86" width="13.5703125" customWidth="1"/>
    <col min="87" max="87" width="11.42578125" customWidth="1"/>
    <col min="88" max="89" width="12.7109375" customWidth="1"/>
    <col min="90" max="90" width="11.5703125" customWidth="1"/>
    <col min="91" max="91" width="11.28515625" customWidth="1"/>
    <col min="92" max="93" width="15.5703125" customWidth="1"/>
    <col min="94" max="94" width="14" customWidth="1"/>
    <col min="95" max="95" width="10.42578125" customWidth="1"/>
    <col min="96" max="97" width="15.5703125" customWidth="1"/>
    <col min="98" max="98" width="14" customWidth="1"/>
    <col min="99" max="99" width="10.28515625" customWidth="1"/>
    <col min="100" max="101" width="16.7109375" customWidth="1"/>
    <col min="102" max="102" width="14" customWidth="1"/>
    <col min="103" max="103" width="11.7109375" customWidth="1"/>
    <col min="104" max="104" width="8" style="195" customWidth="1"/>
    <col min="105" max="105" width="8.7109375" customWidth="1"/>
    <col min="106" max="107" width="8.855468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9.5703125" customWidth="1"/>
    <col min="152" max="153" width="16.7109375" customWidth="1"/>
    <col min="154"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46023</v>
      </c>
      <c r="B2" s="227" t="s">
        <v>175</v>
      </c>
      <c r="C2" s="227" t="s">
        <v>682</v>
      </c>
      <c r="D2" s="228">
        <v>500</v>
      </c>
      <c r="E2" s="231">
        <v>1182.5</v>
      </c>
      <c r="F2" s="231">
        <v>1186.9000000000001</v>
      </c>
      <c r="G2" s="228">
        <v>-4.4000000000000004</v>
      </c>
      <c r="H2" s="229">
        <v>-3.7000000000000002E-3</v>
      </c>
      <c r="I2" s="231">
        <v>1179.7</v>
      </c>
      <c r="J2" s="231">
        <v>1190</v>
      </c>
      <c r="K2" s="228">
        <v>-10.3</v>
      </c>
      <c r="L2" s="229">
        <v>-8.6999999999999994E-3</v>
      </c>
      <c r="M2" s="231">
        <v>1182.5</v>
      </c>
      <c r="N2" s="231">
        <v>1186.9000000000001</v>
      </c>
      <c r="O2" s="228">
        <v>-4.4000000000000004</v>
      </c>
      <c r="P2" s="229">
        <v>-3.7000000000000002E-3</v>
      </c>
      <c r="Q2" s="231">
        <v>1181.4000000000001</v>
      </c>
      <c r="R2" s="231">
        <v>1184.5</v>
      </c>
      <c r="S2" s="228">
        <v>-3.1</v>
      </c>
      <c r="T2" s="229">
        <v>-2.5999999999999999E-3</v>
      </c>
      <c r="U2" s="228">
        <v>0</v>
      </c>
      <c r="V2" s="228">
        <v>0</v>
      </c>
      <c r="W2" s="228">
        <v>0</v>
      </c>
      <c r="X2" s="229">
        <v>0</v>
      </c>
      <c r="Y2" s="228">
        <v>2.8</v>
      </c>
      <c r="Z2" s="228">
        <v>-3.1</v>
      </c>
      <c r="AA2" s="228">
        <v>5.9</v>
      </c>
      <c r="AB2" s="229">
        <v>2.3999999999999998E-3</v>
      </c>
      <c r="AC2" s="228">
        <v>2.8</v>
      </c>
      <c r="AD2" s="228">
        <v>-3.1</v>
      </c>
      <c r="AE2" s="228">
        <v>5.9</v>
      </c>
      <c r="AF2" s="229">
        <v>2.3999999999999998E-3</v>
      </c>
      <c r="AG2" s="228">
        <v>1.7</v>
      </c>
      <c r="AH2" s="228">
        <v>-5.5</v>
      </c>
      <c r="AI2" s="228">
        <v>7.2</v>
      </c>
      <c r="AJ2" s="229">
        <v>1.4E-3</v>
      </c>
      <c r="AK2" s="228">
        <v>0</v>
      </c>
      <c r="AL2" s="228">
        <v>0</v>
      </c>
      <c r="AM2" s="228">
        <v>0</v>
      </c>
      <c r="AN2" s="229">
        <v>0</v>
      </c>
      <c r="AO2" s="231">
        <v>1180.06</v>
      </c>
      <c r="AP2" s="231">
        <v>1176.82</v>
      </c>
      <c r="AQ2" s="228">
        <v>0</v>
      </c>
      <c r="AR2" s="230">
        <v>191500</v>
      </c>
      <c r="AS2" s="230">
        <v>449500</v>
      </c>
      <c r="AT2" s="230">
        <v>-258000</v>
      </c>
      <c r="AU2" s="229">
        <v>-0.57399999999999995</v>
      </c>
      <c r="AV2" s="230">
        <v>180500</v>
      </c>
      <c r="AW2" s="230">
        <v>438000</v>
      </c>
      <c r="AX2" s="230">
        <v>-257500</v>
      </c>
      <c r="AY2" s="229">
        <v>-0.58789999999999998</v>
      </c>
      <c r="AZ2" s="230">
        <v>11000</v>
      </c>
      <c r="BA2" s="230">
        <v>11500</v>
      </c>
      <c r="BB2" s="228">
        <v>-500</v>
      </c>
      <c r="BC2" s="229">
        <v>-4.3499999999999997E-2</v>
      </c>
      <c r="BD2" s="228">
        <v>0</v>
      </c>
      <c r="BE2" s="228">
        <v>0</v>
      </c>
      <c r="BF2" s="228">
        <v>0</v>
      </c>
      <c r="BG2" s="229">
        <v>0</v>
      </c>
      <c r="BH2" s="230">
        <v>218000</v>
      </c>
      <c r="BI2" s="230">
        <v>703500</v>
      </c>
      <c r="BJ2" s="230">
        <v>-485500</v>
      </c>
      <c r="BK2" s="229">
        <v>-0.69010000000000005</v>
      </c>
      <c r="BL2" s="230">
        <v>36500</v>
      </c>
      <c r="BM2" s="230">
        <v>103500</v>
      </c>
      <c r="BN2" s="230">
        <v>-67000</v>
      </c>
      <c r="BO2" s="229">
        <v>-0.64729999999999999</v>
      </c>
      <c r="BP2" s="230">
        <v>446000</v>
      </c>
      <c r="BQ2" s="230">
        <v>1256500</v>
      </c>
      <c r="BR2" s="230">
        <v>-810500</v>
      </c>
      <c r="BS2" s="229">
        <v>-0.64500000000000002</v>
      </c>
      <c r="BT2" s="230">
        <v>136620</v>
      </c>
      <c r="BU2" s="230">
        <v>366650</v>
      </c>
      <c r="BV2" s="230">
        <v>-230030</v>
      </c>
      <c r="BW2" s="229">
        <v>-0.62739999999999996</v>
      </c>
      <c r="BX2" s="230">
        <v>2289500</v>
      </c>
      <c r="BY2" s="230">
        <v>2263500</v>
      </c>
      <c r="BZ2" s="230">
        <v>26000</v>
      </c>
      <c r="CA2" s="229">
        <v>1.15E-2</v>
      </c>
      <c r="CB2" s="230">
        <v>2248500</v>
      </c>
      <c r="CC2" s="230">
        <v>2222500</v>
      </c>
      <c r="CD2" s="230">
        <v>26000</v>
      </c>
      <c r="CE2" s="229">
        <v>1.17E-2</v>
      </c>
      <c r="CF2" s="230">
        <v>41000</v>
      </c>
      <c r="CG2" s="230">
        <v>41000</v>
      </c>
      <c r="CH2" s="228">
        <v>0</v>
      </c>
      <c r="CI2" s="229">
        <v>0</v>
      </c>
      <c r="CJ2" s="228">
        <v>0</v>
      </c>
      <c r="CK2" s="228">
        <v>0</v>
      </c>
      <c r="CL2" s="228">
        <v>0</v>
      </c>
      <c r="CM2" s="229">
        <v>0</v>
      </c>
      <c r="CN2" s="230">
        <v>451000</v>
      </c>
      <c r="CO2" s="230">
        <v>424000</v>
      </c>
      <c r="CP2" s="230">
        <v>27000</v>
      </c>
      <c r="CQ2" s="229">
        <v>6.3700000000000007E-2</v>
      </c>
      <c r="CR2" s="230">
        <v>185500</v>
      </c>
      <c r="CS2" s="230">
        <v>180000</v>
      </c>
      <c r="CT2" s="230">
        <v>5500</v>
      </c>
      <c r="CU2" s="229">
        <v>3.0599999999999999E-2</v>
      </c>
      <c r="CV2" s="230">
        <v>2926000</v>
      </c>
      <c r="CW2" s="230">
        <v>2867500</v>
      </c>
      <c r="CX2" s="230">
        <v>58500</v>
      </c>
      <c r="CY2" s="229">
        <v>2.0400000000000001E-2</v>
      </c>
      <c r="CZ2" s="228">
        <v>29.65</v>
      </c>
      <c r="DA2" s="228">
        <v>30.42</v>
      </c>
      <c r="DB2" s="228">
        <v>-0.77</v>
      </c>
      <c r="DC2" s="228">
        <v>-0.77</v>
      </c>
      <c r="DD2" s="228">
        <v>42.71</v>
      </c>
      <c r="DE2" s="228">
        <v>42.8</v>
      </c>
      <c r="DF2" s="228">
        <v>-13.06</v>
      </c>
      <c r="DG2" s="228">
        <v>-0.09</v>
      </c>
      <c r="DH2" s="228">
        <v>29.68</v>
      </c>
      <c r="DI2" s="228">
        <v>30.43</v>
      </c>
      <c r="DJ2" s="228">
        <v>-0.75</v>
      </c>
      <c r="DK2" s="228">
        <v>-0.75</v>
      </c>
      <c r="DL2" s="228">
        <v>29.46</v>
      </c>
      <c r="DM2" s="228">
        <v>30.31</v>
      </c>
      <c r="DN2" s="228">
        <v>-0.85</v>
      </c>
      <c r="DO2" s="228">
        <v>-0.85</v>
      </c>
      <c r="DP2" s="228">
        <v>0.41</v>
      </c>
      <c r="DQ2" s="228">
        <v>0.42</v>
      </c>
      <c r="DR2" s="228">
        <v>-0.01</v>
      </c>
      <c r="DS2" s="229">
        <v>-2.3800000000000002E-2</v>
      </c>
      <c r="DT2" s="231">
        <v>1200</v>
      </c>
      <c r="DU2" s="231">
        <v>1200</v>
      </c>
      <c r="DV2" s="228">
        <v>0.17</v>
      </c>
      <c r="DW2" s="228">
        <v>0.15</v>
      </c>
      <c r="DX2" s="228">
        <v>0.02</v>
      </c>
      <c r="DY2" s="229">
        <v>0.1333</v>
      </c>
      <c r="DZ2" s="229">
        <v>1.7899999999999999E-2</v>
      </c>
      <c r="EA2" s="230">
        <v>41000</v>
      </c>
      <c r="EB2" s="229">
        <v>-8.9999999999999998E-4</v>
      </c>
      <c r="EC2" s="229">
        <v>1.7899999999999999E-2</v>
      </c>
      <c r="ED2" s="228">
        <v>-3.24</v>
      </c>
      <c r="EE2" s="229">
        <v>-2.7000000000000001E-3</v>
      </c>
      <c r="EF2" s="230">
        <v>70329</v>
      </c>
      <c r="EG2" s="230">
        <v>151673</v>
      </c>
      <c r="EH2" s="229">
        <v>-0.5363</v>
      </c>
      <c r="EI2" s="229">
        <v>0.51480000000000004</v>
      </c>
      <c r="EJ2" s="231">
        <v>2694.96</v>
      </c>
      <c r="EK2" s="228">
        <v>427.62</v>
      </c>
      <c r="EL2" s="231">
        <v>2259.46</v>
      </c>
      <c r="EM2" s="231">
        <v>2907</v>
      </c>
      <c r="EN2" s="231">
        <v>5382.04</v>
      </c>
      <c r="EO2" s="231">
        <v>15237.8</v>
      </c>
      <c r="EP2" s="231">
        <v>-9855.76</v>
      </c>
      <c r="EQ2" s="229">
        <v>-0.64680000000000004</v>
      </c>
      <c r="ER2" s="231">
        <v>5544</v>
      </c>
      <c r="ES2" s="231">
        <v>2147</v>
      </c>
      <c r="ET2" s="231">
        <v>27073</v>
      </c>
      <c r="EU2" s="231">
        <v>36943219</v>
      </c>
      <c r="EV2" s="231">
        <v>34764</v>
      </c>
      <c r="EW2" s="231">
        <v>34161</v>
      </c>
      <c r="EX2" s="228">
        <v>603</v>
      </c>
      <c r="EY2" s="229">
        <v>1.77E-2</v>
      </c>
      <c r="EZ2" s="229">
        <v>7.9200000000000007E-2</v>
      </c>
      <c r="FA2" s="227" t="s">
        <v>567</v>
      </c>
      <c r="FB2" s="161">
        <f>BX2-CB2</f>
        <v>41000</v>
      </c>
    </row>
    <row r="3" spans="1:158" ht="17.25" hidden="1" thickBot="1" x14ac:dyDescent="0.3">
      <c r="A3" s="226">
        <v>46023</v>
      </c>
      <c r="B3" s="227" t="s">
        <v>184</v>
      </c>
      <c r="C3" s="227" t="s">
        <v>553</v>
      </c>
      <c r="D3" s="228">
        <v>125</v>
      </c>
      <c r="E3" s="231">
        <v>5209</v>
      </c>
      <c r="F3" s="231">
        <v>5204</v>
      </c>
      <c r="G3" s="228">
        <v>5</v>
      </c>
      <c r="H3" s="229">
        <v>1E-3</v>
      </c>
      <c r="I3" s="231">
        <v>5176.5</v>
      </c>
      <c r="J3" s="231">
        <v>5170</v>
      </c>
      <c r="K3" s="228">
        <v>6.5</v>
      </c>
      <c r="L3" s="229">
        <v>1.2999999999999999E-3</v>
      </c>
      <c r="M3" s="231">
        <v>5209</v>
      </c>
      <c r="N3" s="231">
        <v>5204</v>
      </c>
      <c r="O3" s="228">
        <v>5</v>
      </c>
      <c r="P3" s="229">
        <v>1E-3</v>
      </c>
      <c r="Q3" s="231">
        <v>5228</v>
      </c>
      <c r="R3" s="231">
        <v>5221.5</v>
      </c>
      <c r="S3" s="228">
        <v>6.5</v>
      </c>
      <c r="T3" s="229">
        <v>1.1999999999999999E-3</v>
      </c>
      <c r="U3" s="231">
        <v>5233</v>
      </c>
      <c r="V3" s="231">
        <v>5241</v>
      </c>
      <c r="W3" s="228">
        <v>-8</v>
      </c>
      <c r="X3" s="229">
        <v>-1.5E-3</v>
      </c>
      <c r="Y3" s="228">
        <v>32.5</v>
      </c>
      <c r="Z3" s="228">
        <v>34</v>
      </c>
      <c r="AA3" s="228">
        <v>-1.5</v>
      </c>
      <c r="AB3" s="229">
        <v>6.3E-3</v>
      </c>
      <c r="AC3" s="228">
        <v>32.5</v>
      </c>
      <c r="AD3" s="228">
        <v>34</v>
      </c>
      <c r="AE3" s="228">
        <v>-1.5</v>
      </c>
      <c r="AF3" s="229">
        <v>6.3E-3</v>
      </c>
      <c r="AG3" s="228">
        <v>51.5</v>
      </c>
      <c r="AH3" s="228">
        <v>51.5</v>
      </c>
      <c r="AI3" s="228">
        <v>0</v>
      </c>
      <c r="AJ3" s="229">
        <v>9.9000000000000008E-3</v>
      </c>
      <c r="AK3" s="228">
        <v>56.5</v>
      </c>
      <c r="AL3" s="228">
        <v>71</v>
      </c>
      <c r="AM3" s="228">
        <v>-14.5</v>
      </c>
      <c r="AN3" s="229">
        <v>1.09E-2</v>
      </c>
      <c r="AO3" s="231">
        <v>5200.0200000000004</v>
      </c>
      <c r="AP3" s="231">
        <v>5216.67</v>
      </c>
      <c r="AQ3" s="228">
        <v>0</v>
      </c>
      <c r="AR3" s="230">
        <v>131000</v>
      </c>
      <c r="AS3" s="230">
        <v>174125</v>
      </c>
      <c r="AT3" s="230">
        <v>-43125</v>
      </c>
      <c r="AU3" s="229">
        <v>-0.2477</v>
      </c>
      <c r="AV3" s="230">
        <v>125875</v>
      </c>
      <c r="AW3" s="230">
        <v>167500</v>
      </c>
      <c r="AX3" s="230">
        <v>-41625</v>
      </c>
      <c r="AY3" s="229">
        <v>-0.2485</v>
      </c>
      <c r="AZ3" s="230">
        <v>4500</v>
      </c>
      <c r="BA3" s="230">
        <v>6250</v>
      </c>
      <c r="BB3" s="230">
        <v>-1750</v>
      </c>
      <c r="BC3" s="229">
        <v>-0.28000000000000003</v>
      </c>
      <c r="BD3" s="228">
        <v>625</v>
      </c>
      <c r="BE3" s="228">
        <v>375</v>
      </c>
      <c r="BF3" s="228">
        <v>250</v>
      </c>
      <c r="BG3" s="229">
        <v>0.66669999999999996</v>
      </c>
      <c r="BH3" s="230">
        <v>245000</v>
      </c>
      <c r="BI3" s="230">
        <v>350625</v>
      </c>
      <c r="BJ3" s="230">
        <v>-105625</v>
      </c>
      <c r="BK3" s="229">
        <v>-0.30120000000000002</v>
      </c>
      <c r="BL3" s="230">
        <v>84875</v>
      </c>
      <c r="BM3" s="230">
        <v>189250</v>
      </c>
      <c r="BN3" s="230">
        <v>-104375</v>
      </c>
      <c r="BO3" s="229">
        <v>-0.55149999999999999</v>
      </c>
      <c r="BP3" s="230">
        <v>460875</v>
      </c>
      <c r="BQ3" s="230">
        <v>714000</v>
      </c>
      <c r="BR3" s="230">
        <v>-253125</v>
      </c>
      <c r="BS3" s="229">
        <v>-0.35449999999999998</v>
      </c>
      <c r="BT3" s="230">
        <v>41543</v>
      </c>
      <c r="BU3" s="230">
        <v>111005</v>
      </c>
      <c r="BV3" s="230">
        <v>-69462</v>
      </c>
      <c r="BW3" s="229">
        <v>-0.62580000000000002</v>
      </c>
      <c r="BX3" s="230">
        <v>2252750</v>
      </c>
      <c r="BY3" s="230">
        <v>2269000</v>
      </c>
      <c r="BZ3" s="230">
        <v>-16250</v>
      </c>
      <c r="CA3" s="229">
        <v>-7.1999999999999998E-3</v>
      </c>
      <c r="CB3" s="230">
        <v>2192500</v>
      </c>
      <c r="CC3" s="230">
        <v>2208750</v>
      </c>
      <c r="CD3" s="230">
        <v>-16250</v>
      </c>
      <c r="CE3" s="229">
        <v>-7.4000000000000003E-3</v>
      </c>
      <c r="CF3" s="230">
        <v>59500</v>
      </c>
      <c r="CG3" s="230">
        <v>59875</v>
      </c>
      <c r="CH3" s="228">
        <v>-375</v>
      </c>
      <c r="CI3" s="229">
        <v>-6.3E-3</v>
      </c>
      <c r="CJ3" s="228">
        <v>750</v>
      </c>
      <c r="CK3" s="228">
        <v>375</v>
      </c>
      <c r="CL3" s="228">
        <v>375</v>
      </c>
      <c r="CM3" s="229">
        <v>1</v>
      </c>
      <c r="CN3" s="230">
        <v>390625</v>
      </c>
      <c r="CO3" s="230">
        <v>360250</v>
      </c>
      <c r="CP3" s="230">
        <v>30375</v>
      </c>
      <c r="CQ3" s="229">
        <v>8.43E-2</v>
      </c>
      <c r="CR3" s="230">
        <v>415250</v>
      </c>
      <c r="CS3" s="230">
        <v>391125</v>
      </c>
      <c r="CT3" s="230">
        <v>24125</v>
      </c>
      <c r="CU3" s="229">
        <v>6.1699999999999998E-2</v>
      </c>
      <c r="CV3" s="230">
        <v>3058625</v>
      </c>
      <c r="CW3" s="230">
        <v>3020375</v>
      </c>
      <c r="CX3" s="230">
        <v>38250</v>
      </c>
      <c r="CY3" s="229">
        <v>1.2699999999999999E-2</v>
      </c>
      <c r="CZ3" s="228">
        <v>19.53</v>
      </c>
      <c r="DA3" s="228">
        <v>20.37</v>
      </c>
      <c r="DB3" s="228">
        <v>-0.84</v>
      </c>
      <c r="DC3" s="228">
        <v>-0.84</v>
      </c>
      <c r="DD3" s="228">
        <v>33.75</v>
      </c>
      <c r="DE3" s="228">
        <v>33.83</v>
      </c>
      <c r="DF3" s="228">
        <v>-14.22</v>
      </c>
      <c r="DG3" s="228">
        <v>-0.08</v>
      </c>
      <c r="DH3" s="228">
        <v>19.46</v>
      </c>
      <c r="DI3" s="228">
        <v>19.670000000000002</v>
      </c>
      <c r="DJ3" s="228">
        <v>-0.21</v>
      </c>
      <c r="DK3" s="228">
        <v>-0.21</v>
      </c>
      <c r="DL3" s="228">
        <v>19.72</v>
      </c>
      <c r="DM3" s="228">
        <v>21.66</v>
      </c>
      <c r="DN3" s="228">
        <v>-1.94</v>
      </c>
      <c r="DO3" s="228">
        <v>-1.94</v>
      </c>
      <c r="DP3" s="228">
        <v>1.06</v>
      </c>
      <c r="DQ3" s="228">
        <v>1.0900000000000001</v>
      </c>
      <c r="DR3" s="228">
        <v>-0.03</v>
      </c>
      <c r="DS3" s="229">
        <v>-2.75E-2</v>
      </c>
      <c r="DT3" s="231">
        <v>5200</v>
      </c>
      <c r="DU3" s="231">
        <v>5200</v>
      </c>
      <c r="DV3" s="228">
        <v>0.35</v>
      </c>
      <c r="DW3" s="228">
        <v>0.54</v>
      </c>
      <c r="DX3" s="228">
        <v>-0.19</v>
      </c>
      <c r="DY3" s="229">
        <v>-0.35189999999999999</v>
      </c>
      <c r="DZ3" s="229">
        <v>2.6700000000000002E-2</v>
      </c>
      <c r="EA3" s="230">
        <v>60250</v>
      </c>
      <c r="EB3" s="229">
        <v>3.5999999999999999E-3</v>
      </c>
      <c r="EC3" s="229">
        <v>2.6700000000000002E-2</v>
      </c>
      <c r="ED3" s="228">
        <v>16.649999999999999</v>
      </c>
      <c r="EE3" s="229">
        <v>3.2000000000000002E-3</v>
      </c>
      <c r="EF3" s="230">
        <v>15866</v>
      </c>
      <c r="EG3" s="230">
        <v>70323</v>
      </c>
      <c r="EH3" s="229">
        <v>-0.77439999999999998</v>
      </c>
      <c r="EI3" s="229">
        <v>0.38190000000000002</v>
      </c>
      <c r="EJ3" s="231">
        <v>13172.32</v>
      </c>
      <c r="EK3" s="231">
        <v>4382.55</v>
      </c>
      <c r="EL3" s="231">
        <v>6813</v>
      </c>
      <c r="EM3" s="231">
        <v>7692</v>
      </c>
      <c r="EN3" s="231">
        <v>24367.87</v>
      </c>
      <c r="EO3" s="231">
        <v>37818.550000000003</v>
      </c>
      <c r="EP3" s="231">
        <v>-13450.68</v>
      </c>
      <c r="EQ3" s="229">
        <v>-0.35570000000000002</v>
      </c>
      <c r="ER3" s="231">
        <v>20892</v>
      </c>
      <c r="ES3" s="231">
        <v>21729</v>
      </c>
      <c r="ET3" s="231">
        <v>117357</v>
      </c>
      <c r="EU3" s="231">
        <v>7946564</v>
      </c>
      <c r="EV3" s="231">
        <v>159978</v>
      </c>
      <c r="EW3" s="231">
        <v>157846</v>
      </c>
      <c r="EX3" s="231">
        <v>2132</v>
      </c>
      <c r="EY3" s="229">
        <v>1.35E-2</v>
      </c>
      <c r="EZ3" s="229">
        <v>0.38490000000000002</v>
      </c>
      <c r="FA3" s="227" t="s">
        <v>556</v>
      </c>
      <c r="FB3" s="161">
        <f t="shared" ref="FB3:FB66" si="0">BX3-CB3</f>
        <v>60250</v>
      </c>
    </row>
    <row r="4" spans="1:158" ht="17.25" hidden="1" thickBot="1" x14ac:dyDescent="0.3">
      <c r="A4" s="226">
        <v>46023</v>
      </c>
      <c r="B4" s="227" t="s">
        <v>175</v>
      </c>
      <c r="C4" s="227" t="s">
        <v>544</v>
      </c>
      <c r="D4" s="228">
        <v>3100</v>
      </c>
      <c r="E4" s="228">
        <v>364.4</v>
      </c>
      <c r="F4" s="228">
        <v>360</v>
      </c>
      <c r="G4" s="228">
        <v>4.4000000000000004</v>
      </c>
      <c r="H4" s="229">
        <v>1.2200000000000001E-2</v>
      </c>
      <c r="I4" s="228">
        <v>361.95</v>
      </c>
      <c r="J4" s="228">
        <v>357.7</v>
      </c>
      <c r="K4" s="228">
        <v>4.25</v>
      </c>
      <c r="L4" s="229">
        <v>1.1900000000000001E-2</v>
      </c>
      <c r="M4" s="228">
        <v>364.4</v>
      </c>
      <c r="N4" s="228">
        <v>360</v>
      </c>
      <c r="O4" s="228">
        <v>4.4000000000000004</v>
      </c>
      <c r="P4" s="229">
        <v>1.2200000000000001E-2</v>
      </c>
      <c r="Q4" s="228">
        <v>366.5</v>
      </c>
      <c r="R4" s="228">
        <v>361.75</v>
      </c>
      <c r="S4" s="228">
        <v>4.75</v>
      </c>
      <c r="T4" s="229">
        <v>1.3100000000000001E-2</v>
      </c>
      <c r="U4" s="228">
        <v>367.6</v>
      </c>
      <c r="V4" s="228">
        <v>365.65</v>
      </c>
      <c r="W4" s="228">
        <v>1.95</v>
      </c>
      <c r="X4" s="229">
        <v>5.3E-3</v>
      </c>
      <c r="Y4" s="228">
        <v>2.4500000000000002</v>
      </c>
      <c r="Z4" s="228">
        <v>2.2999999999999998</v>
      </c>
      <c r="AA4" s="228">
        <v>0.15</v>
      </c>
      <c r="AB4" s="229">
        <v>6.7999999999999996E-3</v>
      </c>
      <c r="AC4" s="228">
        <v>2.4500000000000002</v>
      </c>
      <c r="AD4" s="228">
        <v>2.2999999999999998</v>
      </c>
      <c r="AE4" s="228">
        <v>0.15</v>
      </c>
      <c r="AF4" s="229">
        <v>6.7999999999999996E-3</v>
      </c>
      <c r="AG4" s="228">
        <v>4.55</v>
      </c>
      <c r="AH4" s="228">
        <v>4.05</v>
      </c>
      <c r="AI4" s="228">
        <v>0.5</v>
      </c>
      <c r="AJ4" s="229">
        <v>1.26E-2</v>
      </c>
      <c r="AK4" s="228">
        <v>5.65</v>
      </c>
      <c r="AL4" s="228">
        <v>7.95</v>
      </c>
      <c r="AM4" s="228">
        <v>-2.2999999999999998</v>
      </c>
      <c r="AN4" s="229">
        <v>1.5599999999999999E-2</v>
      </c>
      <c r="AO4" s="228">
        <v>361.51</v>
      </c>
      <c r="AP4" s="228">
        <v>363.49</v>
      </c>
      <c r="AQ4" s="228">
        <v>0</v>
      </c>
      <c r="AR4" s="230">
        <v>8680000</v>
      </c>
      <c r="AS4" s="230">
        <v>15996000</v>
      </c>
      <c r="AT4" s="230">
        <v>-7316000</v>
      </c>
      <c r="AU4" s="229">
        <v>-0.45739999999999997</v>
      </c>
      <c r="AV4" s="230">
        <v>8357600</v>
      </c>
      <c r="AW4" s="230">
        <v>15152800</v>
      </c>
      <c r="AX4" s="230">
        <v>-6795200</v>
      </c>
      <c r="AY4" s="229">
        <v>-0.44840000000000002</v>
      </c>
      <c r="AZ4" s="230">
        <v>303800</v>
      </c>
      <c r="BA4" s="230">
        <v>806000</v>
      </c>
      <c r="BB4" s="230">
        <v>-502200</v>
      </c>
      <c r="BC4" s="229">
        <v>-0.62309999999999999</v>
      </c>
      <c r="BD4" s="230">
        <v>18600</v>
      </c>
      <c r="BE4" s="230">
        <v>37200</v>
      </c>
      <c r="BF4" s="230">
        <v>-18600</v>
      </c>
      <c r="BG4" s="229">
        <v>-0.5</v>
      </c>
      <c r="BH4" s="230">
        <v>43641800</v>
      </c>
      <c r="BI4" s="230">
        <v>37045000</v>
      </c>
      <c r="BJ4" s="230">
        <v>6596800</v>
      </c>
      <c r="BK4" s="229">
        <v>0.17810000000000001</v>
      </c>
      <c r="BL4" s="230">
        <v>12927000</v>
      </c>
      <c r="BM4" s="230">
        <v>16414500</v>
      </c>
      <c r="BN4" s="230">
        <v>-3487500</v>
      </c>
      <c r="BO4" s="229">
        <v>-0.21249999999999999</v>
      </c>
      <c r="BP4" s="230">
        <v>65248800</v>
      </c>
      <c r="BQ4" s="230">
        <v>69455500</v>
      </c>
      <c r="BR4" s="230">
        <v>-4206700</v>
      </c>
      <c r="BS4" s="229">
        <v>-6.0600000000000001E-2</v>
      </c>
      <c r="BT4" s="230">
        <v>3653391</v>
      </c>
      <c r="BU4" s="230">
        <v>7114797</v>
      </c>
      <c r="BV4" s="230">
        <v>-3461406</v>
      </c>
      <c r="BW4" s="229">
        <v>-0.48649999999999999</v>
      </c>
      <c r="BX4" s="230">
        <v>77695300</v>
      </c>
      <c r="BY4" s="230">
        <v>77438000</v>
      </c>
      <c r="BZ4" s="230">
        <v>257300</v>
      </c>
      <c r="CA4" s="229">
        <v>3.3E-3</v>
      </c>
      <c r="CB4" s="230">
        <v>76749800</v>
      </c>
      <c r="CC4" s="230">
        <v>76526600</v>
      </c>
      <c r="CD4" s="230">
        <v>223200</v>
      </c>
      <c r="CE4" s="229">
        <v>2.8999999999999998E-3</v>
      </c>
      <c r="CF4" s="230">
        <v>895900</v>
      </c>
      <c r="CG4" s="230">
        <v>877300</v>
      </c>
      <c r="CH4" s="230">
        <v>18600</v>
      </c>
      <c r="CI4" s="229">
        <v>2.12E-2</v>
      </c>
      <c r="CJ4" s="230">
        <v>49600</v>
      </c>
      <c r="CK4" s="230">
        <v>34100</v>
      </c>
      <c r="CL4" s="230">
        <v>15500</v>
      </c>
      <c r="CM4" s="229">
        <v>0.45450000000000002</v>
      </c>
      <c r="CN4" s="230">
        <v>18702300</v>
      </c>
      <c r="CO4" s="230">
        <v>13850800</v>
      </c>
      <c r="CP4" s="230">
        <v>4851500</v>
      </c>
      <c r="CQ4" s="229">
        <v>0.3503</v>
      </c>
      <c r="CR4" s="230">
        <v>10326100</v>
      </c>
      <c r="CS4" s="230">
        <v>8463000</v>
      </c>
      <c r="CT4" s="230">
        <v>1863100</v>
      </c>
      <c r="CU4" s="229">
        <v>0.22009999999999999</v>
      </c>
      <c r="CV4" s="230">
        <v>106723700</v>
      </c>
      <c r="CW4" s="230">
        <v>99751800</v>
      </c>
      <c r="CX4" s="230">
        <v>6971900</v>
      </c>
      <c r="CY4" s="229">
        <v>6.9900000000000004E-2</v>
      </c>
      <c r="CZ4" s="228">
        <v>26.78</v>
      </c>
      <c r="DA4" s="228">
        <v>26.21</v>
      </c>
      <c r="DB4" s="228">
        <v>0.56999999999999995</v>
      </c>
      <c r="DC4" s="228">
        <v>0.56999999999999995</v>
      </c>
      <c r="DD4" s="228">
        <v>38.25</v>
      </c>
      <c r="DE4" s="228">
        <v>38.31</v>
      </c>
      <c r="DF4" s="228">
        <v>-11.47</v>
      </c>
      <c r="DG4" s="228">
        <v>-0.06</v>
      </c>
      <c r="DH4" s="228">
        <v>26.68</v>
      </c>
      <c r="DI4" s="228">
        <v>26.09</v>
      </c>
      <c r="DJ4" s="228">
        <v>0.59</v>
      </c>
      <c r="DK4" s="228">
        <v>0.59</v>
      </c>
      <c r="DL4" s="228">
        <v>27.11</v>
      </c>
      <c r="DM4" s="228">
        <v>26.49</v>
      </c>
      <c r="DN4" s="228">
        <v>0.62</v>
      </c>
      <c r="DO4" s="228">
        <v>0.62</v>
      </c>
      <c r="DP4" s="228">
        <v>0.55000000000000004</v>
      </c>
      <c r="DQ4" s="228">
        <v>0.61</v>
      </c>
      <c r="DR4" s="228">
        <v>-0.06</v>
      </c>
      <c r="DS4" s="229">
        <v>-9.8400000000000001E-2</v>
      </c>
      <c r="DT4" s="228">
        <v>375</v>
      </c>
      <c r="DU4" s="228">
        <v>350</v>
      </c>
      <c r="DV4" s="228">
        <v>0.3</v>
      </c>
      <c r="DW4" s="228">
        <v>0.44</v>
      </c>
      <c r="DX4" s="228">
        <v>-0.14000000000000001</v>
      </c>
      <c r="DY4" s="229">
        <v>-0.31819999999999998</v>
      </c>
      <c r="DZ4" s="229">
        <v>1.2200000000000001E-2</v>
      </c>
      <c r="EA4" s="230">
        <v>911400</v>
      </c>
      <c r="EB4" s="229">
        <v>5.7999999999999996E-3</v>
      </c>
      <c r="EC4" s="229">
        <v>1.2200000000000001E-2</v>
      </c>
      <c r="ED4" s="228">
        <v>1.98</v>
      </c>
      <c r="EE4" s="229">
        <v>5.4999999999999997E-3</v>
      </c>
      <c r="EF4" s="230">
        <v>1574041</v>
      </c>
      <c r="EG4" s="230">
        <v>3886777</v>
      </c>
      <c r="EH4" s="229">
        <v>-0.59499999999999997</v>
      </c>
      <c r="EI4" s="229">
        <v>0.43080000000000002</v>
      </c>
      <c r="EJ4" s="231">
        <v>165494.09</v>
      </c>
      <c r="EK4" s="231">
        <v>45457.79</v>
      </c>
      <c r="EL4" s="231">
        <v>31385.73</v>
      </c>
      <c r="EM4" s="231">
        <v>11420</v>
      </c>
      <c r="EN4" s="231">
        <v>242337.61</v>
      </c>
      <c r="EO4" s="231">
        <v>253490.01</v>
      </c>
      <c r="EP4" s="231">
        <v>-11152.4</v>
      </c>
      <c r="EQ4" s="229">
        <v>-4.3999999999999997E-2</v>
      </c>
      <c r="ER4" s="231">
        <v>68866</v>
      </c>
      <c r="ES4" s="231">
        <v>35365</v>
      </c>
      <c r="ET4" s="231">
        <v>283142</v>
      </c>
      <c r="EU4" s="231">
        <v>122657000</v>
      </c>
      <c r="EV4" s="231">
        <v>387373</v>
      </c>
      <c r="EW4" s="231">
        <v>358008</v>
      </c>
      <c r="EX4" s="231">
        <v>29365</v>
      </c>
      <c r="EY4" s="229">
        <v>8.2000000000000003E-2</v>
      </c>
      <c r="EZ4" s="229">
        <v>0.87009999999999998</v>
      </c>
      <c r="FA4" s="227" t="s">
        <v>555</v>
      </c>
      <c r="FB4" s="161">
        <f t="shared" si="0"/>
        <v>945500</v>
      </c>
    </row>
    <row r="5" spans="1:158" ht="17.25" hidden="1" thickBot="1" x14ac:dyDescent="0.3">
      <c r="A5" s="226">
        <v>46023</v>
      </c>
      <c r="B5" s="227" t="s">
        <v>161</v>
      </c>
      <c r="C5" s="227" t="s">
        <v>579</v>
      </c>
      <c r="D5" s="228">
        <v>675</v>
      </c>
      <c r="E5" s="231">
        <v>1053.5</v>
      </c>
      <c r="F5" s="231">
        <v>1030.95</v>
      </c>
      <c r="G5" s="228">
        <v>22.55</v>
      </c>
      <c r="H5" s="229">
        <v>2.1899999999999999E-2</v>
      </c>
      <c r="I5" s="231">
        <v>1046.4000000000001</v>
      </c>
      <c r="J5" s="231">
        <v>1027.3499999999999</v>
      </c>
      <c r="K5" s="228">
        <v>19.05</v>
      </c>
      <c r="L5" s="229">
        <v>1.8499999999999999E-2</v>
      </c>
      <c r="M5" s="231">
        <v>1053.5</v>
      </c>
      <c r="N5" s="231">
        <v>1030.95</v>
      </c>
      <c r="O5" s="228">
        <v>22.55</v>
      </c>
      <c r="P5" s="229">
        <v>2.1899999999999999E-2</v>
      </c>
      <c r="Q5" s="231">
        <v>1060.4000000000001</v>
      </c>
      <c r="R5" s="231">
        <v>1036.45</v>
      </c>
      <c r="S5" s="228">
        <v>23.95</v>
      </c>
      <c r="T5" s="229">
        <v>2.3099999999999999E-2</v>
      </c>
      <c r="U5" s="231">
        <v>1066.8</v>
      </c>
      <c r="V5" s="231">
        <v>1045.05</v>
      </c>
      <c r="W5" s="228">
        <v>21.75</v>
      </c>
      <c r="X5" s="229">
        <v>2.0799999999999999E-2</v>
      </c>
      <c r="Y5" s="228">
        <v>7.1</v>
      </c>
      <c r="Z5" s="228">
        <v>3.6</v>
      </c>
      <c r="AA5" s="228">
        <v>3.5</v>
      </c>
      <c r="AB5" s="229">
        <v>6.7999999999999996E-3</v>
      </c>
      <c r="AC5" s="228">
        <v>7.1</v>
      </c>
      <c r="AD5" s="228">
        <v>3.6</v>
      </c>
      <c r="AE5" s="228">
        <v>3.5</v>
      </c>
      <c r="AF5" s="229">
        <v>6.7999999999999996E-3</v>
      </c>
      <c r="AG5" s="228">
        <v>14</v>
      </c>
      <c r="AH5" s="228">
        <v>9.1</v>
      </c>
      <c r="AI5" s="228">
        <v>4.9000000000000004</v>
      </c>
      <c r="AJ5" s="229">
        <v>1.34E-2</v>
      </c>
      <c r="AK5" s="228">
        <v>20.399999999999999</v>
      </c>
      <c r="AL5" s="228">
        <v>17.7</v>
      </c>
      <c r="AM5" s="228">
        <v>2.7</v>
      </c>
      <c r="AN5" s="229">
        <v>1.95E-2</v>
      </c>
      <c r="AO5" s="231">
        <v>1057.07</v>
      </c>
      <c r="AP5" s="231">
        <v>1063.49</v>
      </c>
      <c r="AQ5" s="228">
        <v>0</v>
      </c>
      <c r="AR5" s="230">
        <v>3564000</v>
      </c>
      <c r="AS5" s="230">
        <v>1343250</v>
      </c>
      <c r="AT5" s="230">
        <v>2220750</v>
      </c>
      <c r="AU5" s="229">
        <v>1.6533</v>
      </c>
      <c r="AV5" s="230">
        <v>3405375</v>
      </c>
      <c r="AW5" s="230">
        <v>1294650</v>
      </c>
      <c r="AX5" s="230">
        <v>2110725</v>
      </c>
      <c r="AY5" s="229">
        <v>1.6303000000000001</v>
      </c>
      <c r="AZ5" s="230">
        <v>141750</v>
      </c>
      <c r="BA5" s="230">
        <v>37800</v>
      </c>
      <c r="BB5" s="230">
        <v>103950</v>
      </c>
      <c r="BC5" s="229">
        <v>2.75</v>
      </c>
      <c r="BD5" s="230">
        <v>16875</v>
      </c>
      <c r="BE5" s="230">
        <v>10800</v>
      </c>
      <c r="BF5" s="230">
        <v>6075</v>
      </c>
      <c r="BG5" s="229">
        <v>0.5625</v>
      </c>
      <c r="BH5" s="230">
        <v>16802100</v>
      </c>
      <c r="BI5" s="230">
        <v>2388150</v>
      </c>
      <c r="BJ5" s="230">
        <v>14413950</v>
      </c>
      <c r="BK5" s="229">
        <v>6.0355999999999996</v>
      </c>
      <c r="BL5" s="230">
        <v>3925125</v>
      </c>
      <c r="BM5" s="230">
        <v>959175</v>
      </c>
      <c r="BN5" s="230">
        <v>2965950</v>
      </c>
      <c r="BO5" s="229">
        <v>3.0922000000000001</v>
      </c>
      <c r="BP5" s="230">
        <v>24291225</v>
      </c>
      <c r="BQ5" s="230">
        <v>4690575</v>
      </c>
      <c r="BR5" s="230">
        <v>19600650</v>
      </c>
      <c r="BS5" s="229">
        <v>4.1787000000000001</v>
      </c>
      <c r="BT5" s="230">
        <v>3006059</v>
      </c>
      <c r="BU5" s="230">
        <v>713839</v>
      </c>
      <c r="BV5" s="230">
        <v>2292220</v>
      </c>
      <c r="BW5" s="229">
        <v>3.2111000000000001</v>
      </c>
      <c r="BX5" s="230">
        <v>17887500</v>
      </c>
      <c r="BY5" s="230">
        <v>17666775</v>
      </c>
      <c r="BZ5" s="230">
        <v>220725</v>
      </c>
      <c r="CA5" s="229">
        <v>1.2500000000000001E-2</v>
      </c>
      <c r="CB5" s="230">
        <v>17744400</v>
      </c>
      <c r="CC5" s="230">
        <v>17555400</v>
      </c>
      <c r="CD5" s="230">
        <v>189000</v>
      </c>
      <c r="CE5" s="229">
        <v>1.0800000000000001E-2</v>
      </c>
      <c r="CF5" s="230">
        <v>120825</v>
      </c>
      <c r="CG5" s="230">
        <v>103275</v>
      </c>
      <c r="CH5" s="230">
        <v>17550</v>
      </c>
      <c r="CI5" s="229">
        <v>0.1699</v>
      </c>
      <c r="CJ5" s="230">
        <v>22275</v>
      </c>
      <c r="CK5" s="230">
        <v>8100</v>
      </c>
      <c r="CL5" s="230">
        <v>14175</v>
      </c>
      <c r="CM5" s="229">
        <v>1.75</v>
      </c>
      <c r="CN5" s="230">
        <v>2853225</v>
      </c>
      <c r="CO5" s="230">
        <v>1682100</v>
      </c>
      <c r="CP5" s="230">
        <v>1171125</v>
      </c>
      <c r="CQ5" s="229">
        <v>0.69620000000000004</v>
      </c>
      <c r="CR5" s="230">
        <v>1534950</v>
      </c>
      <c r="CS5" s="230">
        <v>1012500</v>
      </c>
      <c r="CT5" s="230">
        <v>522450</v>
      </c>
      <c r="CU5" s="229">
        <v>0.51600000000000001</v>
      </c>
      <c r="CV5" s="230">
        <v>22275675</v>
      </c>
      <c r="CW5" s="230">
        <v>20361375</v>
      </c>
      <c r="CX5" s="230">
        <v>1914300</v>
      </c>
      <c r="CY5" s="229">
        <v>9.4E-2</v>
      </c>
      <c r="CZ5" s="228">
        <v>32.090000000000003</v>
      </c>
      <c r="DA5" s="228">
        <v>29.52</v>
      </c>
      <c r="DB5" s="228">
        <v>2.57</v>
      </c>
      <c r="DC5" s="228">
        <v>2.57</v>
      </c>
      <c r="DD5" s="228">
        <v>51.02</v>
      </c>
      <c r="DE5" s="228">
        <v>51.07</v>
      </c>
      <c r="DF5" s="228">
        <v>-18.93</v>
      </c>
      <c r="DG5" s="228">
        <v>-0.05</v>
      </c>
      <c r="DH5" s="228">
        <v>32.06</v>
      </c>
      <c r="DI5" s="228">
        <v>29.06</v>
      </c>
      <c r="DJ5" s="228">
        <v>3</v>
      </c>
      <c r="DK5" s="228">
        <v>3</v>
      </c>
      <c r="DL5" s="228">
        <v>32.21</v>
      </c>
      <c r="DM5" s="228">
        <v>30.68</v>
      </c>
      <c r="DN5" s="228">
        <v>1.53</v>
      </c>
      <c r="DO5" s="228">
        <v>1.53</v>
      </c>
      <c r="DP5" s="228">
        <v>0.54</v>
      </c>
      <c r="DQ5" s="228">
        <v>0.6</v>
      </c>
      <c r="DR5" s="228">
        <v>-0.06</v>
      </c>
      <c r="DS5" s="229">
        <v>-0.1</v>
      </c>
      <c r="DT5" s="231">
        <v>1100</v>
      </c>
      <c r="DU5" s="228">
        <v>980</v>
      </c>
      <c r="DV5" s="228">
        <v>0.23</v>
      </c>
      <c r="DW5" s="228">
        <v>0.4</v>
      </c>
      <c r="DX5" s="228">
        <v>-0.17</v>
      </c>
      <c r="DY5" s="229">
        <v>-0.42499999999999999</v>
      </c>
      <c r="DZ5" s="229">
        <v>8.0000000000000002E-3</v>
      </c>
      <c r="EA5" s="230">
        <v>111375</v>
      </c>
      <c r="EB5" s="229">
        <v>6.4999999999999997E-3</v>
      </c>
      <c r="EC5" s="229">
        <v>8.0000000000000002E-3</v>
      </c>
      <c r="ED5" s="228">
        <v>6.42</v>
      </c>
      <c r="EE5" s="229">
        <v>6.1000000000000004E-3</v>
      </c>
      <c r="EF5" s="230">
        <v>654939</v>
      </c>
      <c r="EG5" s="230">
        <v>341909</v>
      </c>
      <c r="EH5" s="229">
        <v>0.91549999999999998</v>
      </c>
      <c r="EI5" s="229">
        <v>0.21790000000000001</v>
      </c>
      <c r="EJ5" s="231">
        <v>186076.34</v>
      </c>
      <c r="EK5" s="231">
        <v>40620.01</v>
      </c>
      <c r="EL5" s="231">
        <v>37685.410000000003</v>
      </c>
      <c r="EM5" s="231">
        <v>10490</v>
      </c>
      <c r="EN5" s="231">
        <v>264381.76</v>
      </c>
      <c r="EO5" s="231">
        <v>49156.14</v>
      </c>
      <c r="EP5" s="231">
        <v>215225.62</v>
      </c>
      <c r="EQ5" s="229">
        <v>4.3784000000000001</v>
      </c>
      <c r="ER5" s="231">
        <v>30768</v>
      </c>
      <c r="ES5" s="231">
        <v>15057</v>
      </c>
      <c r="ET5" s="231">
        <v>188456</v>
      </c>
      <c r="EU5" s="231">
        <v>43791427</v>
      </c>
      <c r="EV5" s="231">
        <v>234280</v>
      </c>
      <c r="EW5" s="231">
        <v>209752</v>
      </c>
      <c r="EX5" s="231">
        <v>24528</v>
      </c>
      <c r="EY5" s="229">
        <v>0.1169</v>
      </c>
      <c r="EZ5" s="229">
        <v>0.50870000000000004</v>
      </c>
      <c r="FA5" s="227" t="s">
        <v>555</v>
      </c>
      <c r="FB5" s="161">
        <f t="shared" si="0"/>
        <v>143100</v>
      </c>
    </row>
    <row r="6" spans="1:158" ht="17.25" hidden="1" thickBot="1" x14ac:dyDescent="0.3">
      <c r="A6" s="226">
        <v>46023</v>
      </c>
      <c r="B6" s="227" t="s">
        <v>215</v>
      </c>
      <c r="C6" s="227" t="s">
        <v>159</v>
      </c>
      <c r="D6" s="228">
        <v>309</v>
      </c>
      <c r="E6" s="231">
        <v>2271.9</v>
      </c>
      <c r="F6" s="231">
        <v>2249.3000000000002</v>
      </c>
      <c r="G6" s="228">
        <v>22.6</v>
      </c>
      <c r="H6" s="229">
        <v>0.01</v>
      </c>
      <c r="I6" s="231">
        <v>2260</v>
      </c>
      <c r="J6" s="231">
        <v>2239.6999999999998</v>
      </c>
      <c r="K6" s="228">
        <v>20.3</v>
      </c>
      <c r="L6" s="229">
        <v>9.1000000000000004E-3</v>
      </c>
      <c r="M6" s="231">
        <v>2271.9</v>
      </c>
      <c r="N6" s="231">
        <v>2249.3000000000002</v>
      </c>
      <c r="O6" s="228">
        <v>22.6</v>
      </c>
      <c r="P6" s="229">
        <v>0.01</v>
      </c>
      <c r="Q6" s="231">
        <v>2276</v>
      </c>
      <c r="R6" s="231">
        <v>2254.5</v>
      </c>
      <c r="S6" s="228">
        <v>21.5</v>
      </c>
      <c r="T6" s="229">
        <v>9.4999999999999998E-3</v>
      </c>
      <c r="U6" s="231">
        <v>2283.9</v>
      </c>
      <c r="V6" s="231">
        <v>2259.5</v>
      </c>
      <c r="W6" s="228">
        <v>24.4</v>
      </c>
      <c r="X6" s="229">
        <v>1.0800000000000001E-2</v>
      </c>
      <c r="Y6" s="228">
        <v>11.9</v>
      </c>
      <c r="Z6" s="228">
        <v>9.6</v>
      </c>
      <c r="AA6" s="228">
        <v>2.2999999999999998</v>
      </c>
      <c r="AB6" s="229">
        <v>5.3E-3</v>
      </c>
      <c r="AC6" s="228">
        <v>11.9</v>
      </c>
      <c r="AD6" s="228">
        <v>9.6</v>
      </c>
      <c r="AE6" s="228">
        <v>2.2999999999999998</v>
      </c>
      <c r="AF6" s="229">
        <v>5.3E-3</v>
      </c>
      <c r="AG6" s="228">
        <v>16</v>
      </c>
      <c r="AH6" s="228">
        <v>14.8</v>
      </c>
      <c r="AI6" s="228">
        <v>1.2</v>
      </c>
      <c r="AJ6" s="229">
        <v>7.1000000000000004E-3</v>
      </c>
      <c r="AK6" s="228">
        <v>23.9</v>
      </c>
      <c r="AL6" s="228">
        <v>19.8</v>
      </c>
      <c r="AM6" s="228">
        <v>4.0999999999999996</v>
      </c>
      <c r="AN6" s="229">
        <v>1.06E-2</v>
      </c>
      <c r="AO6" s="231">
        <v>2275.94</v>
      </c>
      <c r="AP6" s="231">
        <v>2279.58</v>
      </c>
      <c r="AQ6" s="228">
        <v>0</v>
      </c>
      <c r="AR6" s="230">
        <v>2642568</v>
      </c>
      <c r="AS6" s="230">
        <v>1968639</v>
      </c>
      <c r="AT6" s="230">
        <v>673929</v>
      </c>
      <c r="AU6" s="229">
        <v>0.34229999999999999</v>
      </c>
      <c r="AV6" s="230">
        <v>2486214</v>
      </c>
      <c r="AW6" s="230">
        <v>1839168</v>
      </c>
      <c r="AX6" s="230">
        <v>647046</v>
      </c>
      <c r="AY6" s="229">
        <v>0.3518</v>
      </c>
      <c r="AZ6" s="230">
        <v>135651</v>
      </c>
      <c r="BA6" s="230">
        <v>123600</v>
      </c>
      <c r="BB6" s="230">
        <v>12051</v>
      </c>
      <c r="BC6" s="229">
        <v>9.7500000000000003E-2</v>
      </c>
      <c r="BD6" s="230">
        <v>20703</v>
      </c>
      <c r="BE6" s="230">
        <v>5871</v>
      </c>
      <c r="BF6" s="230">
        <v>14832</v>
      </c>
      <c r="BG6" s="229">
        <v>2.5263</v>
      </c>
      <c r="BH6" s="230">
        <v>11276028</v>
      </c>
      <c r="BI6" s="230">
        <v>5278647</v>
      </c>
      <c r="BJ6" s="230">
        <v>5997381</v>
      </c>
      <c r="BK6" s="229">
        <v>1.1362000000000001</v>
      </c>
      <c r="BL6" s="230">
        <v>3370881</v>
      </c>
      <c r="BM6" s="230">
        <v>2765859</v>
      </c>
      <c r="BN6" s="230">
        <v>605022</v>
      </c>
      <c r="BO6" s="229">
        <v>0.21870000000000001</v>
      </c>
      <c r="BP6" s="230">
        <v>17289477</v>
      </c>
      <c r="BQ6" s="230">
        <v>10013145</v>
      </c>
      <c r="BR6" s="230">
        <v>7276332</v>
      </c>
      <c r="BS6" s="229">
        <v>0.72670000000000001</v>
      </c>
      <c r="BT6" s="230">
        <v>1082551</v>
      </c>
      <c r="BU6" s="230">
        <v>861403</v>
      </c>
      <c r="BV6" s="230">
        <v>221148</v>
      </c>
      <c r="BW6" s="229">
        <v>0.25669999999999998</v>
      </c>
      <c r="BX6" s="230">
        <v>21620421</v>
      </c>
      <c r="BY6" s="230">
        <v>21765342</v>
      </c>
      <c r="BZ6" s="230">
        <v>-144921</v>
      </c>
      <c r="CA6" s="229">
        <v>-6.7000000000000002E-3</v>
      </c>
      <c r="CB6" s="230">
        <v>20830617</v>
      </c>
      <c r="CC6" s="230">
        <v>21007983</v>
      </c>
      <c r="CD6" s="230">
        <v>-177366</v>
      </c>
      <c r="CE6" s="229">
        <v>-8.3999999999999995E-3</v>
      </c>
      <c r="CF6" s="230">
        <v>771882</v>
      </c>
      <c r="CG6" s="230">
        <v>752415</v>
      </c>
      <c r="CH6" s="230">
        <v>19467</v>
      </c>
      <c r="CI6" s="229">
        <v>2.5899999999999999E-2</v>
      </c>
      <c r="CJ6" s="230">
        <v>17922</v>
      </c>
      <c r="CK6" s="230">
        <v>4944</v>
      </c>
      <c r="CL6" s="230">
        <v>12978</v>
      </c>
      <c r="CM6" s="229">
        <v>2.625</v>
      </c>
      <c r="CN6" s="230">
        <v>6088845</v>
      </c>
      <c r="CO6" s="230">
        <v>5368875</v>
      </c>
      <c r="CP6" s="230">
        <v>719970</v>
      </c>
      <c r="CQ6" s="229">
        <v>0.1341</v>
      </c>
      <c r="CR6" s="230">
        <v>5346009</v>
      </c>
      <c r="CS6" s="230">
        <v>5096955</v>
      </c>
      <c r="CT6" s="230">
        <v>249054</v>
      </c>
      <c r="CU6" s="229">
        <v>4.8899999999999999E-2</v>
      </c>
      <c r="CV6" s="230">
        <v>33055275</v>
      </c>
      <c r="CW6" s="230">
        <v>32231172</v>
      </c>
      <c r="CX6" s="230">
        <v>824103</v>
      </c>
      <c r="CY6" s="229">
        <v>2.5600000000000001E-2</v>
      </c>
      <c r="CZ6" s="228">
        <v>24.31</v>
      </c>
      <c r="DA6" s="228">
        <v>25.05</v>
      </c>
      <c r="DB6" s="228">
        <v>-0.74</v>
      </c>
      <c r="DC6" s="228">
        <v>-0.74</v>
      </c>
      <c r="DD6" s="228">
        <v>45.66</v>
      </c>
      <c r="DE6" s="228">
        <v>45.76</v>
      </c>
      <c r="DF6" s="228">
        <v>-21.35</v>
      </c>
      <c r="DG6" s="228">
        <v>-0.1</v>
      </c>
      <c r="DH6" s="228">
        <v>24.15</v>
      </c>
      <c r="DI6" s="228">
        <v>24.81</v>
      </c>
      <c r="DJ6" s="228">
        <v>-0.66</v>
      </c>
      <c r="DK6" s="228">
        <v>-0.66</v>
      </c>
      <c r="DL6" s="228">
        <v>24.83</v>
      </c>
      <c r="DM6" s="228">
        <v>25.51</v>
      </c>
      <c r="DN6" s="228">
        <v>-0.68</v>
      </c>
      <c r="DO6" s="228">
        <v>-0.68</v>
      </c>
      <c r="DP6" s="228">
        <v>0.88</v>
      </c>
      <c r="DQ6" s="228">
        <v>0.95</v>
      </c>
      <c r="DR6" s="228">
        <v>-7.0000000000000007E-2</v>
      </c>
      <c r="DS6" s="229">
        <v>-7.3700000000000002E-2</v>
      </c>
      <c r="DT6" s="231">
        <v>2300</v>
      </c>
      <c r="DU6" s="231">
        <v>2200</v>
      </c>
      <c r="DV6" s="228">
        <v>0.3</v>
      </c>
      <c r="DW6" s="228">
        <v>0.52</v>
      </c>
      <c r="DX6" s="228">
        <v>-0.22</v>
      </c>
      <c r="DY6" s="229">
        <v>-0.42309999999999998</v>
      </c>
      <c r="DZ6" s="229">
        <v>3.6499999999999998E-2</v>
      </c>
      <c r="EA6" s="230">
        <v>757359</v>
      </c>
      <c r="EB6" s="229">
        <v>1.8E-3</v>
      </c>
      <c r="EC6" s="229">
        <v>3.6499999999999998E-2</v>
      </c>
      <c r="ED6" s="228">
        <v>3.64</v>
      </c>
      <c r="EE6" s="229">
        <v>1.6000000000000001E-3</v>
      </c>
      <c r="EF6" s="230">
        <v>277523</v>
      </c>
      <c r="EG6" s="230">
        <v>418209</v>
      </c>
      <c r="EH6" s="229">
        <v>-0.33639999999999998</v>
      </c>
      <c r="EI6" s="229">
        <v>0.25640000000000002</v>
      </c>
      <c r="EJ6" s="231">
        <v>267187.49</v>
      </c>
      <c r="EK6" s="231">
        <v>75675.73</v>
      </c>
      <c r="EL6" s="231">
        <v>60150.87</v>
      </c>
      <c r="EM6" s="231">
        <v>29067</v>
      </c>
      <c r="EN6" s="231">
        <v>403014.09</v>
      </c>
      <c r="EO6" s="231">
        <v>229197.52</v>
      </c>
      <c r="EP6" s="231">
        <v>173816.57</v>
      </c>
      <c r="EQ6" s="229">
        <v>0.75839999999999996</v>
      </c>
      <c r="ER6" s="231">
        <v>141529</v>
      </c>
      <c r="ES6" s="231">
        <v>120291</v>
      </c>
      <c r="ET6" s="231">
        <v>491228</v>
      </c>
      <c r="EU6" s="231">
        <v>49117354</v>
      </c>
      <c r="EV6" s="231">
        <v>753049</v>
      </c>
      <c r="EW6" s="231">
        <v>728733</v>
      </c>
      <c r="EX6" s="231">
        <v>24316</v>
      </c>
      <c r="EY6" s="229">
        <v>3.3399999999999999E-2</v>
      </c>
      <c r="EZ6" s="229">
        <v>0.67300000000000004</v>
      </c>
      <c r="FA6" s="227" t="s">
        <v>556</v>
      </c>
      <c r="FB6" s="161">
        <f t="shared" si="0"/>
        <v>789804</v>
      </c>
    </row>
    <row r="7" spans="1:158" ht="17.25" hidden="1" thickBot="1" x14ac:dyDescent="0.3">
      <c r="A7" s="226">
        <v>46023</v>
      </c>
      <c r="B7" s="227" t="s">
        <v>161</v>
      </c>
      <c r="C7" s="227" t="s">
        <v>606</v>
      </c>
      <c r="D7" s="228">
        <v>600</v>
      </c>
      <c r="E7" s="231">
        <v>1032.8</v>
      </c>
      <c r="F7" s="231">
        <v>1021.6</v>
      </c>
      <c r="G7" s="228">
        <v>11.2</v>
      </c>
      <c r="H7" s="229">
        <v>1.0999999999999999E-2</v>
      </c>
      <c r="I7" s="231">
        <v>1025.9000000000001</v>
      </c>
      <c r="J7" s="231">
        <v>1015.1</v>
      </c>
      <c r="K7" s="228">
        <v>10.8</v>
      </c>
      <c r="L7" s="229">
        <v>1.06E-2</v>
      </c>
      <c r="M7" s="231">
        <v>1032.8</v>
      </c>
      <c r="N7" s="231">
        <v>1021.6</v>
      </c>
      <c r="O7" s="228">
        <v>11.2</v>
      </c>
      <c r="P7" s="229">
        <v>1.0999999999999999E-2</v>
      </c>
      <c r="Q7" s="231">
        <v>1038.5</v>
      </c>
      <c r="R7" s="231">
        <v>1027.8</v>
      </c>
      <c r="S7" s="228">
        <v>10.7</v>
      </c>
      <c r="T7" s="229">
        <v>1.04E-2</v>
      </c>
      <c r="U7" s="231">
        <v>1044.5</v>
      </c>
      <c r="V7" s="231">
        <v>1034.2</v>
      </c>
      <c r="W7" s="228">
        <v>10.3</v>
      </c>
      <c r="X7" s="229">
        <v>0.01</v>
      </c>
      <c r="Y7" s="228">
        <v>6.9</v>
      </c>
      <c r="Z7" s="228">
        <v>6.5</v>
      </c>
      <c r="AA7" s="228">
        <v>0.4</v>
      </c>
      <c r="AB7" s="229">
        <v>6.7000000000000002E-3</v>
      </c>
      <c r="AC7" s="228">
        <v>6.9</v>
      </c>
      <c r="AD7" s="228">
        <v>6.5</v>
      </c>
      <c r="AE7" s="228">
        <v>0.4</v>
      </c>
      <c r="AF7" s="229">
        <v>6.7000000000000002E-3</v>
      </c>
      <c r="AG7" s="228">
        <v>12.6</v>
      </c>
      <c r="AH7" s="228">
        <v>12.7</v>
      </c>
      <c r="AI7" s="228">
        <v>-0.1</v>
      </c>
      <c r="AJ7" s="229">
        <v>1.23E-2</v>
      </c>
      <c r="AK7" s="228">
        <v>18.600000000000001</v>
      </c>
      <c r="AL7" s="228">
        <v>19.100000000000001</v>
      </c>
      <c r="AM7" s="228">
        <v>-0.5</v>
      </c>
      <c r="AN7" s="229">
        <v>1.8100000000000002E-2</v>
      </c>
      <c r="AO7" s="231">
        <v>1036</v>
      </c>
      <c r="AP7" s="231">
        <v>1042.46</v>
      </c>
      <c r="AQ7" s="228">
        <v>0</v>
      </c>
      <c r="AR7" s="230">
        <v>3324000</v>
      </c>
      <c r="AS7" s="230">
        <v>1387800</v>
      </c>
      <c r="AT7" s="230">
        <v>1936200</v>
      </c>
      <c r="AU7" s="229">
        <v>1.3952</v>
      </c>
      <c r="AV7" s="230">
        <v>3161400</v>
      </c>
      <c r="AW7" s="230">
        <v>1338000</v>
      </c>
      <c r="AX7" s="230">
        <v>1823400</v>
      </c>
      <c r="AY7" s="229">
        <v>1.3628</v>
      </c>
      <c r="AZ7" s="230">
        <v>133800</v>
      </c>
      <c r="BA7" s="230">
        <v>43800</v>
      </c>
      <c r="BB7" s="230">
        <v>90000</v>
      </c>
      <c r="BC7" s="229">
        <v>2.0548000000000002</v>
      </c>
      <c r="BD7" s="230">
        <v>28800</v>
      </c>
      <c r="BE7" s="230">
        <v>6000</v>
      </c>
      <c r="BF7" s="230">
        <v>22800</v>
      </c>
      <c r="BG7" s="229">
        <v>3.8</v>
      </c>
      <c r="BH7" s="230">
        <v>16151400</v>
      </c>
      <c r="BI7" s="230">
        <v>3168000</v>
      </c>
      <c r="BJ7" s="230">
        <v>12983400</v>
      </c>
      <c r="BK7" s="229">
        <v>4.0983000000000001</v>
      </c>
      <c r="BL7" s="230">
        <v>2962800</v>
      </c>
      <c r="BM7" s="230">
        <v>1358400</v>
      </c>
      <c r="BN7" s="230">
        <v>1604400</v>
      </c>
      <c r="BO7" s="229">
        <v>1.1811</v>
      </c>
      <c r="BP7" s="230">
        <v>22438200</v>
      </c>
      <c r="BQ7" s="230">
        <v>5914200</v>
      </c>
      <c r="BR7" s="230">
        <v>16524000</v>
      </c>
      <c r="BS7" s="229">
        <v>2.794</v>
      </c>
      <c r="BT7" s="230">
        <v>2439533</v>
      </c>
      <c r="BU7" s="230">
        <v>745571</v>
      </c>
      <c r="BV7" s="230">
        <v>1693962</v>
      </c>
      <c r="BW7" s="229">
        <v>2.2719999999999998</v>
      </c>
      <c r="BX7" s="230">
        <v>24226800</v>
      </c>
      <c r="BY7" s="230">
        <v>24096000</v>
      </c>
      <c r="BZ7" s="230">
        <v>130800</v>
      </c>
      <c r="CA7" s="229">
        <v>5.4000000000000003E-3</v>
      </c>
      <c r="CB7" s="230">
        <v>23776800</v>
      </c>
      <c r="CC7" s="230">
        <v>23701800</v>
      </c>
      <c r="CD7" s="230">
        <v>75000</v>
      </c>
      <c r="CE7" s="229">
        <v>3.2000000000000002E-3</v>
      </c>
      <c r="CF7" s="230">
        <v>423000</v>
      </c>
      <c r="CG7" s="230">
        <v>389400</v>
      </c>
      <c r="CH7" s="230">
        <v>33600</v>
      </c>
      <c r="CI7" s="229">
        <v>8.6300000000000002E-2</v>
      </c>
      <c r="CJ7" s="230">
        <v>27000</v>
      </c>
      <c r="CK7" s="230">
        <v>4800</v>
      </c>
      <c r="CL7" s="230">
        <v>22200</v>
      </c>
      <c r="CM7" s="229">
        <v>4.625</v>
      </c>
      <c r="CN7" s="230">
        <v>6396600</v>
      </c>
      <c r="CO7" s="230">
        <v>4751400</v>
      </c>
      <c r="CP7" s="230">
        <v>1645200</v>
      </c>
      <c r="CQ7" s="229">
        <v>0.3463</v>
      </c>
      <c r="CR7" s="230">
        <v>3801000</v>
      </c>
      <c r="CS7" s="230">
        <v>3216000</v>
      </c>
      <c r="CT7" s="230">
        <v>585000</v>
      </c>
      <c r="CU7" s="229">
        <v>0.18190000000000001</v>
      </c>
      <c r="CV7" s="230">
        <v>34424400</v>
      </c>
      <c r="CW7" s="230">
        <v>32063400</v>
      </c>
      <c r="CX7" s="230">
        <v>2361000</v>
      </c>
      <c r="CY7" s="229">
        <v>7.3599999999999999E-2</v>
      </c>
      <c r="CZ7" s="228">
        <v>31.86</v>
      </c>
      <c r="DA7" s="228">
        <v>31.13</v>
      </c>
      <c r="DB7" s="228">
        <v>0.73</v>
      </c>
      <c r="DC7" s="228">
        <v>0.73</v>
      </c>
      <c r="DD7" s="228">
        <v>54.49</v>
      </c>
      <c r="DE7" s="228">
        <v>54.61</v>
      </c>
      <c r="DF7" s="228">
        <v>-22.63</v>
      </c>
      <c r="DG7" s="228">
        <v>-0.12</v>
      </c>
      <c r="DH7" s="228">
        <v>31.91</v>
      </c>
      <c r="DI7" s="228">
        <v>31.14</v>
      </c>
      <c r="DJ7" s="228">
        <v>0.77</v>
      </c>
      <c r="DK7" s="228">
        <v>0.77</v>
      </c>
      <c r="DL7" s="228">
        <v>31.56</v>
      </c>
      <c r="DM7" s="228">
        <v>31.11</v>
      </c>
      <c r="DN7" s="228">
        <v>0.45</v>
      </c>
      <c r="DO7" s="228">
        <v>0.45</v>
      </c>
      <c r="DP7" s="228">
        <v>0.59</v>
      </c>
      <c r="DQ7" s="228">
        <v>0.68</v>
      </c>
      <c r="DR7" s="228">
        <v>-0.09</v>
      </c>
      <c r="DS7" s="229">
        <v>-0.13239999999999999</v>
      </c>
      <c r="DT7" s="231">
        <v>1100</v>
      </c>
      <c r="DU7" s="231">
        <v>1000</v>
      </c>
      <c r="DV7" s="228">
        <v>0.18</v>
      </c>
      <c r="DW7" s="228">
        <v>0.43</v>
      </c>
      <c r="DX7" s="228">
        <v>-0.25</v>
      </c>
      <c r="DY7" s="229">
        <v>-0.58140000000000003</v>
      </c>
      <c r="DZ7" s="229">
        <v>1.8599999999999998E-2</v>
      </c>
      <c r="EA7" s="230">
        <v>394200</v>
      </c>
      <c r="EB7" s="229">
        <v>5.4999999999999997E-3</v>
      </c>
      <c r="EC7" s="229">
        <v>1.8599999999999998E-2</v>
      </c>
      <c r="ED7" s="228">
        <v>6.46</v>
      </c>
      <c r="EE7" s="229">
        <v>6.1999999999999998E-3</v>
      </c>
      <c r="EF7" s="230">
        <v>512952</v>
      </c>
      <c r="EG7" s="230">
        <v>282246</v>
      </c>
      <c r="EH7" s="229">
        <v>0.81740000000000002</v>
      </c>
      <c r="EI7" s="229">
        <v>0.21029999999999999</v>
      </c>
      <c r="EJ7" s="231">
        <v>177207.75</v>
      </c>
      <c r="EK7" s="231">
        <v>30534.5</v>
      </c>
      <c r="EL7" s="231">
        <v>34448.559999999998</v>
      </c>
      <c r="EM7" s="231">
        <v>17007</v>
      </c>
      <c r="EN7" s="231">
        <v>242190.81</v>
      </c>
      <c r="EO7" s="231">
        <v>62243.27</v>
      </c>
      <c r="EP7" s="231">
        <v>179947.54</v>
      </c>
      <c r="EQ7" s="229">
        <v>2.891</v>
      </c>
      <c r="ER7" s="231">
        <v>69292</v>
      </c>
      <c r="ES7" s="231">
        <v>37975</v>
      </c>
      <c r="ET7" s="231">
        <v>250242</v>
      </c>
      <c r="EU7" s="231">
        <v>92816927</v>
      </c>
      <c r="EV7" s="231">
        <v>357509</v>
      </c>
      <c r="EW7" s="231">
        <v>329765</v>
      </c>
      <c r="EX7" s="231">
        <v>27744</v>
      </c>
      <c r="EY7" s="229">
        <v>8.4099999999999994E-2</v>
      </c>
      <c r="EZ7" s="229">
        <v>0.37090000000000001</v>
      </c>
      <c r="FA7" s="227" t="s">
        <v>555</v>
      </c>
      <c r="FB7" s="161">
        <f t="shared" si="0"/>
        <v>450000</v>
      </c>
    </row>
    <row r="8" spans="1:158" ht="17.25" hidden="1" thickBot="1" x14ac:dyDescent="0.3">
      <c r="A8" s="226">
        <v>46023</v>
      </c>
      <c r="B8" s="227" t="s">
        <v>215</v>
      </c>
      <c r="C8" s="227" t="s">
        <v>160</v>
      </c>
      <c r="D8" s="228">
        <v>475</v>
      </c>
      <c r="E8" s="231">
        <v>1488.5</v>
      </c>
      <c r="F8" s="231">
        <v>1478.6</v>
      </c>
      <c r="G8" s="228">
        <v>9.9</v>
      </c>
      <c r="H8" s="229">
        <v>6.7000000000000002E-3</v>
      </c>
      <c r="I8" s="231">
        <v>1481.1</v>
      </c>
      <c r="J8" s="231">
        <v>1469.8</v>
      </c>
      <c r="K8" s="228">
        <v>11.3</v>
      </c>
      <c r="L8" s="229">
        <v>7.7000000000000002E-3</v>
      </c>
      <c r="M8" s="231">
        <v>1488.5</v>
      </c>
      <c r="N8" s="231">
        <v>1478.6</v>
      </c>
      <c r="O8" s="228">
        <v>9.9</v>
      </c>
      <c r="P8" s="229">
        <v>6.7000000000000002E-3</v>
      </c>
      <c r="Q8" s="231">
        <v>1498.6</v>
      </c>
      <c r="R8" s="231">
        <v>1487.3</v>
      </c>
      <c r="S8" s="228">
        <v>11.3</v>
      </c>
      <c r="T8" s="229">
        <v>7.6E-3</v>
      </c>
      <c r="U8" s="231">
        <v>1507.8</v>
      </c>
      <c r="V8" s="231">
        <v>1497.3</v>
      </c>
      <c r="W8" s="228">
        <v>10.5</v>
      </c>
      <c r="X8" s="229">
        <v>7.0000000000000001E-3</v>
      </c>
      <c r="Y8" s="228">
        <v>7.4</v>
      </c>
      <c r="Z8" s="228">
        <v>8.8000000000000007</v>
      </c>
      <c r="AA8" s="228">
        <v>-1.4</v>
      </c>
      <c r="AB8" s="229">
        <v>5.0000000000000001E-3</v>
      </c>
      <c r="AC8" s="228">
        <v>7.4</v>
      </c>
      <c r="AD8" s="228">
        <v>8.8000000000000007</v>
      </c>
      <c r="AE8" s="228">
        <v>-1.4</v>
      </c>
      <c r="AF8" s="229">
        <v>5.0000000000000001E-3</v>
      </c>
      <c r="AG8" s="228">
        <v>17.5</v>
      </c>
      <c r="AH8" s="228">
        <v>17.5</v>
      </c>
      <c r="AI8" s="228">
        <v>0</v>
      </c>
      <c r="AJ8" s="229">
        <v>1.18E-2</v>
      </c>
      <c r="AK8" s="228">
        <v>26.7</v>
      </c>
      <c r="AL8" s="228">
        <v>27.5</v>
      </c>
      <c r="AM8" s="228">
        <v>-0.8</v>
      </c>
      <c r="AN8" s="229">
        <v>1.7999999999999999E-2</v>
      </c>
      <c r="AO8" s="231">
        <v>1490.05</v>
      </c>
      <c r="AP8" s="231">
        <v>1499.01</v>
      </c>
      <c r="AQ8" s="228">
        <v>0</v>
      </c>
      <c r="AR8" s="230">
        <v>1678650</v>
      </c>
      <c r="AS8" s="230">
        <v>1611200</v>
      </c>
      <c r="AT8" s="230">
        <v>67450</v>
      </c>
      <c r="AU8" s="229">
        <v>4.19E-2</v>
      </c>
      <c r="AV8" s="230">
        <v>1583175</v>
      </c>
      <c r="AW8" s="230">
        <v>1551825</v>
      </c>
      <c r="AX8" s="230">
        <v>31350</v>
      </c>
      <c r="AY8" s="229">
        <v>2.0199999999999999E-2</v>
      </c>
      <c r="AZ8" s="230">
        <v>79800</v>
      </c>
      <c r="BA8" s="230">
        <v>51775</v>
      </c>
      <c r="BB8" s="230">
        <v>28025</v>
      </c>
      <c r="BC8" s="229">
        <v>0.5413</v>
      </c>
      <c r="BD8" s="230">
        <v>15675</v>
      </c>
      <c r="BE8" s="230">
        <v>7600</v>
      </c>
      <c r="BF8" s="230">
        <v>8075</v>
      </c>
      <c r="BG8" s="229">
        <v>1.0625</v>
      </c>
      <c r="BH8" s="230">
        <v>7449425</v>
      </c>
      <c r="BI8" s="230">
        <v>6008275</v>
      </c>
      <c r="BJ8" s="230">
        <v>1441150</v>
      </c>
      <c r="BK8" s="229">
        <v>0.2399</v>
      </c>
      <c r="BL8" s="230">
        <v>2787300</v>
      </c>
      <c r="BM8" s="230">
        <v>3151150</v>
      </c>
      <c r="BN8" s="230">
        <v>-363850</v>
      </c>
      <c r="BO8" s="229">
        <v>-0.11550000000000001</v>
      </c>
      <c r="BP8" s="230">
        <v>11915375</v>
      </c>
      <c r="BQ8" s="230">
        <v>10770625</v>
      </c>
      <c r="BR8" s="230">
        <v>1144750</v>
      </c>
      <c r="BS8" s="229">
        <v>0.10630000000000001</v>
      </c>
      <c r="BT8" s="230">
        <v>1011752</v>
      </c>
      <c r="BU8" s="230">
        <v>730157</v>
      </c>
      <c r="BV8" s="230">
        <v>281595</v>
      </c>
      <c r="BW8" s="229">
        <v>0.38569999999999999</v>
      </c>
      <c r="BX8" s="230">
        <v>25169775</v>
      </c>
      <c r="BY8" s="230">
        <v>25116575</v>
      </c>
      <c r="BZ8" s="230">
        <v>53200</v>
      </c>
      <c r="CA8" s="229">
        <v>2.0999999999999999E-3</v>
      </c>
      <c r="CB8" s="230">
        <v>24438750</v>
      </c>
      <c r="CC8" s="230">
        <v>24414050</v>
      </c>
      <c r="CD8" s="230">
        <v>24700</v>
      </c>
      <c r="CE8" s="229">
        <v>1E-3</v>
      </c>
      <c r="CF8" s="230">
        <v>708225</v>
      </c>
      <c r="CG8" s="230">
        <v>695400</v>
      </c>
      <c r="CH8" s="230">
        <v>12825</v>
      </c>
      <c r="CI8" s="229">
        <v>1.84E-2</v>
      </c>
      <c r="CJ8" s="230">
        <v>22800</v>
      </c>
      <c r="CK8" s="230">
        <v>7125</v>
      </c>
      <c r="CL8" s="230">
        <v>15675</v>
      </c>
      <c r="CM8" s="229">
        <v>2.2000000000000002</v>
      </c>
      <c r="CN8" s="230">
        <v>5196025</v>
      </c>
      <c r="CO8" s="230">
        <v>4762825</v>
      </c>
      <c r="CP8" s="230">
        <v>433200</v>
      </c>
      <c r="CQ8" s="229">
        <v>9.0999999999999998E-2</v>
      </c>
      <c r="CR8" s="230">
        <v>3762475</v>
      </c>
      <c r="CS8" s="230">
        <v>3496950</v>
      </c>
      <c r="CT8" s="230">
        <v>265525</v>
      </c>
      <c r="CU8" s="229">
        <v>7.5899999999999995E-2</v>
      </c>
      <c r="CV8" s="230">
        <v>34128275</v>
      </c>
      <c r="CW8" s="230">
        <v>33376350</v>
      </c>
      <c r="CX8" s="230">
        <v>751925</v>
      </c>
      <c r="CY8" s="229">
        <v>2.2499999999999999E-2</v>
      </c>
      <c r="CZ8" s="228">
        <v>19.989999999999998</v>
      </c>
      <c r="DA8" s="228">
        <v>19.73</v>
      </c>
      <c r="DB8" s="228">
        <v>0.26</v>
      </c>
      <c r="DC8" s="228">
        <v>0.26</v>
      </c>
      <c r="DD8" s="228">
        <v>35.42</v>
      </c>
      <c r="DE8" s="228">
        <v>35.49</v>
      </c>
      <c r="DF8" s="228">
        <v>-15.43</v>
      </c>
      <c r="DG8" s="228">
        <v>-7.0000000000000007E-2</v>
      </c>
      <c r="DH8" s="228">
        <v>20.05</v>
      </c>
      <c r="DI8" s="228">
        <v>19.760000000000002</v>
      </c>
      <c r="DJ8" s="228">
        <v>0.28999999999999998</v>
      </c>
      <c r="DK8" s="228">
        <v>0.28999999999999998</v>
      </c>
      <c r="DL8" s="228">
        <v>19.84</v>
      </c>
      <c r="DM8" s="228">
        <v>19.66</v>
      </c>
      <c r="DN8" s="228">
        <v>0.18</v>
      </c>
      <c r="DO8" s="228">
        <v>0.18</v>
      </c>
      <c r="DP8" s="228">
        <v>0.72</v>
      </c>
      <c r="DQ8" s="228">
        <v>0.73</v>
      </c>
      <c r="DR8" s="228">
        <v>-0.01</v>
      </c>
      <c r="DS8" s="229">
        <v>-1.37E-2</v>
      </c>
      <c r="DT8" s="231">
        <v>1500</v>
      </c>
      <c r="DU8" s="231">
        <v>1480</v>
      </c>
      <c r="DV8" s="228">
        <v>0.37</v>
      </c>
      <c r="DW8" s="228">
        <v>0.52</v>
      </c>
      <c r="DX8" s="228">
        <v>-0.15</v>
      </c>
      <c r="DY8" s="229">
        <v>-0.28849999999999998</v>
      </c>
      <c r="DZ8" s="229">
        <v>2.9000000000000001E-2</v>
      </c>
      <c r="EA8" s="230">
        <v>702525</v>
      </c>
      <c r="EB8" s="229">
        <v>6.7999999999999996E-3</v>
      </c>
      <c r="EC8" s="229">
        <v>2.9000000000000001E-2</v>
      </c>
      <c r="ED8" s="228">
        <v>8.9600000000000009</v>
      </c>
      <c r="EE8" s="229">
        <v>6.0000000000000001E-3</v>
      </c>
      <c r="EF8" s="230">
        <v>350016</v>
      </c>
      <c r="EG8" s="230">
        <v>309541</v>
      </c>
      <c r="EH8" s="229">
        <v>0.1308</v>
      </c>
      <c r="EI8" s="229">
        <v>0.34599999999999997</v>
      </c>
      <c r="EJ8" s="231">
        <v>115680.25</v>
      </c>
      <c r="EK8" s="231">
        <v>40798.199999999997</v>
      </c>
      <c r="EL8" s="231">
        <v>25022.87</v>
      </c>
      <c r="EM8" s="231">
        <v>19729</v>
      </c>
      <c r="EN8" s="231">
        <v>181501.32</v>
      </c>
      <c r="EO8" s="231">
        <v>162250.82</v>
      </c>
      <c r="EP8" s="231">
        <v>19250.5</v>
      </c>
      <c r="EQ8" s="229">
        <v>0.1186</v>
      </c>
      <c r="ER8" s="231">
        <v>79668</v>
      </c>
      <c r="ES8" s="231">
        <v>54383</v>
      </c>
      <c r="ET8" s="231">
        <v>374728</v>
      </c>
      <c r="EU8" s="231">
        <v>84394936</v>
      </c>
      <c r="EV8" s="231">
        <v>508779</v>
      </c>
      <c r="EW8" s="231">
        <v>494770</v>
      </c>
      <c r="EX8" s="231">
        <v>14009</v>
      </c>
      <c r="EY8" s="229">
        <v>2.8299999999999999E-2</v>
      </c>
      <c r="EZ8" s="229">
        <v>0.40439999999999998</v>
      </c>
      <c r="FA8" s="227" t="s">
        <v>555</v>
      </c>
      <c r="FB8" s="161">
        <f t="shared" si="0"/>
        <v>731025</v>
      </c>
    </row>
    <row r="9" spans="1:158" ht="17.25" hidden="1" thickBot="1" x14ac:dyDescent="0.3">
      <c r="A9" s="226">
        <v>46023</v>
      </c>
      <c r="B9" s="227" t="s">
        <v>170</v>
      </c>
      <c r="C9" s="227" t="s">
        <v>497</v>
      </c>
      <c r="D9" s="228">
        <v>125</v>
      </c>
      <c r="E9" s="231">
        <v>5487</v>
      </c>
      <c r="F9" s="231">
        <v>5527</v>
      </c>
      <c r="G9" s="228">
        <v>-40</v>
      </c>
      <c r="H9" s="229">
        <v>-7.1999999999999998E-3</v>
      </c>
      <c r="I9" s="231">
        <v>5463.5</v>
      </c>
      <c r="J9" s="231">
        <v>5506.5</v>
      </c>
      <c r="K9" s="228">
        <v>-43</v>
      </c>
      <c r="L9" s="229">
        <v>-7.7999999999999996E-3</v>
      </c>
      <c r="M9" s="231">
        <v>5487</v>
      </c>
      <c r="N9" s="231">
        <v>5527</v>
      </c>
      <c r="O9" s="228">
        <v>-40</v>
      </c>
      <c r="P9" s="229">
        <v>-7.1999999999999998E-3</v>
      </c>
      <c r="Q9" s="231">
        <v>5495.5</v>
      </c>
      <c r="R9" s="231">
        <v>5528</v>
      </c>
      <c r="S9" s="228">
        <v>-32.5</v>
      </c>
      <c r="T9" s="229">
        <v>-5.8999999999999999E-3</v>
      </c>
      <c r="U9" s="228">
        <v>0</v>
      </c>
      <c r="V9" s="228">
        <v>0</v>
      </c>
      <c r="W9" s="228">
        <v>0</v>
      </c>
      <c r="X9" s="229">
        <v>0</v>
      </c>
      <c r="Y9" s="228">
        <v>23.5</v>
      </c>
      <c r="Z9" s="228">
        <v>20.5</v>
      </c>
      <c r="AA9" s="228">
        <v>3</v>
      </c>
      <c r="AB9" s="229">
        <v>4.3E-3</v>
      </c>
      <c r="AC9" s="228">
        <v>23.5</v>
      </c>
      <c r="AD9" s="228">
        <v>20.5</v>
      </c>
      <c r="AE9" s="228">
        <v>3</v>
      </c>
      <c r="AF9" s="229">
        <v>4.3E-3</v>
      </c>
      <c r="AG9" s="228">
        <v>32</v>
      </c>
      <c r="AH9" s="228">
        <v>21.5</v>
      </c>
      <c r="AI9" s="228">
        <v>10.5</v>
      </c>
      <c r="AJ9" s="229">
        <v>5.8999999999999999E-3</v>
      </c>
      <c r="AK9" s="228">
        <v>0</v>
      </c>
      <c r="AL9" s="228">
        <v>0</v>
      </c>
      <c r="AM9" s="228">
        <v>0</v>
      </c>
      <c r="AN9" s="229">
        <v>0</v>
      </c>
      <c r="AO9" s="231">
        <v>5460.95</v>
      </c>
      <c r="AP9" s="231">
        <v>5460.8</v>
      </c>
      <c r="AQ9" s="228">
        <v>0</v>
      </c>
      <c r="AR9" s="230">
        <v>138875</v>
      </c>
      <c r="AS9" s="230">
        <v>100375</v>
      </c>
      <c r="AT9" s="230">
        <v>38500</v>
      </c>
      <c r="AU9" s="229">
        <v>0.3836</v>
      </c>
      <c r="AV9" s="230">
        <v>135125</v>
      </c>
      <c r="AW9" s="230">
        <v>98125</v>
      </c>
      <c r="AX9" s="230">
        <v>37000</v>
      </c>
      <c r="AY9" s="229">
        <v>0.37709999999999999</v>
      </c>
      <c r="AZ9" s="230">
        <v>3750</v>
      </c>
      <c r="BA9" s="230">
        <v>2250</v>
      </c>
      <c r="BB9" s="230">
        <v>1500</v>
      </c>
      <c r="BC9" s="229">
        <v>0.66669999999999996</v>
      </c>
      <c r="BD9" s="228">
        <v>0</v>
      </c>
      <c r="BE9" s="228">
        <v>0</v>
      </c>
      <c r="BF9" s="228">
        <v>0</v>
      </c>
      <c r="BG9" s="229">
        <v>0</v>
      </c>
      <c r="BH9" s="230">
        <v>157625</v>
      </c>
      <c r="BI9" s="230">
        <v>82250</v>
      </c>
      <c r="BJ9" s="230">
        <v>75375</v>
      </c>
      <c r="BK9" s="229">
        <v>0.91639999999999999</v>
      </c>
      <c r="BL9" s="230">
        <v>324625</v>
      </c>
      <c r="BM9" s="230">
        <v>60875</v>
      </c>
      <c r="BN9" s="230">
        <v>263750</v>
      </c>
      <c r="BO9" s="229">
        <v>4.3326000000000002</v>
      </c>
      <c r="BP9" s="230">
        <v>621125</v>
      </c>
      <c r="BQ9" s="230">
        <v>243500</v>
      </c>
      <c r="BR9" s="230">
        <v>377625</v>
      </c>
      <c r="BS9" s="229">
        <v>1.5508</v>
      </c>
      <c r="BT9" s="230">
        <v>45721</v>
      </c>
      <c r="BU9" s="230">
        <v>38417</v>
      </c>
      <c r="BV9" s="230">
        <v>7304</v>
      </c>
      <c r="BW9" s="229">
        <v>0.19009999999999999</v>
      </c>
      <c r="BX9" s="230">
        <v>1510000</v>
      </c>
      <c r="BY9" s="230">
        <v>1521125</v>
      </c>
      <c r="BZ9" s="230">
        <v>-11125</v>
      </c>
      <c r="CA9" s="229">
        <v>-7.3000000000000001E-3</v>
      </c>
      <c r="CB9" s="230">
        <v>1500625</v>
      </c>
      <c r="CC9" s="230">
        <v>1513000</v>
      </c>
      <c r="CD9" s="230">
        <v>-12375</v>
      </c>
      <c r="CE9" s="229">
        <v>-8.2000000000000007E-3</v>
      </c>
      <c r="CF9" s="230">
        <v>9375</v>
      </c>
      <c r="CG9" s="230">
        <v>8125</v>
      </c>
      <c r="CH9" s="230">
        <v>1250</v>
      </c>
      <c r="CI9" s="229">
        <v>0.15379999999999999</v>
      </c>
      <c r="CJ9" s="228">
        <v>0</v>
      </c>
      <c r="CK9" s="228">
        <v>0</v>
      </c>
      <c r="CL9" s="228">
        <v>0</v>
      </c>
      <c r="CM9" s="229">
        <v>0</v>
      </c>
      <c r="CN9" s="230">
        <v>87000</v>
      </c>
      <c r="CO9" s="230">
        <v>62500</v>
      </c>
      <c r="CP9" s="230">
        <v>24500</v>
      </c>
      <c r="CQ9" s="229">
        <v>0.39200000000000002</v>
      </c>
      <c r="CR9" s="230">
        <v>106000</v>
      </c>
      <c r="CS9" s="230">
        <v>52750</v>
      </c>
      <c r="CT9" s="230">
        <v>53250</v>
      </c>
      <c r="CU9" s="229">
        <v>1.0095000000000001</v>
      </c>
      <c r="CV9" s="230">
        <v>1703000</v>
      </c>
      <c r="CW9" s="230">
        <v>1636375</v>
      </c>
      <c r="CX9" s="230">
        <v>66625</v>
      </c>
      <c r="CY9" s="229">
        <v>4.07E-2</v>
      </c>
      <c r="CZ9" s="228">
        <v>19.600000000000001</v>
      </c>
      <c r="DA9" s="228">
        <v>19.96</v>
      </c>
      <c r="DB9" s="228">
        <v>-0.36</v>
      </c>
      <c r="DC9" s="228">
        <v>-0.36</v>
      </c>
      <c r="DD9" s="228">
        <v>25.67</v>
      </c>
      <c r="DE9" s="228">
        <v>25.72</v>
      </c>
      <c r="DF9" s="228">
        <v>-6.07</v>
      </c>
      <c r="DG9" s="228">
        <v>-0.05</v>
      </c>
      <c r="DH9" s="228">
        <v>19.09</v>
      </c>
      <c r="DI9" s="228">
        <v>19.079999999999998</v>
      </c>
      <c r="DJ9" s="228">
        <v>0.01</v>
      </c>
      <c r="DK9" s="228">
        <v>0.01</v>
      </c>
      <c r="DL9" s="228">
        <v>19.84</v>
      </c>
      <c r="DM9" s="228">
        <v>21.14</v>
      </c>
      <c r="DN9" s="228">
        <v>-1.3</v>
      </c>
      <c r="DO9" s="228">
        <v>-1.3</v>
      </c>
      <c r="DP9" s="228">
        <v>1.22</v>
      </c>
      <c r="DQ9" s="228">
        <v>0.84</v>
      </c>
      <c r="DR9" s="228">
        <v>0.38</v>
      </c>
      <c r="DS9" s="229">
        <v>0.45240000000000002</v>
      </c>
      <c r="DT9" s="231">
        <v>5500</v>
      </c>
      <c r="DU9" s="231">
        <v>5100</v>
      </c>
      <c r="DV9" s="228">
        <v>2.06</v>
      </c>
      <c r="DW9" s="228">
        <v>0.74</v>
      </c>
      <c r="DX9" s="228">
        <v>1.32</v>
      </c>
      <c r="DY9" s="229">
        <v>1.7838000000000001</v>
      </c>
      <c r="DZ9" s="229">
        <v>6.1999999999999998E-3</v>
      </c>
      <c r="EA9" s="230">
        <v>8125</v>
      </c>
      <c r="EB9" s="229">
        <v>1.5E-3</v>
      </c>
      <c r="EC9" s="229">
        <v>6.1999999999999998E-3</v>
      </c>
      <c r="ED9" s="228">
        <v>-0.15</v>
      </c>
      <c r="EE9" s="229">
        <v>0</v>
      </c>
      <c r="EF9" s="230">
        <v>13586</v>
      </c>
      <c r="EG9" s="230">
        <v>22408</v>
      </c>
      <c r="EH9" s="229">
        <v>-0.39369999999999999</v>
      </c>
      <c r="EI9" s="229">
        <v>0.29720000000000002</v>
      </c>
      <c r="EJ9" s="231">
        <v>8932.4699999999993</v>
      </c>
      <c r="EK9" s="231">
        <v>17399.03</v>
      </c>
      <c r="EL9" s="231">
        <v>7583.89</v>
      </c>
      <c r="EM9" s="231">
        <v>4625</v>
      </c>
      <c r="EN9" s="231">
        <v>33915.39</v>
      </c>
      <c r="EO9" s="231">
        <v>13448.93</v>
      </c>
      <c r="EP9" s="231">
        <v>20466.46</v>
      </c>
      <c r="EQ9" s="229">
        <v>1.5218</v>
      </c>
      <c r="ER9" s="231">
        <v>4922</v>
      </c>
      <c r="ES9" s="231">
        <v>5558</v>
      </c>
      <c r="ET9" s="231">
        <v>82854</v>
      </c>
      <c r="EU9" s="231">
        <v>7334235</v>
      </c>
      <c r="EV9" s="231">
        <v>93334</v>
      </c>
      <c r="EW9" s="231">
        <v>90419</v>
      </c>
      <c r="EX9" s="231">
        <v>2915</v>
      </c>
      <c r="EY9" s="229">
        <v>3.2199999999999999E-2</v>
      </c>
      <c r="EZ9" s="229">
        <v>0.23219999999999999</v>
      </c>
      <c r="FA9" s="227" t="s">
        <v>568</v>
      </c>
      <c r="FB9" s="161">
        <f t="shared" si="0"/>
        <v>9375</v>
      </c>
    </row>
    <row r="10" spans="1:158" ht="17.25" hidden="1" thickBot="1" x14ac:dyDescent="0.3">
      <c r="A10" s="226">
        <v>46023</v>
      </c>
      <c r="B10" s="227" t="s">
        <v>184</v>
      </c>
      <c r="C10" s="227" t="s">
        <v>681</v>
      </c>
      <c r="D10" s="228">
        <v>100</v>
      </c>
      <c r="E10" s="231">
        <v>6443</v>
      </c>
      <c r="F10" s="231">
        <v>6366</v>
      </c>
      <c r="G10" s="228">
        <v>77</v>
      </c>
      <c r="H10" s="229">
        <v>1.21E-2</v>
      </c>
      <c r="I10" s="231">
        <v>6447.5</v>
      </c>
      <c r="J10" s="231">
        <v>6387</v>
      </c>
      <c r="K10" s="228">
        <v>60.5</v>
      </c>
      <c r="L10" s="229">
        <v>9.4999999999999998E-3</v>
      </c>
      <c r="M10" s="231">
        <v>6443</v>
      </c>
      <c r="N10" s="231">
        <v>6366</v>
      </c>
      <c r="O10" s="228">
        <v>77</v>
      </c>
      <c r="P10" s="229">
        <v>1.21E-2</v>
      </c>
      <c r="Q10" s="231">
        <v>6341</v>
      </c>
      <c r="R10" s="231">
        <v>6252.5</v>
      </c>
      <c r="S10" s="228">
        <v>88.5</v>
      </c>
      <c r="T10" s="229">
        <v>1.4200000000000001E-2</v>
      </c>
      <c r="U10" s="231">
        <v>6305.5</v>
      </c>
      <c r="V10" s="231">
        <v>6161</v>
      </c>
      <c r="W10" s="228">
        <v>144.5</v>
      </c>
      <c r="X10" s="229">
        <v>2.35E-2</v>
      </c>
      <c r="Y10" s="228">
        <v>-4.5</v>
      </c>
      <c r="Z10" s="228">
        <v>-21</v>
      </c>
      <c r="AA10" s="228">
        <v>16.5</v>
      </c>
      <c r="AB10" s="229">
        <v>-6.9999999999999999E-4</v>
      </c>
      <c r="AC10" s="228">
        <v>-4.5</v>
      </c>
      <c r="AD10" s="228">
        <v>-21</v>
      </c>
      <c r="AE10" s="228">
        <v>16.5</v>
      </c>
      <c r="AF10" s="229">
        <v>-6.9999999999999999E-4</v>
      </c>
      <c r="AG10" s="228">
        <v>-106.5</v>
      </c>
      <c r="AH10" s="228">
        <v>-134.5</v>
      </c>
      <c r="AI10" s="228">
        <v>28</v>
      </c>
      <c r="AJ10" s="229">
        <v>-1.6500000000000001E-2</v>
      </c>
      <c r="AK10" s="228">
        <v>-142</v>
      </c>
      <c r="AL10" s="228">
        <v>-226</v>
      </c>
      <c r="AM10" s="228">
        <v>84</v>
      </c>
      <c r="AN10" s="229">
        <v>-2.1999999999999999E-2</v>
      </c>
      <c r="AO10" s="231">
        <v>6409.5</v>
      </c>
      <c r="AP10" s="231">
        <v>6308</v>
      </c>
      <c r="AQ10" s="228">
        <v>0</v>
      </c>
      <c r="AR10" s="230">
        <v>109500</v>
      </c>
      <c r="AS10" s="230">
        <v>239500</v>
      </c>
      <c r="AT10" s="230">
        <v>-130000</v>
      </c>
      <c r="AU10" s="229">
        <v>-0.54279999999999995</v>
      </c>
      <c r="AV10" s="230">
        <v>99200</v>
      </c>
      <c r="AW10" s="230">
        <v>221900</v>
      </c>
      <c r="AX10" s="230">
        <v>-122700</v>
      </c>
      <c r="AY10" s="229">
        <v>-0.55300000000000005</v>
      </c>
      <c r="AZ10" s="230">
        <v>10000</v>
      </c>
      <c r="BA10" s="230">
        <v>17500</v>
      </c>
      <c r="BB10" s="230">
        <v>-7500</v>
      </c>
      <c r="BC10" s="229">
        <v>-0.42859999999999998</v>
      </c>
      <c r="BD10" s="228">
        <v>300</v>
      </c>
      <c r="BE10" s="228">
        <v>100</v>
      </c>
      <c r="BF10" s="228">
        <v>200</v>
      </c>
      <c r="BG10" s="229">
        <v>2</v>
      </c>
      <c r="BH10" s="230">
        <v>260200</v>
      </c>
      <c r="BI10" s="230">
        <v>584700</v>
      </c>
      <c r="BJ10" s="230">
        <v>-324500</v>
      </c>
      <c r="BK10" s="229">
        <v>-0.55500000000000005</v>
      </c>
      <c r="BL10" s="230">
        <v>124400</v>
      </c>
      <c r="BM10" s="230">
        <v>371800</v>
      </c>
      <c r="BN10" s="230">
        <v>-247400</v>
      </c>
      <c r="BO10" s="229">
        <v>-0.66539999999999999</v>
      </c>
      <c r="BP10" s="230">
        <v>494100</v>
      </c>
      <c r="BQ10" s="230">
        <v>1196000</v>
      </c>
      <c r="BR10" s="230">
        <v>-701900</v>
      </c>
      <c r="BS10" s="229">
        <v>-0.58689999999999998</v>
      </c>
      <c r="BT10" s="230">
        <v>90622</v>
      </c>
      <c r="BU10" s="230">
        <v>200172</v>
      </c>
      <c r="BV10" s="230">
        <v>-109550</v>
      </c>
      <c r="BW10" s="229">
        <v>-0.54730000000000001</v>
      </c>
      <c r="BX10" s="230">
        <v>928000</v>
      </c>
      <c r="BY10" s="230">
        <v>923800</v>
      </c>
      <c r="BZ10" s="230">
        <v>4200</v>
      </c>
      <c r="CA10" s="229">
        <v>4.4999999999999997E-3</v>
      </c>
      <c r="CB10" s="230">
        <v>886200</v>
      </c>
      <c r="CC10" s="230">
        <v>885100</v>
      </c>
      <c r="CD10" s="230">
        <v>1100</v>
      </c>
      <c r="CE10" s="229">
        <v>1.1999999999999999E-3</v>
      </c>
      <c r="CF10" s="230">
        <v>41400</v>
      </c>
      <c r="CG10" s="230">
        <v>38600</v>
      </c>
      <c r="CH10" s="230">
        <v>2800</v>
      </c>
      <c r="CI10" s="229">
        <v>7.2499999999999995E-2</v>
      </c>
      <c r="CJ10" s="228">
        <v>400</v>
      </c>
      <c r="CK10" s="228">
        <v>100</v>
      </c>
      <c r="CL10" s="228">
        <v>300</v>
      </c>
      <c r="CM10" s="229">
        <v>3</v>
      </c>
      <c r="CN10" s="230">
        <v>335500</v>
      </c>
      <c r="CO10" s="230">
        <v>317800</v>
      </c>
      <c r="CP10" s="230">
        <v>17700</v>
      </c>
      <c r="CQ10" s="229">
        <v>5.57E-2</v>
      </c>
      <c r="CR10" s="230">
        <v>246900</v>
      </c>
      <c r="CS10" s="230">
        <v>229900</v>
      </c>
      <c r="CT10" s="230">
        <v>17000</v>
      </c>
      <c r="CU10" s="229">
        <v>7.3899999999999993E-2</v>
      </c>
      <c r="CV10" s="230">
        <v>1510400</v>
      </c>
      <c r="CW10" s="230">
        <v>1471500</v>
      </c>
      <c r="CX10" s="230">
        <v>38900</v>
      </c>
      <c r="CY10" s="229">
        <v>2.64E-2</v>
      </c>
      <c r="CZ10" s="228">
        <v>30.3</v>
      </c>
      <c r="DA10" s="228">
        <v>31.37</v>
      </c>
      <c r="DB10" s="228">
        <v>-1.07</v>
      </c>
      <c r="DC10" s="228">
        <v>-1.07</v>
      </c>
      <c r="DD10" s="228">
        <v>51.68</v>
      </c>
      <c r="DE10" s="228">
        <v>51.78</v>
      </c>
      <c r="DF10" s="228">
        <v>-21.38</v>
      </c>
      <c r="DG10" s="228">
        <v>-0.1</v>
      </c>
      <c r="DH10" s="228">
        <v>29.75</v>
      </c>
      <c r="DI10" s="228">
        <v>31</v>
      </c>
      <c r="DJ10" s="228">
        <v>-1.25</v>
      </c>
      <c r="DK10" s="228">
        <v>-1.25</v>
      </c>
      <c r="DL10" s="228">
        <v>31.44</v>
      </c>
      <c r="DM10" s="228">
        <v>31.97</v>
      </c>
      <c r="DN10" s="228">
        <v>-0.53</v>
      </c>
      <c r="DO10" s="228">
        <v>-0.53</v>
      </c>
      <c r="DP10" s="228">
        <v>0.74</v>
      </c>
      <c r="DQ10" s="228">
        <v>0.72</v>
      </c>
      <c r="DR10" s="228">
        <v>0.02</v>
      </c>
      <c r="DS10" s="229">
        <v>2.7799999999999998E-2</v>
      </c>
      <c r="DT10" s="231">
        <v>7000</v>
      </c>
      <c r="DU10" s="231">
        <v>6000</v>
      </c>
      <c r="DV10" s="228">
        <v>0.48</v>
      </c>
      <c r="DW10" s="228">
        <v>0.64</v>
      </c>
      <c r="DX10" s="228">
        <v>-0.16</v>
      </c>
      <c r="DY10" s="229">
        <v>-0.25</v>
      </c>
      <c r="DZ10" s="229">
        <v>4.4999999999999998E-2</v>
      </c>
      <c r="EA10" s="230">
        <v>38700</v>
      </c>
      <c r="EB10" s="229">
        <v>-1.5800000000000002E-2</v>
      </c>
      <c r="EC10" s="229">
        <v>4.4999999999999998E-2</v>
      </c>
      <c r="ED10" s="228">
        <v>-101.5</v>
      </c>
      <c r="EE10" s="229">
        <v>-1.5800000000000002E-2</v>
      </c>
      <c r="EF10" s="230">
        <v>22187</v>
      </c>
      <c r="EG10" s="230">
        <v>54005</v>
      </c>
      <c r="EH10" s="229">
        <v>-0.58919999999999995</v>
      </c>
      <c r="EI10" s="229">
        <v>0.24479999999999999</v>
      </c>
      <c r="EJ10" s="231">
        <v>17726.52</v>
      </c>
      <c r="EK10" s="231">
        <v>7751.9</v>
      </c>
      <c r="EL10" s="231">
        <v>7007.93</v>
      </c>
      <c r="EM10" s="231">
        <v>8909</v>
      </c>
      <c r="EN10" s="231">
        <v>32486.35</v>
      </c>
      <c r="EO10" s="231">
        <v>77759.199999999997</v>
      </c>
      <c r="EP10" s="231">
        <v>-45272.85</v>
      </c>
      <c r="EQ10" s="229">
        <v>-0.58220000000000005</v>
      </c>
      <c r="ER10" s="231">
        <v>22669</v>
      </c>
      <c r="ES10" s="231">
        <v>15758</v>
      </c>
      <c r="ET10" s="231">
        <v>59748</v>
      </c>
      <c r="EU10" s="231">
        <v>3257355</v>
      </c>
      <c r="EV10" s="231">
        <v>98175</v>
      </c>
      <c r="EW10" s="231">
        <v>94929</v>
      </c>
      <c r="EX10" s="231">
        <v>3246</v>
      </c>
      <c r="EY10" s="229">
        <v>3.4200000000000001E-2</v>
      </c>
      <c r="EZ10" s="229">
        <v>0.4637</v>
      </c>
      <c r="FA10" s="227" t="s">
        <v>555</v>
      </c>
      <c r="FB10" s="161">
        <f t="shared" si="0"/>
        <v>41800</v>
      </c>
    </row>
    <row r="11" spans="1:158" ht="17.25" hidden="1" thickBot="1" x14ac:dyDescent="0.3">
      <c r="A11" s="226">
        <v>46023</v>
      </c>
      <c r="B11" s="227" t="s">
        <v>157</v>
      </c>
      <c r="C11" s="227" t="s">
        <v>164</v>
      </c>
      <c r="D11" s="228">
        <v>1050</v>
      </c>
      <c r="E11" s="228">
        <v>563.25</v>
      </c>
      <c r="F11" s="228">
        <v>559</v>
      </c>
      <c r="G11" s="228">
        <v>4.25</v>
      </c>
      <c r="H11" s="229">
        <v>7.6E-3</v>
      </c>
      <c r="I11" s="228">
        <v>559.65</v>
      </c>
      <c r="J11" s="228">
        <v>556.35</v>
      </c>
      <c r="K11" s="228">
        <v>3.3</v>
      </c>
      <c r="L11" s="229">
        <v>5.8999999999999999E-3</v>
      </c>
      <c r="M11" s="228">
        <v>563.25</v>
      </c>
      <c r="N11" s="228">
        <v>559</v>
      </c>
      <c r="O11" s="228">
        <v>4.25</v>
      </c>
      <c r="P11" s="229">
        <v>7.6E-3</v>
      </c>
      <c r="Q11" s="228">
        <v>566.20000000000005</v>
      </c>
      <c r="R11" s="228">
        <v>561.9</v>
      </c>
      <c r="S11" s="228">
        <v>4.3</v>
      </c>
      <c r="T11" s="229">
        <v>7.7000000000000002E-3</v>
      </c>
      <c r="U11" s="228">
        <v>569</v>
      </c>
      <c r="V11" s="228">
        <v>566.79999999999995</v>
      </c>
      <c r="W11" s="228">
        <v>2.2000000000000002</v>
      </c>
      <c r="X11" s="229">
        <v>3.8999999999999998E-3</v>
      </c>
      <c r="Y11" s="228">
        <v>3.6</v>
      </c>
      <c r="Z11" s="228">
        <v>2.65</v>
      </c>
      <c r="AA11" s="228">
        <v>0.95</v>
      </c>
      <c r="AB11" s="229">
        <v>6.4000000000000003E-3</v>
      </c>
      <c r="AC11" s="228">
        <v>3.6</v>
      </c>
      <c r="AD11" s="228">
        <v>2.65</v>
      </c>
      <c r="AE11" s="228">
        <v>0.95</v>
      </c>
      <c r="AF11" s="229">
        <v>6.4000000000000003E-3</v>
      </c>
      <c r="AG11" s="228">
        <v>6.55</v>
      </c>
      <c r="AH11" s="228">
        <v>5.55</v>
      </c>
      <c r="AI11" s="228">
        <v>1</v>
      </c>
      <c r="AJ11" s="229">
        <v>1.17E-2</v>
      </c>
      <c r="AK11" s="228">
        <v>9.35</v>
      </c>
      <c r="AL11" s="228">
        <v>10.45</v>
      </c>
      <c r="AM11" s="228">
        <v>-1.1000000000000001</v>
      </c>
      <c r="AN11" s="229">
        <v>1.67E-2</v>
      </c>
      <c r="AO11" s="228">
        <v>562.37</v>
      </c>
      <c r="AP11" s="228">
        <v>565.37</v>
      </c>
      <c r="AQ11" s="228">
        <v>0</v>
      </c>
      <c r="AR11" s="230">
        <v>3266550</v>
      </c>
      <c r="AS11" s="230">
        <v>3055500</v>
      </c>
      <c r="AT11" s="230">
        <v>211050</v>
      </c>
      <c r="AU11" s="229">
        <v>6.9099999999999995E-2</v>
      </c>
      <c r="AV11" s="230">
        <v>3142650</v>
      </c>
      <c r="AW11" s="230">
        <v>2875950</v>
      </c>
      <c r="AX11" s="230">
        <v>266700</v>
      </c>
      <c r="AY11" s="229">
        <v>9.2700000000000005E-2</v>
      </c>
      <c r="AZ11" s="230">
        <v>110250</v>
      </c>
      <c r="BA11" s="230">
        <v>168000</v>
      </c>
      <c r="BB11" s="230">
        <v>-57750</v>
      </c>
      <c r="BC11" s="229">
        <v>-0.34379999999999999</v>
      </c>
      <c r="BD11" s="230">
        <v>13650</v>
      </c>
      <c r="BE11" s="230">
        <v>11550</v>
      </c>
      <c r="BF11" s="230">
        <v>2100</v>
      </c>
      <c r="BG11" s="229">
        <v>0.18179999999999999</v>
      </c>
      <c r="BH11" s="230">
        <v>9455250</v>
      </c>
      <c r="BI11" s="230">
        <v>6093150</v>
      </c>
      <c r="BJ11" s="230">
        <v>3362100</v>
      </c>
      <c r="BK11" s="229">
        <v>0.55179999999999996</v>
      </c>
      <c r="BL11" s="230">
        <v>3018750</v>
      </c>
      <c r="BM11" s="230">
        <v>3646650</v>
      </c>
      <c r="BN11" s="230">
        <v>-627900</v>
      </c>
      <c r="BO11" s="229">
        <v>-0.17219999999999999</v>
      </c>
      <c r="BP11" s="230">
        <v>15740550</v>
      </c>
      <c r="BQ11" s="230">
        <v>12795300</v>
      </c>
      <c r="BR11" s="230">
        <v>2945250</v>
      </c>
      <c r="BS11" s="229">
        <v>0.23019999999999999</v>
      </c>
      <c r="BT11" s="230">
        <v>1644466</v>
      </c>
      <c r="BU11" s="230">
        <v>1106107</v>
      </c>
      <c r="BV11" s="230">
        <v>538359</v>
      </c>
      <c r="BW11" s="229">
        <v>0.48670000000000002</v>
      </c>
      <c r="BX11" s="230">
        <v>52023300</v>
      </c>
      <c r="BY11" s="230">
        <v>51813300</v>
      </c>
      <c r="BZ11" s="230">
        <v>210000</v>
      </c>
      <c r="CA11" s="229">
        <v>4.1000000000000003E-3</v>
      </c>
      <c r="CB11" s="230">
        <v>51204300</v>
      </c>
      <c r="CC11" s="230">
        <v>51012150</v>
      </c>
      <c r="CD11" s="230">
        <v>192150</v>
      </c>
      <c r="CE11" s="229">
        <v>3.8E-3</v>
      </c>
      <c r="CF11" s="230">
        <v>800100</v>
      </c>
      <c r="CG11" s="230">
        <v>789600</v>
      </c>
      <c r="CH11" s="230">
        <v>10500</v>
      </c>
      <c r="CI11" s="229">
        <v>1.3299999999999999E-2</v>
      </c>
      <c r="CJ11" s="230">
        <v>18900</v>
      </c>
      <c r="CK11" s="230">
        <v>11550</v>
      </c>
      <c r="CL11" s="230">
        <v>7350</v>
      </c>
      <c r="CM11" s="229">
        <v>0.63639999999999997</v>
      </c>
      <c r="CN11" s="230">
        <v>9871050</v>
      </c>
      <c r="CO11" s="230">
        <v>9293550</v>
      </c>
      <c r="CP11" s="230">
        <v>577500</v>
      </c>
      <c r="CQ11" s="229">
        <v>6.2100000000000002E-2</v>
      </c>
      <c r="CR11" s="230">
        <v>9557100</v>
      </c>
      <c r="CS11" s="230">
        <v>9025800</v>
      </c>
      <c r="CT11" s="230">
        <v>531300</v>
      </c>
      <c r="CU11" s="229">
        <v>5.8900000000000001E-2</v>
      </c>
      <c r="CV11" s="230">
        <v>71451450</v>
      </c>
      <c r="CW11" s="230">
        <v>70132650</v>
      </c>
      <c r="CX11" s="230">
        <v>1318800</v>
      </c>
      <c r="CY11" s="229">
        <v>1.8800000000000001E-2</v>
      </c>
      <c r="CZ11" s="228">
        <v>19.07</v>
      </c>
      <c r="DA11" s="228">
        <v>19.04</v>
      </c>
      <c r="DB11" s="228">
        <v>0.03</v>
      </c>
      <c r="DC11" s="228">
        <v>0.03</v>
      </c>
      <c r="DD11" s="228">
        <v>31.14</v>
      </c>
      <c r="DE11" s="228">
        <v>31.2</v>
      </c>
      <c r="DF11" s="228">
        <v>-12.07</v>
      </c>
      <c r="DG11" s="228">
        <v>-0.06</v>
      </c>
      <c r="DH11" s="228">
        <v>19.04</v>
      </c>
      <c r="DI11" s="228">
        <v>18.739999999999998</v>
      </c>
      <c r="DJ11" s="228">
        <v>0.3</v>
      </c>
      <c r="DK11" s="228">
        <v>0.3</v>
      </c>
      <c r="DL11" s="228">
        <v>19.14</v>
      </c>
      <c r="DM11" s="228">
        <v>19.54</v>
      </c>
      <c r="DN11" s="228">
        <v>-0.4</v>
      </c>
      <c r="DO11" s="228">
        <v>-0.4</v>
      </c>
      <c r="DP11" s="228">
        <v>0.97</v>
      </c>
      <c r="DQ11" s="228">
        <v>0.97</v>
      </c>
      <c r="DR11" s="228">
        <v>0</v>
      </c>
      <c r="DS11" s="229">
        <v>0</v>
      </c>
      <c r="DT11" s="228">
        <v>550</v>
      </c>
      <c r="DU11" s="228">
        <v>550</v>
      </c>
      <c r="DV11" s="228">
        <v>0.32</v>
      </c>
      <c r="DW11" s="228">
        <v>0.6</v>
      </c>
      <c r="DX11" s="228">
        <v>-0.28000000000000003</v>
      </c>
      <c r="DY11" s="229">
        <v>-0.4667</v>
      </c>
      <c r="DZ11" s="229">
        <v>1.5699999999999999E-2</v>
      </c>
      <c r="EA11" s="230">
        <v>801150</v>
      </c>
      <c r="EB11" s="229">
        <v>5.1999999999999998E-3</v>
      </c>
      <c r="EC11" s="229">
        <v>1.5699999999999999E-2</v>
      </c>
      <c r="ED11" s="228">
        <v>3</v>
      </c>
      <c r="EE11" s="229">
        <v>5.3E-3</v>
      </c>
      <c r="EF11" s="230">
        <v>676893</v>
      </c>
      <c r="EG11" s="230">
        <v>542714</v>
      </c>
      <c r="EH11" s="229">
        <v>0.2472</v>
      </c>
      <c r="EI11" s="229">
        <v>0.41160000000000002</v>
      </c>
      <c r="EJ11" s="231">
        <v>54649.68</v>
      </c>
      <c r="EK11" s="231">
        <v>16816.07</v>
      </c>
      <c r="EL11" s="231">
        <v>18374.32</v>
      </c>
      <c r="EM11" s="231">
        <v>18620</v>
      </c>
      <c r="EN11" s="231">
        <v>89840.07</v>
      </c>
      <c r="EO11" s="231">
        <v>72286.47</v>
      </c>
      <c r="EP11" s="231">
        <v>17553.599999999999</v>
      </c>
      <c r="EQ11" s="229">
        <v>0.24279999999999999</v>
      </c>
      <c r="ER11" s="231">
        <v>56338</v>
      </c>
      <c r="ES11" s="231">
        <v>53272</v>
      </c>
      <c r="ET11" s="231">
        <v>293046</v>
      </c>
      <c r="EU11" s="231">
        <v>79841849</v>
      </c>
      <c r="EV11" s="231">
        <v>402656</v>
      </c>
      <c r="EW11" s="231">
        <v>392917</v>
      </c>
      <c r="EX11" s="231">
        <v>9739</v>
      </c>
      <c r="EY11" s="229">
        <v>2.4799999999999999E-2</v>
      </c>
      <c r="EZ11" s="229">
        <v>0.89490000000000003</v>
      </c>
      <c r="FA11" s="227" t="s">
        <v>555</v>
      </c>
      <c r="FB11" s="161">
        <f t="shared" si="0"/>
        <v>819000</v>
      </c>
    </row>
    <row r="12" spans="1:158" ht="17.25" hidden="1" thickBot="1" x14ac:dyDescent="0.3">
      <c r="A12" s="226">
        <v>46023</v>
      </c>
      <c r="B12" s="227" t="s">
        <v>175</v>
      </c>
      <c r="C12" s="227" t="s">
        <v>609</v>
      </c>
      <c r="D12" s="228">
        <v>250</v>
      </c>
      <c r="E12" s="231">
        <v>2366.6</v>
      </c>
      <c r="F12" s="231">
        <v>2348.1</v>
      </c>
      <c r="G12" s="228">
        <v>18.5</v>
      </c>
      <c r="H12" s="229">
        <v>7.9000000000000008E-3</v>
      </c>
      <c r="I12" s="231">
        <v>2362.8000000000002</v>
      </c>
      <c r="J12" s="231">
        <v>2344</v>
      </c>
      <c r="K12" s="228">
        <v>18.8</v>
      </c>
      <c r="L12" s="229">
        <v>8.0000000000000002E-3</v>
      </c>
      <c r="M12" s="231">
        <v>2366.6</v>
      </c>
      <c r="N12" s="231">
        <v>2348.1</v>
      </c>
      <c r="O12" s="228">
        <v>18.5</v>
      </c>
      <c r="P12" s="229">
        <v>7.9000000000000008E-3</v>
      </c>
      <c r="Q12" s="231">
        <v>2355.1999999999998</v>
      </c>
      <c r="R12" s="231">
        <v>2335.5</v>
      </c>
      <c r="S12" s="228">
        <v>19.7</v>
      </c>
      <c r="T12" s="229">
        <v>8.3999999999999995E-3</v>
      </c>
      <c r="U12" s="231">
        <v>2350.8000000000002</v>
      </c>
      <c r="V12" s="231">
        <v>2330.6</v>
      </c>
      <c r="W12" s="228">
        <v>20.2</v>
      </c>
      <c r="X12" s="229">
        <v>8.6999999999999994E-3</v>
      </c>
      <c r="Y12" s="228">
        <v>3.8</v>
      </c>
      <c r="Z12" s="228">
        <v>4.0999999999999996</v>
      </c>
      <c r="AA12" s="228">
        <v>-0.3</v>
      </c>
      <c r="AB12" s="229">
        <v>1.6000000000000001E-3</v>
      </c>
      <c r="AC12" s="228">
        <v>3.8</v>
      </c>
      <c r="AD12" s="228">
        <v>4.0999999999999996</v>
      </c>
      <c r="AE12" s="228">
        <v>-0.3</v>
      </c>
      <c r="AF12" s="229">
        <v>1.6000000000000001E-3</v>
      </c>
      <c r="AG12" s="228">
        <v>-7.6</v>
      </c>
      <c r="AH12" s="228">
        <v>-8.5</v>
      </c>
      <c r="AI12" s="228">
        <v>0.9</v>
      </c>
      <c r="AJ12" s="229">
        <v>-3.2000000000000002E-3</v>
      </c>
      <c r="AK12" s="228">
        <v>-12</v>
      </c>
      <c r="AL12" s="228">
        <v>-13.4</v>
      </c>
      <c r="AM12" s="228">
        <v>1.4</v>
      </c>
      <c r="AN12" s="229">
        <v>-5.1000000000000004E-3</v>
      </c>
      <c r="AO12" s="231">
        <v>2349.89</v>
      </c>
      <c r="AP12" s="231">
        <v>2330.87</v>
      </c>
      <c r="AQ12" s="228">
        <v>0</v>
      </c>
      <c r="AR12" s="230">
        <v>678500</v>
      </c>
      <c r="AS12" s="230">
        <v>1096750</v>
      </c>
      <c r="AT12" s="230">
        <v>-418250</v>
      </c>
      <c r="AU12" s="229">
        <v>-0.38140000000000002</v>
      </c>
      <c r="AV12" s="230">
        <v>642500</v>
      </c>
      <c r="AW12" s="230">
        <v>1032250</v>
      </c>
      <c r="AX12" s="230">
        <v>-389750</v>
      </c>
      <c r="AY12" s="229">
        <v>-0.37759999999999999</v>
      </c>
      <c r="AZ12" s="230">
        <v>31000</v>
      </c>
      <c r="BA12" s="230">
        <v>60500</v>
      </c>
      <c r="BB12" s="230">
        <v>-29500</v>
      </c>
      <c r="BC12" s="229">
        <v>-0.48759999999999998</v>
      </c>
      <c r="BD12" s="230">
        <v>5000</v>
      </c>
      <c r="BE12" s="230">
        <v>4000</v>
      </c>
      <c r="BF12" s="230">
        <v>1000</v>
      </c>
      <c r="BG12" s="229">
        <v>0.25</v>
      </c>
      <c r="BH12" s="230">
        <v>2068750</v>
      </c>
      <c r="BI12" s="230">
        <v>3509750</v>
      </c>
      <c r="BJ12" s="230">
        <v>-1441000</v>
      </c>
      <c r="BK12" s="229">
        <v>-0.41060000000000002</v>
      </c>
      <c r="BL12" s="230">
        <v>1102750</v>
      </c>
      <c r="BM12" s="230">
        <v>1401000</v>
      </c>
      <c r="BN12" s="230">
        <v>-298250</v>
      </c>
      <c r="BO12" s="229">
        <v>-0.21290000000000001</v>
      </c>
      <c r="BP12" s="230">
        <v>3850000</v>
      </c>
      <c r="BQ12" s="230">
        <v>6007500</v>
      </c>
      <c r="BR12" s="230">
        <v>-2157500</v>
      </c>
      <c r="BS12" s="229">
        <v>-0.35909999999999997</v>
      </c>
      <c r="BT12" s="230">
        <v>508946</v>
      </c>
      <c r="BU12" s="230">
        <v>963339</v>
      </c>
      <c r="BV12" s="230">
        <v>-454393</v>
      </c>
      <c r="BW12" s="229">
        <v>-0.47170000000000001</v>
      </c>
      <c r="BX12" s="230">
        <v>3683500</v>
      </c>
      <c r="BY12" s="230">
        <v>3636750</v>
      </c>
      <c r="BZ12" s="230">
        <v>46750</v>
      </c>
      <c r="CA12" s="229">
        <v>1.29E-2</v>
      </c>
      <c r="CB12" s="230">
        <v>3504000</v>
      </c>
      <c r="CC12" s="230">
        <v>3461500</v>
      </c>
      <c r="CD12" s="230">
        <v>42500</v>
      </c>
      <c r="CE12" s="229">
        <v>1.23E-2</v>
      </c>
      <c r="CF12" s="230">
        <v>173500</v>
      </c>
      <c r="CG12" s="230">
        <v>171250</v>
      </c>
      <c r="CH12" s="230">
        <v>2250</v>
      </c>
      <c r="CI12" s="229">
        <v>1.3100000000000001E-2</v>
      </c>
      <c r="CJ12" s="230">
        <v>6000</v>
      </c>
      <c r="CK12" s="230">
        <v>4000</v>
      </c>
      <c r="CL12" s="230">
        <v>2000</v>
      </c>
      <c r="CM12" s="229">
        <v>0.5</v>
      </c>
      <c r="CN12" s="230">
        <v>1993250</v>
      </c>
      <c r="CO12" s="230">
        <v>1869500</v>
      </c>
      <c r="CP12" s="230">
        <v>123750</v>
      </c>
      <c r="CQ12" s="229">
        <v>6.6199999999999995E-2</v>
      </c>
      <c r="CR12" s="230">
        <v>1749000</v>
      </c>
      <c r="CS12" s="230">
        <v>1661000</v>
      </c>
      <c r="CT12" s="230">
        <v>88000</v>
      </c>
      <c r="CU12" s="229">
        <v>5.2999999999999999E-2</v>
      </c>
      <c r="CV12" s="230">
        <v>7425750</v>
      </c>
      <c r="CW12" s="230">
        <v>7167250</v>
      </c>
      <c r="CX12" s="230">
        <v>258500</v>
      </c>
      <c r="CY12" s="229">
        <v>3.61E-2</v>
      </c>
      <c r="CZ12" s="228">
        <v>37.72</v>
      </c>
      <c r="DA12" s="228">
        <v>37.78</v>
      </c>
      <c r="DB12" s="228">
        <v>-0.06</v>
      </c>
      <c r="DC12" s="228">
        <v>-0.06</v>
      </c>
      <c r="DD12" s="228">
        <v>52.05</v>
      </c>
      <c r="DE12" s="228">
        <v>52.17</v>
      </c>
      <c r="DF12" s="228">
        <v>-14.33</v>
      </c>
      <c r="DG12" s="228">
        <v>-0.12</v>
      </c>
      <c r="DH12" s="228">
        <v>37.28</v>
      </c>
      <c r="DI12" s="228">
        <v>37.75</v>
      </c>
      <c r="DJ12" s="228">
        <v>-0.47</v>
      </c>
      <c r="DK12" s="228">
        <v>-0.47</v>
      </c>
      <c r="DL12" s="228">
        <v>38.549999999999997</v>
      </c>
      <c r="DM12" s="228">
        <v>37.86</v>
      </c>
      <c r="DN12" s="228">
        <v>0.69</v>
      </c>
      <c r="DO12" s="228">
        <v>0.69</v>
      </c>
      <c r="DP12" s="228">
        <v>0.88</v>
      </c>
      <c r="DQ12" s="228">
        <v>0.89</v>
      </c>
      <c r="DR12" s="228">
        <v>-0.01</v>
      </c>
      <c r="DS12" s="229">
        <v>-1.12E-2</v>
      </c>
      <c r="DT12" s="231">
        <v>2600</v>
      </c>
      <c r="DU12" s="231">
        <v>2200</v>
      </c>
      <c r="DV12" s="228">
        <v>0.53</v>
      </c>
      <c r="DW12" s="228">
        <v>0.4</v>
      </c>
      <c r="DX12" s="228">
        <v>0.13</v>
      </c>
      <c r="DY12" s="229">
        <v>0.32500000000000001</v>
      </c>
      <c r="DZ12" s="229">
        <v>4.87E-2</v>
      </c>
      <c r="EA12" s="230">
        <v>175250</v>
      </c>
      <c r="EB12" s="229">
        <v>-4.7999999999999996E-3</v>
      </c>
      <c r="EC12" s="229">
        <v>4.87E-2</v>
      </c>
      <c r="ED12" s="228">
        <v>-19.02</v>
      </c>
      <c r="EE12" s="229">
        <v>-8.0999999999999996E-3</v>
      </c>
      <c r="EF12" s="230">
        <v>177390</v>
      </c>
      <c r="EG12" s="230">
        <v>363130</v>
      </c>
      <c r="EH12" s="229">
        <v>-0.51149999999999995</v>
      </c>
      <c r="EI12" s="229">
        <v>0.34849999999999998</v>
      </c>
      <c r="EJ12" s="231">
        <v>52508.33</v>
      </c>
      <c r="EK12" s="231">
        <v>25524.38</v>
      </c>
      <c r="EL12" s="231">
        <v>15937.11</v>
      </c>
      <c r="EM12" s="231">
        <v>12460</v>
      </c>
      <c r="EN12" s="231">
        <v>93969.82</v>
      </c>
      <c r="EO12" s="231">
        <v>147956.45000000001</v>
      </c>
      <c r="EP12" s="231">
        <v>-53986.63</v>
      </c>
      <c r="EQ12" s="229">
        <v>-0.3649</v>
      </c>
      <c r="ER12" s="231">
        <v>51437</v>
      </c>
      <c r="ES12" s="231">
        <v>40160</v>
      </c>
      <c r="ET12" s="231">
        <v>87153</v>
      </c>
      <c r="EU12" s="231">
        <v>9673308</v>
      </c>
      <c r="EV12" s="231">
        <v>178750</v>
      </c>
      <c r="EW12" s="231">
        <v>171985</v>
      </c>
      <c r="EX12" s="231">
        <v>6765</v>
      </c>
      <c r="EY12" s="229">
        <v>3.9300000000000002E-2</v>
      </c>
      <c r="EZ12" s="229">
        <v>0.76770000000000005</v>
      </c>
      <c r="FA12" s="227" t="s">
        <v>555</v>
      </c>
      <c r="FB12" s="161">
        <f t="shared" si="0"/>
        <v>179500</v>
      </c>
    </row>
    <row r="13" spans="1:158" ht="17.25" hidden="1" thickBot="1" x14ac:dyDescent="0.3">
      <c r="A13" s="226">
        <v>46023</v>
      </c>
      <c r="B13" s="227" t="s">
        <v>227</v>
      </c>
      <c r="C13" s="227" t="s">
        <v>598</v>
      </c>
      <c r="D13" s="228">
        <v>350</v>
      </c>
      <c r="E13" s="231">
        <v>1983</v>
      </c>
      <c r="F13" s="231">
        <v>1925.7</v>
      </c>
      <c r="G13" s="228">
        <v>57.3</v>
      </c>
      <c r="H13" s="229">
        <v>2.98E-2</v>
      </c>
      <c r="I13" s="231">
        <v>1970</v>
      </c>
      <c r="J13" s="231">
        <v>1914</v>
      </c>
      <c r="K13" s="228">
        <v>56</v>
      </c>
      <c r="L13" s="229">
        <v>2.93E-2</v>
      </c>
      <c r="M13" s="231">
        <v>1983</v>
      </c>
      <c r="N13" s="231">
        <v>1925.7</v>
      </c>
      <c r="O13" s="228">
        <v>57.3</v>
      </c>
      <c r="P13" s="229">
        <v>2.98E-2</v>
      </c>
      <c r="Q13" s="231">
        <v>1994.8</v>
      </c>
      <c r="R13" s="231">
        <v>1938.5</v>
      </c>
      <c r="S13" s="228">
        <v>56.3</v>
      </c>
      <c r="T13" s="229">
        <v>2.9000000000000001E-2</v>
      </c>
      <c r="U13" s="231">
        <v>2007.6</v>
      </c>
      <c r="V13" s="231">
        <v>1949.2</v>
      </c>
      <c r="W13" s="228">
        <v>58.4</v>
      </c>
      <c r="X13" s="229">
        <v>0.03</v>
      </c>
      <c r="Y13" s="228">
        <v>13</v>
      </c>
      <c r="Z13" s="228">
        <v>11.7</v>
      </c>
      <c r="AA13" s="228">
        <v>1.3</v>
      </c>
      <c r="AB13" s="229">
        <v>6.6E-3</v>
      </c>
      <c r="AC13" s="228">
        <v>13</v>
      </c>
      <c r="AD13" s="228">
        <v>11.7</v>
      </c>
      <c r="AE13" s="228">
        <v>1.3</v>
      </c>
      <c r="AF13" s="229">
        <v>6.6E-3</v>
      </c>
      <c r="AG13" s="228">
        <v>24.8</v>
      </c>
      <c r="AH13" s="228">
        <v>24.5</v>
      </c>
      <c r="AI13" s="228">
        <v>0.3</v>
      </c>
      <c r="AJ13" s="229">
        <v>1.26E-2</v>
      </c>
      <c r="AK13" s="228">
        <v>37.6</v>
      </c>
      <c r="AL13" s="228">
        <v>35.200000000000003</v>
      </c>
      <c r="AM13" s="228">
        <v>2.4</v>
      </c>
      <c r="AN13" s="229">
        <v>1.9099999999999999E-2</v>
      </c>
      <c r="AO13" s="231">
        <v>1981.07</v>
      </c>
      <c r="AP13" s="231">
        <v>1981.88</v>
      </c>
      <c r="AQ13" s="228">
        <v>0</v>
      </c>
      <c r="AR13" s="230">
        <v>2883300</v>
      </c>
      <c r="AS13" s="230">
        <v>996100</v>
      </c>
      <c r="AT13" s="230">
        <v>1887200</v>
      </c>
      <c r="AU13" s="229">
        <v>1.8946000000000001</v>
      </c>
      <c r="AV13" s="230">
        <v>2850050</v>
      </c>
      <c r="AW13" s="230">
        <v>987350</v>
      </c>
      <c r="AX13" s="230">
        <v>1862700</v>
      </c>
      <c r="AY13" s="229">
        <v>1.8866000000000001</v>
      </c>
      <c r="AZ13" s="230">
        <v>27650</v>
      </c>
      <c r="BA13" s="230">
        <v>8050</v>
      </c>
      <c r="BB13" s="230">
        <v>19600</v>
      </c>
      <c r="BC13" s="229">
        <v>2.4348000000000001</v>
      </c>
      <c r="BD13" s="230">
        <v>5600</v>
      </c>
      <c r="BE13" s="228">
        <v>700</v>
      </c>
      <c r="BF13" s="230">
        <v>4900</v>
      </c>
      <c r="BG13" s="229">
        <v>7</v>
      </c>
      <c r="BH13" s="230">
        <v>7055650</v>
      </c>
      <c r="BI13" s="230">
        <v>1302350</v>
      </c>
      <c r="BJ13" s="230">
        <v>5753300</v>
      </c>
      <c r="BK13" s="229">
        <v>4.4176000000000002</v>
      </c>
      <c r="BL13" s="230">
        <v>2129400</v>
      </c>
      <c r="BM13" s="230">
        <v>423850</v>
      </c>
      <c r="BN13" s="230">
        <v>1705550</v>
      </c>
      <c r="BO13" s="229">
        <v>4.0239000000000003</v>
      </c>
      <c r="BP13" s="230">
        <v>12068350</v>
      </c>
      <c r="BQ13" s="230">
        <v>2722300</v>
      </c>
      <c r="BR13" s="230">
        <v>9346050</v>
      </c>
      <c r="BS13" s="229">
        <v>3.4331</v>
      </c>
      <c r="BT13" s="230">
        <v>1920767</v>
      </c>
      <c r="BU13" s="230">
        <v>366321</v>
      </c>
      <c r="BV13" s="230">
        <v>1554446</v>
      </c>
      <c r="BW13" s="229">
        <v>4.2434000000000003</v>
      </c>
      <c r="BX13" s="230">
        <v>9983050</v>
      </c>
      <c r="BY13" s="230">
        <v>9009700</v>
      </c>
      <c r="BZ13" s="230">
        <v>973350</v>
      </c>
      <c r="CA13" s="229">
        <v>0.108</v>
      </c>
      <c r="CB13" s="230">
        <v>9918650</v>
      </c>
      <c r="CC13" s="230">
        <v>8955450</v>
      </c>
      <c r="CD13" s="230">
        <v>963200</v>
      </c>
      <c r="CE13" s="229">
        <v>0.1076</v>
      </c>
      <c r="CF13" s="230">
        <v>60200</v>
      </c>
      <c r="CG13" s="230">
        <v>53550</v>
      </c>
      <c r="CH13" s="230">
        <v>6650</v>
      </c>
      <c r="CI13" s="229">
        <v>0.1242</v>
      </c>
      <c r="CJ13" s="230">
        <v>4200</v>
      </c>
      <c r="CK13" s="228">
        <v>700</v>
      </c>
      <c r="CL13" s="230">
        <v>3500</v>
      </c>
      <c r="CM13" s="229">
        <v>5</v>
      </c>
      <c r="CN13" s="230">
        <v>1018500</v>
      </c>
      <c r="CO13" s="230">
        <v>601650</v>
      </c>
      <c r="CP13" s="230">
        <v>416850</v>
      </c>
      <c r="CQ13" s="229">
        <v>0.69279999999999997</v>
      </c>
      <c r="CR13" s="230">
        <v>550900</v>
      </c>
      <c r="CS13" s="230">
        <v>331100</v>
      </c>
      <c r="CT13" s="230">
        <v>219800</v>
      </c>
      <c r="CU13" s="229">
        <v>0.66379999999999995</v>
      </c>
      <c r="CV13" s="230">
        <v>11552450</v>
      </c>
      <c r="CW13" s="230">
        <v>9942450</v>
      </c>
      <c r="CX13" s="230">
        <v>1610000</v>
      </c>
      <c r="CY13" s="229">
        <v>0.16189999999999999</v>
      </c>
      <c r="CZ13" s="228">
        <v>23.45</v>
      </c>
      <c r="DA13" s="228">
        <v>23.14</v>
      </c>
      <c r="DB13" s="228">
        <v>0.31</v>
      </c>
      <c r="DC13" s="228">
        <v>0.31</v>
      </c>
      <c r="DD13" s="228">
        <v>32.119999999999997</v>
      </c>
      <c r="DE13" s="228">
        <v>31.97</v>
      </c>
      <c r="DF13" s="228">
        <v>-8.67</v>
      </c>
      <c r="DG13" s="228">
        <v>0.15</v>
      </c>
      <c r="DH13" s="228">
        <v>23.32</v>
      </c>
      <c r="DI13" s="228">
        <v>23.18</v>
      </c>
      <c r="DJ13" s="228">
        <v>0.14000000000000001</v>
      </c>
      <c r="DK13" s="228">
        <v>0.14000000000000001</v>
      </c>
      <c r="DL13" s="228">
        <v>23.88</v>
      </c>
      <c r="DM13" s="228">
        <v>23.04</v>
      </c>
      <c r="DN13" s="228">
        <v>0.84</v>
      </c>
      <c r="DO13" s="228">
        <v>0.84</v>
      </c>
      <c r="DP13" s="228">
        <v>0.54</v>
      </c>
      <c r="DQ13" s="228">
        <v>0.55000000000000004</v>
      </c>
      <c r="DR13" s="228">
        <v>-0.01</v>
      </c>
      <c r="DS13" s="229">
        <v>-1.8200000000000001E-2</v>
      </c>
      <c r="DT13" s="231">
        <v>2000</v>
      </c>
      <c r="DU13" s="231">
        <v>1900</v>
      </c>
      <c r="DV13" s="228">
        <v>0.3</v>
      </c>
      <c r="DW13" s="228">
        <v>0.33</v>
      </c>
      <c r="DX13" s="228">
        <v>-0.03</v>
      </c>
      <c r="DY13" s="229">
        <v>-9.0899999999999995E-2</v>
      </c>
      <c r="DZ13" s="229">
        <v>6.4999999999999997E-3</v>
      </c>
      <c r="EA13" s="230">
        <v>54250</v>
      </c>
      <c r="EB13" s="229">
        <v>6.0000000000000001E-3</v>
      </c>
      <c r="EC13" s="229">
        <v>6.4999999999999997E-3</v>
      </c>
      <c r="ED13" s="228">
        <v>0.81</v>
      </c>
      <c r="EE13" s="229">
        <v>4.0000000000000002E-4</v>
      </c>
      <c r="EF13" s="230">
        <v>974180</v>
      </c>
      <c r="EG13" s="230">
        <v>204985</v>
      </c>
      <c r="EH13" s="229">
        <v>3.7524000000000002</v>
      </c>
      <c r="EI13" s="229">
        <v>0.50719999999999998</v>
      </c>
      <c r="EJ13" s="231">
        <v>144140.62</v>
      </c>
      <c r="EK13" s="231">
        <v>41144.160000000003</v>
      </c>
      <c r="EL13" s="231">
        <v>57121.53</v>
      </c>
      <c r="EM13" s="231">
        <v>7802</v>
      </c>
      <c r="EN13" s="231">
        <v>242406.31</v>
      </c>
      <c r="EO13" s="231">
        <v>53210.75</v>
      </c>
      <c r="EP13" s="231">
        <v>189195.56</v>
      </c>
      <c r="EQ13" s="229">
        <v>3.5556000000000001</v>
      </c>
      <c r="ER13" s="231">
        <v>20361</v>
      </c>
      <c r="ES13" s="231">
        <v>10293</v>
      </c>
      <c r="ET13" s="231">
        <v>197972</v>
      </c>
      <c r="EU13" s="231">
        <v>23068453</v>
      </c>
      <c r="EV13" s="231">
        <v>228626</v>
      </c>
      <c r="EW13" s="231">
        <v>191283</v>
      </c>
      <c r="EX13" s="231">
        <v>37343</v>
      </c>
      <c r="EY13" s="229">
        <v>0.19520000000000001</v>
      </c>
      <c r="EZ13" s="229">
        <v>0.50080000000000002</v>
      </c>
      <c r="FA13" s="227" t="s">
        <v>555</v>
      </c>
      <c r="FB13" s="161">
        <f t="shared" si="0"/>
        <v>64400</v>
      </c>
    </row>
    <row r="14" spans="1:158" ht="17.25" hidden="1" thickBot="1" x14ac:dyDescent="0.3">
      <c r="A14" s="226">
        <v>46023</v>
      </c>
      <c r="B14" s="227" t="s">
        <v>170</v>
      </c>
      <c r="C14" s="227" t="s">
        <v>165</v>
      </c>
      <c r="D14" s="228">
        <v>125</v>
      </c>
      <c r="E14" s="231">
        <v>7140</v>
      </c>
      <c r="F14" s="231">
        <v>7088.5</v>
      </c>
      <c r="G14" s="228">
        <v>51.5</v>
      </c>
      <c r="H14" s="229">
        <v>7.3000000000000001E-3</v>
      </c>
      <c r="I14" s="231">
        <v>7111.5</v>
      </c>
      <c r="J14" s="231">
        <v>7042.5</v>
      </c>
      <c r="K14" s="228">
        <v>69</v>
      </c>
      <c r="L14" s="229">
        <v>9.7999999999999997E-3</v>
      </c>
      <c r="M14" s="231">
        <v>7140</v>
      </c>
      <c r="N14" s="231">
        <v>7088.5</v>
      </c>
      <c r="O14" s="228">
        <v>51.5</v>
      </c>
      <c r="P14" s="229">
        <v>7.3000000000000001E-3</v>
      </c>
      <c r="Q14" s="231">
        <v>7173</v>
      </c>
      <c r="R14" s="231">
        <v>7120</v>
      </c>
      <c r="S14" s="228">
        <v>53</v>
      </c>
      <c r="T14" s="229">
        <v>7.4000000000000003E-3</v>
      </c>
      <c r="U14" s="231">
        <v>7219</v>
      </c>
      <c r="V14" s="231">
        <v>7151</v>
      </c>
      <c r="W14" s="228">
        <v>68</v>
      </c>
      <c r="X14" s="229">
        <v>9.4999999999999998E-3</v>
      </c>
      <c r="Y14" s="228">
        <v>28.5</v>
      </c>
      <c r="Z14" s="228">
        <v>46</v>
      </c>
      <c r="AA14" s="228">
        <v>-17.5</v>
      </c>
      <c r="AB14" s="229">
        <v>4.0000000000000001E-3</v>
      </c>
      <c r="AC14" s="228">
        <v>28.5</v>
      </c>
      <c r="AD14" s="228">
        <v>46</v>
      </c>
      <c r="AE14" s="228">
        <v>-17.5</v>
      </c>
      <c r="AF14" s="229">
        <v>4.0000000000000001E-3</v>
      </c>
      <c r="AG14" s="228">
        <v>61.5</v>
      </c>
      <c r="AH14" s="228">
        <v>77.5</v>
      </c>
      <c r="AI14" s="228">
        <v>-16</v>
      </c>
      <c r="AJ14" s="229">
        <v>8.6E-3</v>
      </c>
      <c r="AK14" s="228">
        <v>107.5</v>
      </c>
      <c r="AL14" s="228">
        <v>108.5</v>
      </c>
      <c r="AM14" s="228">
        <v>-1</v>
      </c>
      <c r="AN14" s="229">
        <v>1.5100000000000001E-2</v>
      </c>
      <c r="AO14" s="231">
        <v>7110.33</v>
      </c>
      <c r="AP14" s="231">
        <v>7139.4</v>
      </c>
      <c r="AQ14" s="228">
        <v>0</v>
      </c>
      <c r="AR14" s="230">
        <v>196250</v>
      </c>
      <c r="AS14" s="230">
        <v>270250</v>
      </c>
      <c r="AT14" s="230">
        <v>-74000</v>
      </c>
      <c r="AU14" s="229">
        <v>-0.27379999999999999</v>
      </c>
      <c r="AV14" s="230">
        <v>180625</v>
      </c>
      <c r="AW14" s="230">
        <v>261625</v>
      </c>
      <c r="AX14" s="230">
        <v>-81000</v>
      </c>
      <c r="AY14" s="229">
        <v>-0.30959999999999999</v>
      </c>
      <c r="AZ14" s="230">
        <v>14125</v>
      </c>
      <c r="BA14" s="230">
        <v>8375</v>
      </c>
      <c r="BB14" s="230">
        <v>5750</v>
      </c>
      <c r="BC14" s="229">
        <v>0.68659999999999999</v>
      </c>
      <c r="BD14" s="230">
        <v>1500</v>
      </c>
      <c r="BE14" s="228">
        <v>250</v>
      </c>
      <c r="BF14" s="230">
        <v>1250</v>
      </c>
      <c r="BG14" s="229">
        <v>5</v>
      </c>
      <c r="BH14" s="230">
        <v>1073375</v>
      </c>
      <c r="BI14" s="230">
        <v>1531250</v>
      </c>
      <c r="BJ14" s="230">
        <v>-457875</v>
      </c>
      <c r="BK14" s="229">
        <v>-0.29899999999999999</v>
      </c>
      <c r="BL14" s="230">
        <v>602625</v>
      </c>
      <c r="BM14" s="230">
        <v>540750</v>
      </c>
      <c r="BN14" s="230">
        <v>61875</v>
      </c>
      <c r="BO14" s="229">
        <v>0.1144</v>
      </c>
      <c r="BP14" s="230">
        <v>1872250</v>
      </c>
      <c r="BQ14" s="230">
        <v>2342250</v>
      </c>
      <c r="BR14" s="230">
        <v>-470000</v>
      </c>
      <c r="BS14" s="229">
        <v>-0.20069999999999999</v>
      </c>
      <c r="BT14" s="230">
        <v>87026</v>
      </c>
      <c r="BU14" s="230">
        <v>228651</v>
      </c>
      <c r="BV14" s="230">
        <v>-141625</v>
      </c>
      <c r="BW14" s="229">
        <v>-0.61939999999999995</v>
      </c>
      <c r="BX14" s="230">
        <v>3019125</v>
      </c>
      <c r="BY14" s="230">
        <v>3020250</v>
      </c>
      <c r="BZ14" s="230">
        <v>-1125</v>
      </c>
      <c r="CA14" s="229">
        <v>-4.0000000000000002E-4</v>
      </c>
      <c r="CB14" s="230">
        <v>2966125</v>
      </c>
      <c r="CC14" s="230">
        <v>2971125</v>
      </c>
      <c r="CD14" s="230">
        <v>-5000</v>
      </c>
      <c r="CE14" s="229">
        <v>-1.6999999999999999E-3</v>
      </c>
      <c r="CF14" s="230">
        <v>51250</v>
      </c>
      <c r="CG14" s="230">
        <v>48875</v>
      </c>
      <c r="CH14" s="230">
        <v>2375</v>
      </c>
      <c r="CI14" s="229">
        <v>4.8599999999999997E-2</v>
      </c>
      <c r="CJ14" s="230">
        <v>1750</v>
      </c>
      <c r="CK14" s="228">
        <v>250</v>
      </c>
      <c r="CL14" s="230">
        <v>1500</v>
      </c>
      <c r="CM14" s="229">
        <v>6</v>
      </c>
      <c r="CN14" s="230">
        <v>929625</v>
      </c>
      <c r="CO14" s="230">
        <v>945250</v>
      </c>
      <c r="CP14" s="230">
        <v>-15625</v>
      </c>
      <c r="CQ14" s="229">
        <v>-1.6500000000000001E-2</v>
      </c>
      <c r="CR14" s="230">
        <v>676625</v>
      </c>
      <c r="CS14" s="230">
        <v>556750</v>
      </c>
      <c r="CT14" s="230">
        <v>119875</v>
      </c>
      <c r="CU14" s="229">
        <v>0.21529999999999999</v>
      </c>
      <c r="CV14" s="230">
        <v>4625375</v>
      </c>
      <c r="CW14" s="230">
        <v>4522250</v>
      </c>
      <c r="CX14" s="230">
        <v>103125</v>
      </c>
      <c r="CY14" s="229">
        <v>2.2800000000000001E-2</v>
      </c>
      <c r="CZ14" s="228">
        <v>15.94</v>
      </c>
      <c r="DA14" s="228">
        <v>16.899999999999999</v>
      </c>
      <c r="DB14" s="228">
        <v>-0.96</v>
      </c>
      <c r="DC14" s="228">
        <v>-0.96</v>
      </c>
      <c r="DD14" s="228">
        <v>24.66</v>
      </c>
      <c r="DE14" s="228">
        <v>24.69</v>
      </c>
      <c r="DF14" s="228">
        <v>-8.7200000000000006</v>
      </c>
      <c r="DG14" s="228">
        <v>-0.03</v>
      </c>
      <c r="DH14" s="228">
        <v>15.56</v>
      </c>
      <c r="DI14" s="228">
        <v>16.850000000000001</v>
      </c>
      <c r="DJ14" s="228">
        <v>-1.29</v>
      </c>
      <c r="DK14" s="228">
        <v>-1.29</v>
      </c>
      <c r="DL14" s="228">
        <v>16.61</v>
      </c>
      <c r="DM14" s="228">
        <v>17.04</v>
      </c>
      <c r="DN14" s="228">
        <v>-0.43</v>
      </c>
      <c r="DO14" s="228">
        <v>-0.43</v>
      </c>
      <c r="DP14" s="228">
        <v>0.73</v>
      </c>
      <c r="DQ14" s="228">
        <v>0.59</v>
      </c>
      <c r="DR14" s="228">
        <v>0.14000000000000001</v>
      </c>
      <c r="DS14" s="229">
        <v>0.23730000000000001</v>
      </c>
      <c r="DT14" s="231">
        <v>7300</v>
      </c>
      <c r="DU14" s="231">
        <v>7000</v>
      </c>
      <c r="DV14" s="228">
        <v>0.56000000000000005</v>
      </c>
      <c r="DW14" s="228">
        <v>0.35</v>
      </c>
      <c r="DX14" s="228">
        <v>0.21</v>
      </c>
      <c r="DY14" s="229">
        <v>0.6</v>
      </c>
      <c r="DZ14" s="229">
        <v>1.7600000000000001E-2</v>
      </c>
      <c r="EA14" s="230">
        <v>49125</v>
      </c>
      <c r="EB14" s="229">
        <v>4.5999999999999999E-3</v>
      </c>
      <c r="EC14" s="229">
        <v>1.7600000000000001E-2</v>
      </c>
      <c r="ED14" s="228">
        <v>29.07</v>
      </c>
      <c r="EE14" s="229">
        <v>4.1000000000000003E-3</v>
      </c>
      <c r="EF14" s="230">
        <v>33488</v>
      </c>
      <c r="EG14" s="230">
        <v>162475</v>
      </c>
      <c r="EH14" s="229">
        <v>-0.79390000000000005</v>
      </c>
      <c r="EI14" s="229">
        <v>0.38479999999999998</v>
      </c>
      <c r="EJ14" s="231">
        <v>78374.66</v>
      </c>
      <c r="EK14" s="231">
        <v>41622.5</v>
      </c>
      <c r="EL14" s="231">
        <v>13959.42</v>
      </c>
      <c r="EM14" s="231">
        <v>10513</v>
      </c>
      <c r="EN14" s="231">
        <v>133956.57999999999</v>
      </c>
      <c r="EO14" s="231">
        <v>168615.59</v>
      </c>
      <c r="EP14" s="231">
        <v>-34659.01</v>
      </c>
      <c r="EQ14" s="229">
        <v>-0.2056</v>
      </c>
      <c r="ER14" s="231">
        <v>68261</v>
      </c>
      <c r="ES14" s="231">
        <v>46967</v>
      </c>
      <c r="ET14" s="231">
        <v>215584</v>
      </c>
      <c r="EU14" s="231">
        <v>15524629</v>
      </c>
      <c r="EV14" s="231">
        <v>330811</v>
      </c>
      <c r="EW14" s="231">
        <v>322308</v>
      </c>
      <c r="EX14" s="231">
        <v>8503</v>
      </c>
      <c r="EY14" s="229">
        <v>2.64E-2</v>
      </c>
      <c r="EZ14" s="229">
        <v>0.2979</v>
      </c>
      <c r="FA14" s="227" t="s">
        <v>556</v>
      </c>
      <c r="FB14" s="161">
        <f t="shared" si="0"/>
        <v>53000</v>
      </c>
    </row>
    <row r="15" spans="1:158" ht="17.25" hidden="1" thickBot="1" x14ac:dyDescent="0.3">
      <c r="A15" s="226">
        <v>46023</v>
      </c>
      <c r="B15" s="227" t="s">
        <v>162</v>
      </c>
      <c r="C15" s="227" t="s">
        <v>167</v>
      </c>
      <c r="D15" s="228">
        <v>5000</v>
      </c>
      <c r="E15" s="228">
        <v>182.04</v>
      </c>
      <c r="F15" s="228">
        <v>177.04</v>
      </c>
      <c r="G15" s="228">
        <v>5</v>
      </c>
      <c r="H15" s="229">
        <v>2.8199999999999999E-2</v>
      </c>
      <c r="I15" s="228">
        <v>184.88</v>
      </c>
      <c r="J15" s="228">
        <v>179.19</v>
      </c>
      <c r="K15" s="228">
        <v>5.69</v>
      </c>
      <c r="L15" s="229">
        <v>3.1800000000000002E-2</v>
      </c>
      <c r="M15" s="228">
        <v>182.04</v>
      </c>
      <c r="N15" s="228">
        <v>177.04</v>
      </c>
      <c r="O15" s="228">
        <v>5</v>
      </c>
      <c r="P15" s="229">
        <v>2.8199999999999999E-2</v>
      </c>
      <c r="Q15" s="228">
        <v>180.22</v>
      </c>
      <c r="R15" s="228">
        <v>175.37</v>
      </c>
      <c r="S15" s="228">
        <v>4.8499999999999996</v>
      </c>
      <c r="T15" s="229">
        <v>2.7699999999999999E-2</v>
      </c>
      <c r="U15" s="228">
        <v>179.31</v>
      </c>
      <c r="V15" s="228">
        <v>175</v>
      </c>
      <c r="W15" s="228">
        <v>4.3099999999999996</v>
      </c>
      <c r="X15" s="229">
        <v>2.46E-2</v>
      </c>
      <c r="Y15" s="228">
        <v>-2.84</v>
      </c>
      <c r="Z15" s="228">
        <v>-2.15</v>
      </c>
      <c r="AA15" s="228">
        <v>-0.69</v>
      </c>
      <c r="AB15" s="229">
        <v>-1.54E-2</v>
      </c>
      <c r="AC15" s="228">
        <v>-2.84</v>
      </c>
      <c r="AD15" s="228">
        <v>-2.15</v>
      </c>
      <c r="AE15" s="228">
        <v>-0.69</v>
      </c>
      <c r="AF15" s="229">
        <v>-1.54E-2</v>
      </c>
      <c r="AG15" s="228">
        <v>-4.66</v>
      </c>
      <c r="AH15" s="228">
        <v>-3.82</v>
      </c>
      <c r="AI15" s="228">
        <v>-0.84</v>
      </c>
      <c r="AJ15" s="229">
        <v>-2.52E-2</v>
      </c>
      <c r="AK15" s="228">
        <v>-5.57</v>
      </c>
      <c r="AL15" s="228">
        <v>-4.1900000000000004</v>
      </c>
      <c r="AM15" s="228">
        <v>-1.38</v>
      </c>
      <c r="AN15" s="229">
        <v>-3.0099999999999998E-2</v>
      </c>
      <c r="AO15" s="228">
        <v>180.95</v>
      </c>
      <c r="AP15" s="228">
        <v>178.42</v>
      </c>
      <c r="AQ15" s="228">
        <v>0</v>
      </c>
      <c r="AR15" s="230">
        <v>40205000</v>
      </c>
      <c r="AS15" s="230">
        <v>21785000</v>
      </c>
      <c r="AT15" s="230">
        <v>18420000</v>
      </c>
      <c r="AU15" s="229">
        <v>0.84550000000000003</v>
      </c>
      <c r="AV15" s="230">
        <v>37825000</v>
      </c>
      <c r="AW15" s="230">
        <v>20555000</v>
      </c>
      <c r="AX15" s="230">
        <v>17270000</v>
      </c>
      <c r="AY15" s="229">
        <v>0.84019999999999995</v>
      </c>
      <c r="AZ15" s="230">
        <v>1990000</v>
      </c>
      <c r="BA15" s="230">
        <v>1210000</v>
      </c>
      <c r="BB15" s="230">
        <v>780000</v>
      </c>
      <c r="BC15" s="229">
        <v>0.64459999999999995</v>
      </c>
      <c r="BD15" s="230">
        <v>390000</v>
      </c>
      <c r="BE15" s="230">
        <v>20000</v>
      </c>
      <c r="BF15" s="230">
        <v>370000</v>
      </c>
      <c r="BG15" s="229">
        <v>18.5</v>
      </c>
      <c r="BH15" s="230">
        <v>261505000</v>
      </c>
      <c r="BI15" s="230">
        <v>67445000</v>
      </c>
      <c r="BJ15" s="230">
        <v>194060000</v>
      </c>
      <c r="BK15" s="229">
        <v>2.8773</v>
      </c>
      <c r="BL15" s="230">
        <v>63065000</v>
      </c>
      <c r="BM15" s="230">
        <v>22385000</v>
      </c>
      <c r="BN15" s="230">
        <v>40680000</v>
      </c>
      <c r="BO15" s="229">
        <v>1.8172999999999999</v>
      </c>
      <c r="BP15" s="230">
        <v>364775000</v>
      </c>
      <c r="BQ15" s="230">
        <v>111615000</v>
      </c>
      <c r="BR15" s="230">
        <v>253160000</v>
      </c>
      <c r="BS15" s="229">
        <v>2.2682000000000002</v>
      </c>
      <c r="BT15" s="230">
        <v>27497943</v>
      </c>
      <c r="BU15" s="230">
        <v>13239821</v>
      </c>
      <c r="BV15" s="230">
        <v>14258122</v>
      </c>
      <c r="BW15" s="229">
        <v>1.0769</v>
      </c>
      <c r="BX15" s="230">
        <v>178195000</v>
      </c>
      <c r="BY15" s="230">
        <v>171690000</v>
      </c>
      <c r="BZ15" s="230">
        <v>6505000</v>
      </c>
      <c r="CA15" s="229">
        <v>3.7900000000000003E-2</v>
      </c>
      <c r="CB15" s="230">
        <v>175040000</v>
      </c>
      <c r="CC15" s="230">
        <v>169235000</v>
      </c>
      <c r="CD15" s="230">
        <v>5805000</v>
      </c>
      <c r="CE15" s="229">
        <v>3.4299999999999997E-2</v>
      </c>
      <c r="CF15" s="230">
        <v>2930000</v>
      </c>
      <c r="CG15" s="230">
        <v>2435000</v>
      </c>
      <c r="CH15" s="230">
        <v>495000</v>
      </c>
      <c r="CI15" s="229">
        <v>0.20330000000000001</v>
      </c>
      <c r="CJ15" s="230">
        <v>225000</v>
      </c>
      <c r="CK15" s="230">
        <v>20000</v>
      </c>
      <c r="CL15" s="230">
        <v>205000</v>
      </c>
      <c r="CM15" s="229">
        <v>10.25</v>
      </c>
      <c r="CN15" s="230">
        <v>57360000</v>
      </c>
      <c r="CO15" s="230">
        <v>37920000</v>
      </c>
      <c r="CP15" s="230">
        <v>19440000</v>
      </c>
      <c r="CQ15" s="229">
        <v>0.51270000000000004</v>
      </c>
      <c r="CR15" s="230">
        <v>33790000</v>
      </c>
      <c r="CS15" s="230">
        <v>22935000</v>
      </c>
      <c r="CT15" s="230">
        <v>10855000</v>
      </c>
      <c r="CU15" s="229">
        <v>0.4733</v>
      </c>
      <c r="CV15" s="230">
        <v>269345000</v>
      </c>
      <c r="CW15" s="230">
        <v>232545000</v>
      </c>
      <c r="CX15" s="230">
        <v>36800000</v>
      </c>
      <c r="CY15" s="229">
        <v>0.15820000000000001</v>
      </c>
      <c r="CZ15" s="228">
        <v>26.41</v>
      </c>
      <c r="DA15" s="228">
        <v>26.45</v>
      </c>
      <c r="DB15" s="228">
        <v>-0.04</v>
      </c>
      <c r="DC15" s="228">
        <v>-0.04</v>
      </c>
      <c r="DD15" s="228">
        <v>35.06</v>
      </c>
      <c r="DE15" s="228">
        <v>34.9</v>
      </c>
      <c r="DF15" s="228">
        <v>-8.65</v>
      </c>
      <c r="DG15" s="228">
        <v>0.16</v>
      </c>
      <c r="DH15" s="228">
        <v>26.36</v>
      </c>
      <c r="DI15" s="228">
        <v>26.28</v>
      </c>
      <c r="DJ15" s="228">
        <v>0.08</v>
      </c>
      <c r="DK15" s="228">
        <v>0.08</v>
      </c>
      <c r="DL15" s="228">
        <v>26.62</v>
      </c>
      <c r="DM15" s="228">
        <v>26.95</v>
      </c>
      <c r="DN15" s="228">
        <v>-0.33</v>
      </c>
      <c r="DO15" s="228">
        <v>-0.33</v>
      </c>
      <c r="DP15" s="228">
        <v>0.59</v>
      </c>
      <c r="DQ15" s="228">
        <v>0.6</v>
      </c>
      <c r="DR15" s="228">
        <v>-0.01</v>
      </c>
      <c r="DS15" s="229">
        <v>-1.67E-2</v>
      </c>
      <c r="DT15" s="228">
        <v>190</v>
      </c>
      <c r="DU15" s="228">
        <v>180</v>
      </c>
      <c r="DV15" s="228">
        <v>0.24</v>
      </c>
      <c r="DW15" s="228">
        <v>0.33</v>
      </c>
      <c r="DX15" s="228">
        <v>-0.09</v>
      </c>
      <c r="DY15" s="229">
        <v>-0.2727</v>
      </c>
      <c r="DZ15" s="229">
        <v>1.77E-2</v>
      </c>
      <c r="EA15" s="230">
        <v>2455000</v>
      </c>
      <c r="EB15" s="229">
        <v>-0.01</v>
      </c>
      <c r="EC15" s="229">
        <v>1.77E-2</v>
      </c>
      <c r="ED15" s="228">
        <v>-2.5299999999999998</v>
      </c>
      <c r="EE15" s="229">
        <v>-1.4E-2</v>
      </c>
      <c r="EF15" s="230">
        <v>8830473</v>
      </c>
      <c r="EG15" s="230">
        <v>5251614</v>
      </c>
      <c r="EH15" s="229">
        <v>0.68149999999999999</v>
      </c>
      <c r="EI15" s="229">
        <v>0.3211</v>
      </c>
      <c r="EJ15" s="231">
        <v>495856.31</v>
      </c>
      <c r="EK15" s="231">
        <v>112344.75</v>
      </c>
      <c r="EL15" s="231">
        <v>72685.52</v>
      </c>
      <c r="EM15" s="231">
        <v>16300</v>
      </c>
      <c r="EN15" s="231">
        <v>680886.58</v>
      </c>
      <c r="EO15" s="231">
        <v>202160.81</v>
      </c>
      <c r="EP15" s="231">
        <v>478725.77</v>
      </c>
      <c r="EQ15" s="229">
        <v>2.3679999999999999</v>
      </c>
      <c r="ER15" s="231">
        <v>106735</v>
      </c>
      <c r="ES15" s="231">
        <v>57588</v>
      </c>
      <c r="ET15" s="231">
        <v>324327</v>
      </c>
      <c r="EU15" s="231">
        <v>423719104</v>
      </c>
      <c r="EV15" s="231">
        <v>488650</v>
      </c>
      <c r="EW15" s="231">
        <v>410771</v>
      </c>
      <c r="EX15" s="231">
        <v>77879</v>
      </c>
      <c r="EY15" s="229">
        <v>0.18959999999999999</v>
      </c>
      <c r="EZ15" s="229">
        <v>0.63570000000000004</v>
      </c>
      <c r="FA15" s="227" t="s">
        <v>555</v>
      </c>
      <c r="FB15" s="161">
        <f t="shared" si="0"/>
        <v>3155000</v>
      </c>
    </row>
    <row r="16" spans="1:158" ht="17.25" hidden="1" thickBot="1" x14ac:dyDescent="0.3">
      <c r="A16" s="226">
        <v>46023</v>
      </c>
      <c r="B16" s="227" t="s">
        <v>168</v>
      </c>
      <c r="C16" s="227" t="s">
        <v>169</v>
      </c>
      <c r="D16" s="228">
        <v>250</v>
      </c>
      <c r="E16" s="231">
        <v>2766.6</v>
      </c>
      <c r="F16" s="231">
        <v>2781.9</v>
      </c>
      <c r="G16" s="228">
        <v>-15.3</v>
      </c>
      <c r="H16" s="229">
        <v>-5.4999999999999997E-3</v>
      </c>
      <c r="I16" s="231">
        <v>2752</v>
      </c>
      <c r="J16" s="231">
        <v>2769.5</v>
      </c>
      <c r="K16" s="228">
        <v>-17.5</v>
      </c>
      <c r="L16" s="229">
        <v>-6.3E-3</v>
      </c>
      <c r="M16" s="231">
        <v>2766.6</v>
      </c>
      <c r="N16" s="231">
        <v>2781.9</v>
      </c>
      <c r="O16" s="228">
        <v>-15.3</v>
      </c>
      <c r="P16" s="229">
        <v>-5.4999999999999997E-3</v>
      </c>
      <c r="Q16" s="231">
        <v>2780</v>
      </c>
      <c r="R16" s="231">
        <v>2794</v>
      </c>
      <c r="S16" s="228">
        <v>-14</v>
      </c>
      <c r="T16" s="229">
        <v>-5.0000000000000001E-3</v>
      </c>
      <c r="U16" s="231">
        <v>2792.6</v>
      </c>
      <c r="V16" s="231">
        <v>2807.8</v>
      </c>
      <c r="W16" s="228">
        <v>-15.2</v>
      </c>
      <c r="X16" s="229">
        <v>-5.4000000000000003E-3</v>
      </c>
      <c r="Y16" s="228">
        <v>14.6</v>
      </c>
      <c r="Z16" s="228">
        <v>12.4</v>
      </c>
      <c r="AA16" s="228">
        <v>2.2000000000000002</v>
      </c>
      <c r="AB16" s="229">
        <v>5.3E-3</v>
      </c>
      <c r="AC16" s="228">
        <v>14.6</v>
      </c>
      <c r="AD16" s="228">
        <v>12.4</v>
      </c>
      <c r="AE16" s="228">
        <v>2.2000000000000002</v>
      </c>
      <c r="AF16" s="229">
        <v>5.3E-3</v>
      </c>
      <c r="AG16" s="228">
        <v>28</v>
      </c>
      <c r="AH16" s="228">
        <v>24.5</v>
      </c>
      <c r="AI16" s="228">
        <v>3.5</v>
      </c>
      <c r="AJ16" s="229">
        <v>1.0200000000000001E-2</v>
      </c>
      <c r="AK16" s="228">
        <v>40.6</v>
      </c>
      <c r="AL16" s="228">
        <v>38.299999999999997</v>
      </c>
      <c r="AM16" s="228">
        <v>2.2999999999999998</v>
      </c>
      <c r="AN16" s="229">
        <v>1.4800000000000001E-2</v>
      </c>
      <c r="AO16" s="231">
        <v>2776.11</v>
      </c>
      <c r="AP16" s="231">
        <v>2792.82</v>
      </c>
      <c r="AQ16" s="228">
        <v>0</v>
      </c>
      <c r="AR16" s="230">
        <v>348750</v>
      </c>
      <c r="AS16" s="230">
        <v>1189500</v>
      </c>
      <c r="AT16" s="230">
        <v>-840750</v>
      </c>
      <c r="AU16" s="229">
        <v>-0.70679999999999998</v>
      </c>
      <c r="AV16" s="230">
        <v>324000</v>
      </c>
      <c r="AW16" s="230">
        <v>1147250</v>
      </c>
      <c r="AX16" s="230">
        <v>-823250</v>
      </c>
      <c r="AY16" s="229">
        <v>-0.71760000000000002</v>
      </c>
      <c r="AZ16" s="230">
        <v>18250</v>
      </c>
      <c r="BA16" s="230">
        <v>42000</v>
      </c>
      <c r="BB16" s="230">
        <v>-23750</v>
      </c>
      <c r="BC16" s="229">
        <v>-0.5655</v>
      </c>
      <c r="BD16" s="230">
        <v>6500</v>
      </c>
      <c r="BE16" s="228">
        <v>250</v>
      </c>
      <c r="BF16" s="230">
        <v>6250</v>
      </c>
      <c r="BG16" s="229">
        <v>25</v>
      </c>
      <c r="BH16" s="230">
        <v>2409750</v>
      </c>
      <c r="BI16" s="230">
        <v>4373250</v>
      </c>
      <c r="BJ16" s="230">
        <v>-1963500</v>
      </c>
      <c r="BK16" s="229">
        <v>-0.44900000000000001</v>
      </c>
      <c r="BL16" s="230">
        <v>1502250</v>
      </c>
      <c r="BM16" s="230">
        <v>2669250</v>
      </c>
      <c r="BN16" s="230">
        <v>-1167000</v>
      </c>
      <c r="BO16" s="229">
        <v>-0.43719999999999998</v>
      </c>
      <c r="BP16" s="230">
        <v>4260750</v>
      </c>
      <c r="BQ16" s="230">
        <v>8232000</v>
      </c>
      <c r="BR16" s="230">
        <v>-3971250</v>
      </c>
      <c r="BS16" s="229">
        <v>-0.4824</v>
      </c>
      <c r="BT16" s="230">
        <v>379168</v>
      </c>
      <c r="BU16" s="230">
        <v>1346196</v>
      </c>
      <c r="BV16" s="230">
        <v>-967028</v>
      </c>
      <c r="BW16" s="229">
        <v>-0.71830000000000005</v>
      </c>
      <c r="BX16" s="230">
        <v>13311000</v>
      </c>
      <c r="BY16" s="230">
        <v>13317000</v>
      </c>
      <c r="BZ16" s="230">
        <v>-6000</v>
      </c>
      <c r="CA16" s="229">
        <v>-5.0000000000000001E-4</v>
      </c>
      <c r="CB16" s="230">
        <v>13050500</v>
      </c>
      <c r="CC16" s="230">
        <v>13067500</v>
      </c>
      <c r="CD16" s="230">
        <v>-17000</v>
      </c>
      <c r="CE16" s="229">
        <v>-1.2999999999999999E-3</v>
      </c>
      <c r="CF16" s="230">
        <v>254500</v>
      </c>
      <c r="CG16" s="230">
        <v>249250</v>
      </c>
      <c r="CH16" s="230">
        <v>5250</v>
      </c>
      <c r="CI16" s="229">
        <v>2.1100000000000001E-2</v>
      </c>
      <c r="CJ16" s="230">
        <v>6000</v>
      </c>
      <c r="CK16" s="228">
        <v>250</v>
      </c>
      <c r="CL16" s="230">
        <v>5750</v>
      </c>
      <c r="CM16" s="229">
        <v>23</v>
      </c>
      <c r="CN16" s="230">
        <v>3309750</v>
      </c>
      <c r="CO16" s="230">
        <v>2925500</v>
      </c>
      <c r="CP16" s="230">
        <v>384250</v>
      </c>
      <c r="CQ16" s="229">
        <v>0.1313</v>
      </c>
      <c r="CR16" s="230">
        <v>2353250</v>
      </c>
      <c r="CS16" s="230">
        <v>2021000</v>
      </c>
      <c r="CT16" s="230">
        <v>332250</v>
      </c>
      <c r="CU16" s="229">
        <v>0.16439999999999999</v>
      </c>
      <c r="CV16" s="230">
        <v>18974000</v>
      </c>
      <c r="CW16" s="230">
        <v>18263500</v>
      </c>
      <c r="CX16" s="230">
        <v>710500</v>
      </c>
      <c r="CY16" s="229">
        <v>3.8899999999999997E-2</v>
      </c>
      <c r="CZ16" s="228">
        <v>18.87</v>
      </c>
      <c r="DA16" s="228">
        <v>18.77</v>
      </c>
      <c r="DB16" s="228">
        <v>0.1</v>
      </c>
      <c r="DC16" s="228">
        <v>0.1</v>
      </c>
      <c r="DD16" s="228">
        <v>24.85</v>
      </c>
      <c r="DE16" s="228">
        <v>24.89</v>
      </c>
      <c r="DF16" s="228">
        <v>-5.98</v>
      </c>
      <c r="DG16" s="228">
        <v>-0.04</v>
      </c>
      <c r="DH16" s="228">
        <v>18.600000000000001</v>
      </c>
      <c r="DI16" s="228">
        <v>18.36</v>
      </c>
      <c r="DJ16" s="228">
        <v>0.24</v>
      </c>
      <c r="DK16" s="228">
        <v>0.24</v>
      </c>
      <c r="DL16" s="228">
        <v>19.309999999999999</v>
      </c>
      <c r="DM16" s="228">
        <v>19.43</v>
      </c>
      <c r="DN16" s="228">
        <v>-0.12</v>
      </c>
      <c r="DO16" s="228">
        <v>-0.12</v>
      </c>
      <c r="DP16" s="228">
        <v>0.71</v>
      </c>
      <c r="DQ16" s="228">
        <v>0.69</v>
      </c>
      <c r="DR16" s="228">
        <v>0.02</v>
      </c>
      <c r="DS16" s="229">
        <v>2.9000000000000001E-2</v>
      </c>
      <c r="DT16" s="231">
        <v>2860</v>
      </c>
      <c r="DU16" s="231">
        <v>2520</v>
      </c>
      <c r="DV16" s="228">
        <v>0.62</v>
      </c>
      <c r="DW16" s="228">
        <v>0.61</v>
      </c>
      <c r="DX16" s="228">
        <v>0.01</v>
      </c>
      <c r="DY16" s="229">
        <v>1.6400000000000001E-2</v>
      </c>
      <c r="DZ16" s="229">
        <v>1.9599999999999999E-2</v>
      </c>
      <c r="EA16" s="230">
        <v>249500</v>
      </c>
      <c r="EB16" s="229">
        <v>4.7999999999999996E-3</v>
      </c>
      <c r="EC16" s="229">
        <v>1.9599999999999999E-2</v>
      </c>
      <c r="ED16" s="228">
        <v>16.71</v>
      </c>
      <c r="EE16" s="229">
        <v>6.0000000000000001E-3</v>
      </c>
      <c r="EF16" s="230">
        <v>223032</v>
      </c>
      <c r="EG16" s="230">
        <v>928778</v>
      </c>
      <c r="EH16" s="229">
        <v>-0.75990000000000002</v>
      </c>
      <c r="EI16" s="229">
        <v>0.58819999999999995</v>
      </c>
      <c r="EJ16" s="231">
        <v>70194.720000000001</v>
      </c>
      <c r="EK16" s="231">
        <v>40458.46</v>
      </c>
      <c r="EL16" s="231">
        <v>9687.2000000000007</v>
      </c>
      <c r="EM16" s="231">
        <v>23851</v>
      </c>
      <c r="EN16" s="231">
        <v>120340.38</v>
      </c>
      <c r="EO16" s="231">
        <v>232689.08</v>
      </c>
      <c r="EP16" s="231">
        <v>-112348.7</v>
      </c>
      <c r="EQ16" s="229">
        <v>-0.48280000000000001</v>
      </c>
      <c r="ER16" s="231">
        <v>96541</v>
      </c>
      <c r="ES16" s="231">
        <v>62659</v>
      </c>
      <c r="ET16" s="231">
        <v>368298</v>
      </c>
      <c r="EU16" s="231">
        <v>49389162</v>
      </c>
      <c r="EV16" s="231">
        <v>527497</v>
      </c>
      <c r="EW16" s="231">
        <v>509808</v>
      </c>
      <c r="EX16" s="231">
        <v>17689</v>
      </c>
      <c r="EY16" s="229">
        <v>3.4700000000000002E-2</v>
      </c>
      <c r="EZ16" s="229">
        <v>0.38419999999999999</v>
      </c>
      <c r="FA16" s="227" t="s">
        <v>568</v>
      </c>
      <c r="FB16" s="161">
        <f t="shared" si="0"/>
        <v>260500</v>
      </c>
    </row>
    <row r="17" spans="1:158" ht="17.25" hidden="1" thickBot="1" x14ac:dyDescent="0.3">
      <c r="A17" s="226">
        <v>46023</v>
      </c>
      <c r="B17" s="227" t="s">
        <v>184</v>
      </c>
      <c r="C17" s="227" t="s">
        <v>503</v>
      </c>
      <c r="D17" s="228">
        <v>425</v>
      </c>
      <c r="E17" s="231">
        <v>1442.7</v>
      </c>
      <c r="F17" s="231">
        <v>1389.5</v>
      </c>
      <c r="G17" s="228">
        <v>53.2</v>
      </c>
      <c r="H17" s="229">
        <v>3.8300000000000001E-2</v>
      </c>
      <c r="I17" s="231">
        <v>1434.9</v>
      </c>
      <c r="J17" s="231">
        <v>1388.5</v>
      </c>
      <c r="K17" s="228">
        <v>46.4</v>
      </c>
      <c r="L17" s="229">
        <v>3.3399999999999999E-2</v>
      </c>
      <c r="M17" s="231">
        <v>1442.7</v>
      </c>
      <c r="N17" s="231">
        <v>1389.5</v>
      </c>
      <c r="O17" s="228">
        <v>53.2</v>
      </c>
      <c r="P17" s="229">
        <v>3.8300000000000001E-2</v>
      </c>
      <c r="Q17" s="231">
        <v>1438.9</v>
      </c>
      <c r="R17" s="231">
        <v>1388.5</v>
      </c>
      <c r="S17" s="228">
        <v>50.4</v>
      </c>
      <c r="T17" s="229">
        <v>3.6299999999999999E-2</v>
      </c>
      <c r="U17" s="231">
        <v>1434.2</v>
      </c>
      <c r="V17" s="231">
        <v>1396.3</v>
      </c>
      <c r="W17" s="228">
        <v>37.9</v>
      </c>
      <c r="X17" s="229">
        <v>2.7099999999999999E-2</v>
      </c>
      <c r="Y17" s="228">
        <v>7.8</v>
      </c>
      <c r="Z17" s="228">
        <v>1</v>
      </c>
      <c r="AA17" s="228">
        <v>6.8</v>
      </c>
      <c r="AB17" s="229">
        <v>5.4000000000000003E-3</v>
      </c>
      <c r="AC17" s="228">
        <v>7.8</v>
      </c>
      <c r="AD17" s="228">
        <v>1</v>
      </c>
      <c r="AE17" s="228">
        <v>6.8</v>
      </c>
      <c r="AF17" s="229">
        <v>5.4000000000000003E-3</v>
      </c>
      <c r="AG17" s="228">
        <v>4</v>
      </c>
      <c r="AH17" s="228">
        <v>0</v>
      </c>
      <c r="AI17" s="228">
        <v>4</v>
      </c>
      <c r="AJ17" s="229">
        <v>2.8E-3</v>
      </c>
      <c r="AK17" s="228">
        <v>-0.7</v>
      </c>
      <c r="AL17" s="228">
        <v>7.8</v>
      </c>
      <c r="AM17" s="228">
        <v>-8.5</v>
      </c>
      <c r="AN17" s="229">
        <v>-5.0000000000000001E-4</v>
      </c>
      <c r="AO17" s="231">
        <v>1423.23</v>
      </c>
      <c r="AP17" s="231">
        <v>1418.09</v>
      </c>
      <c r="AQ17" s="228">
        <v>0</v>
      </c>
      <c r="AR17" s="230">
        <v>2130525</v>
      </c>
      <c r="AS17" s="230">
        <v>1609050</v>
      </c>
      <c r="AT17" s="230">
        <v>521475</v>
      </c>
      <c r="AU17" s="229">
        <v>0.3241</v>
      </c>
      <c r="AV17" s="230">
        <v>1962225</v>
      </c>
      <c r="AW17" s="230">
        <v>1449675</v>
      </c>
      <c r="AX17" s="230">
        <v>512550</v>
      </c>
      <c r="AY17" s="229">
        <v>0.35360000000000003</v>
      </c>
      <c r="AZ17" s="230">
        <v>160225</v>
      </c>
      <c r="BA17" s="230">
        <v>156400</v>
      </c>
      <c r="BB17" s="230">
        <v>3825</v>
      </c>
      <c r="BC17" s="229">
        <v>2.4500000000000001E-2</v>
      </c>
      <c r="BD17" s="230">
        <v>8075</v>
      </c>
      <c r="BE17" s="230">
        <v>2975</v>
      </c>
      <c r="BF17" s="230">
        <v>5100</v>
      </c>
      <c r="BG17" s="229">
        <v>1.7142999999999999</v>
      </c>
      <c r="BH17" s="230">
        <v>5607450</v>
      </c>
      <c r="BI17" s="230">
        <v>2936325</v>
      </c>
      <c r="BJ17" s="230">
        <v>2671125</v>
      </c>
      <c r="BK17" s="229">
        <v>0.90969999999999995</v>
      </c>
      <c r="BL17" s="230">
        <v>2307750</v>
      </c>
      <c r="BM17" s="230">
        <v>1234200</v>
      </c>
      <c r="BN17" s="230">
        <v>1073550</v>
      </c>
      <c r="BO17" s="229">
        <v>0.86980000000000002</v>
      </c>
      <c r="BP17" s="230">
        <v>10045725</v>
      </c>
      <c r="BQ17" s="230">
        <v>5779575</v>
      </c>
      <c r="BR17" s="230">
        <v>4266150</v>
      </c>
      <c r="BS17" s="229">
        <v>0.73809999999999998</v>
      </c>
      <c r="BT17" s="230">
        <v>633565</v>
      </c>
      <c r="BU17" s="230">
        <v>333335</v>
      </c>
      <c r="BV17" s="230">
        <v>300230</v>
      </c>
      <c r="BW17" s="229">
        <v>0.90069999999999995</v>
      </c>
      <c r="BX17" s="230">
        <v>7577750</v>
      </c>
      <c r="BY17" s="230">
        <v>7587950</v>
      </c>
      <c r="BZ17" s="230">
        <v>-10200</v>
      </c>
      <c r="CA17" s="229">
        <v>-1.2999999999999999E-3</v>
      </c>
      <c r="CB17" s="230">
        <v>7185475</v>
      </c>
      <c r="CC17" s="230">
        <v>7213100</v>
      </c>
      <c r="CD17" s="230">
        <v>-27625</v>
      </c>
      <c r="CE17" s="229">
        <v>-3.8E-3</v>
      </c>
      <c r="CF17" s="230">
        <v>387175</v>
      </c>
      <c r="CG17" s="230">
        <v>372300</v>
      </c>
      <c r="CH17" s="230">
        <v>14875</v>
      </c>
      <c r="CI17" s="229">
        <v>0.04</v>
      </c>
      <c r="CJ17" s="230">
        <v>5100</v>
      </c>
      <c r="CK17" s="230">
        <v>2550</v>
      </c>
      <c r="CL17" s="230">
        <v>2550</v>
      </c>
      <c r="CM17" s="229">
        <v>1</v>
      </c>
      <c r="CN17" s="230">
        <v>2184500</v>
      </c>
      <c r="CO17" s="230">
        <v>1975400</v>
      </c>
      <c r="CP17" s="230">
        <v>209100</v>
      </c>
      <c r="CQ17" s="229">
        <v>0.10589999999999999</v>
      </c>
      <c r="CR17" s="230">
        <v>1515125</v>
      </c>
      <c r="CS17" s="230">
        <v>1597575</v>
      </c>
      <c r="CT17" s="230">
        <v>-82450</v>
      </c>
      <c r="CU17" s="229">
        <v>-5.16E-2</v>
      </c>
      <c r="CV17" s="230">
        <v>11277375</v>
      </c>
      <c r="CW17" s="230">
        <v>11160925</v>
      </c>
      <c r="CX17" s="230">
        <v>116450</v>
      </c>
      <c r="CY17" s="229">
        <v>1.04E-2</v>
      </c>
      <c r="CZ17" s="228">
        <v>23.84</v>
      </c>
      <c r="DA17" s="228">
        <v>23.85</v>
      </c>
      <c r="DB17" s="228">
        <v>-0.01</v>
      </c>
      <c r="DC17" s="228">
        <v>-0.01</v>
      </c>
      <c r="DD17" s="228">
        <v>33.61</v>
      </c>
      <c r="DE17" s="228">
        <v>33.31</v>
      </c>
      <c r="DF17" s="228">
        <v>-9.77</v>
      </c>
      <c r="DG17" s="228">
        <v>0.3</v>
      </c>
      <c r="DH17" s="228">
        <v>23.51</v>
      </c>
      <c r="DI17" s="228">
        <v>23.61</v>
      </c>
      <c r="DJ17" s="228">
        <v>-0.1</v>
      </c>
      <c r="DK17" s="228">
        <v>-0.1</v>
      </c>
      <c r="DL17" s="228">
        <v>24.64</v>
      </c>
      <c r="DM17" s="228">
        <v>24.42</v>
      </c>
      <c r="DN17" s="228">
        <v>0.22</v>
      </c>
      <c r="DO17" s="228">
        <v>0.22</v>
      </c>
      <c r="DP17" s="228">
        <v>0.69</v>
      </c>
      <c r="DQ17" s="228">
        <v>0.81</v>
      </c>
      <c r="DR17" s="228">
        <v>-0.12</v>
      </c>
      <c r="DS17" s="229">
        <v>-0.14810000000000001</v>
      </c>
      <c r="DT17" s="231">
        <v>1400</v>
      </c>
      <c r="DU17" s="231">
        <v>1400</v>
      </c>
      <c r="DV17" s="228">
        <v>0.41</v>
      </c>
      <c r="DW17" s="228">
        <v>0.42</v>
      </c>
      <c r="DX17" s="228">
        <v>-0.01</v>
      </c>
      <c r="DY17" s="229">
        <v>-2.3800000000000002E-2</v>
      </c>
      <c r="DZ17" s="229">
        <v>5.1799999999999999E-2</v>
      </c>
      <c r="EA17" s="230">
        <v>374850</v>
      </c>
      <c r="EB17" s="229">
        <v>-2.5999999999999999E-3</v>
      </c>
      <c r="EC17" s="229">
        <v>5.1799999999999999E-2</v>
      </c>
      <c r="ED17" s="228">
        <v>-5.14</v>
      </c>
      <c r="EE17" s="229">
        <v>-3.5999999999999999E-3</v>
      </c>
      <c r="EF17" s="230">
        <v>245074</v>
      </c>
      <c r="EG17" s="230">
        <v>192355</v>
      </c>
      <c r="EH17" s="229">
        <v>0.27410000000000001</v>
      </c>
      <c r="EI17" s="229">
        <v>0.38679999999999998</v>
      </c>
      <c r="EJ17" s="231">
        <v>82900.600000000006</v>
      </c>
      <c r="EK17" s="231">
        <v>32134.799999999999</v>
      </c>
      <c r="EL17" s="231">
        <v>30314.13</v>
      </c>
      <c r="EM17" s="231">
        <v>10354</v>
      </c>
      <c r="EN17" s="231">
        <v>145349.53</v>
      </c>
      <c r="EO17" s="231">
        <v>81382.320000000007</v>
      </c>
      <c r="EP17" s="231">
        <v>63967.21</v>
      </c>
      <c r="EQ17" s="229">
        <v>0.78600000000000003</v>
      </c>
      <c r="ER17" s="231">
        <v>31925</v>
      </c>
      <c r="ES17" s="231">
        <v>20687</v>
      </c>
      <c r="ET17" s="231">
        <v>109309</v>
      </c>
      <c r="EU17" s="231">
        <v>18450534</v>
      </c>
      <c r="EV17" s="231">
        <v>161921</v>
      </c>
      <c r="EW17" s="231">
        <v>155685</v>
      </c>
      <c r="EX17" s="231">
        <v>6236</v>
      </c>
      <c r="EY17" s="229">
        <v>4.0099999999999997E-2</v>
      </c>
      <c r="EZ17" s="229">
        <v>0.61119999999999997</v>
      </c>
      <c r="FA17" s="227" t="s">
        <v>556</v>
      </c>
      <c r="FB17" s="161">
        <f t="shared" si="0"/>
        <v>392275</v>
      </c>
    </row>
    <row r="18" spans="1:158" ht="17.25" hidden="1" thickBot="1" x14ac:dyDescent="0.3">
      <c r="A18" s="226">
        <v>46023</v>
      </c>
      <c r="B18" s="227" t="s">
        <v>172</v>
      </c>
      <c r="C18" s="227" t="s">
        <v>495</v>
      </c>
      <c r="D18" s="228">
        <v>1000</v>
      </c>
      <c r="E18" s="231">
        <v>1002.85</v>
      </c>
      <c r="F18" s="231">
        <v>1000.15</v>
      </c>
      <c r="G18" s="228">
        <v>2.7</v>
      </c>
      <c r="H18" s="229">
        <v>2.7000000000000001E-3</v>
      </c>
      <c r="I18" s="228">
        <v>999.45</v>
      </c>
      <c r="J18" s="228">
        <v>994.5</v>
      </c>
      <c r="K18" s="228">
        <v>4.95</v>
      </c>
      <c r="L18" s="229">
        <v>5.0000000000000001E-3</v>
      </c>
      <c r="M18" s="231">
        <v>1002.85</v>
      </c>
      <c r="N18" s="231">
        <v>1000.15</v>
      </c>
      <c r="O18" s="228">
        <v>2.7</v>
      </c>
      <c r="P18" s="229">
        <v>2.7000000000000001E-3</v>
      </c>
      <c r="Q18" s="231">
        <v>1006.4</v>
      </c>
      <c r="R18" s="231">
        <v>1003.2</v>
      </c>
      <c r="S18" s="228">
        <v>3.2</v>
      </c>
      <c r="T18" s="229">
        <v>3.2000000000000002E-3</v>
      </c>
      <c r="U18" s="231">
        <v>1004</v>
      </c>
      <c r="V18" s="231">
        <v>1005.7</v>
      </c>
      <c r="W18" s="228">
        <v>-1.7</v>
      </c>
      <c r="X18" s="229">
        <v>-1.6999999999999999E-3</v>
      </c>
      <c r="Y18" s="228">
        <v>3.4</v>
      </c>
      <c r="Z18" s="228">
        <v>5.65</v>
      </c>
      <c r="AA18" s="228">
        <v>-2.25</v>
      </c>
      <c r="AB18" s="229">
        <v>3.3999999999999998E-3</v>
      </c>
      <c r="AC18" s="228">
        <v>3.4</v>
      </c>
      <c r="AD18" s="228">
        <v>5.65</v>
      </c>
      <c r="AE18" s="228">
        <v>-2.25</v>
      </c>
      <c r="AF18" s="229">
        <v>3.3999999999999998E-3</v>
      </c>
      <c r="AG18" s="228">
        <v>6.95</v>
      </c>
      <c r="AH18" s="228">
        <v>8.6999999999999993</v>
      </c>
      <c r="AI18" s="228">
        <v>-1.75</v>
      </c>
      <c r="AJ18" s="229">
        <v>7.0000000000000001E-3</v>
      </c>
      <c r="AK18" s="228">
        <v>4.55</v>
      </c>
      <c r="AL18" s="228">
        <v>11.2</v>
      </c>
      <c r="AM18" s="228">
        <v>-6.65</v>
      </c>
      <c r="AN18" s="229">
        <v>4.5999999999999999E-3</v>
      </c>
      <c r="AO18" s="231">
        <v>1000.86</v>
      </c>
      <c r="AP18" s="231">
        <v>1002.87</v>
      </c>
      <c r="AQ18" s="228">
        <v>0</v>
      </c>
      <c r="AR18" s="230">
        <v>1823000</v>
      </c>
      <c r="AS18" s="230">
        <v>3486000</v>
      </c>
      <c r="AT18" s="230">
        <v>-1663000</v>
      </c>
      <c r="AU18" s="229">
        <v>-0.47710000000000002</v>
      </c>
      <c r="AV18" s="230">
        <v>1774000</v>
      </c>
      <c r="AW18" s="230">
        <v>3314000</v>
      </c>
      <c r="AX18" s="230">
        <v>-1540000</v>
      </c>
      <c r="AY18" s="229">
        <v>-0.4647</v>
      </c>
      <c r="AZ18" s="230">
        <v>46000</v>
      </c>
      <c r="BA18" s="230">
        <v>165000</v>
      </c>
      <c r="BB18" s="230">
        <v>-119000</v>
      </c>
      <c r="BC18" s="229">
        <v>-0.72119999999999995</v>
      </c>
      <c r="BD18" s="230">
        <v>3000</v>
      </c>
      <c r="BE18" s="230">
        <v>7000</v>
      </c>
      <c r="BF18" s="230">
        <v>-4000</v>
      </c>
      <c r="BG18" s="229">
        <v>-0.57140000000000002</v>
      </c>
      <c r="BH18" s="230">
        <v>2720000</v>
      </c>
      <c r="BI18" s="230">
        <v>5668000</v>
      </c>
      <c r="BJ18" s="230">
        <v>-2948000</v>
      </c>
      <c r="BK18" s="229">
        <v>-0.52010000000000001</v>
      </c>
      <c r="BL18" s="230">
        <v>1294000</v>
      </c>
      <c r="BM18" s="230">
        <v>3123000</v>
      </c>
      <c r="BN18" s="230">
        <v>-1829000</v>
      </c>
      <c r="BO18" s="229">
        <v>-0.5857</v>
      </c>
      <c r="BP18" s="230">
        <v>5837000</v>
      </c>
      <c r="BQ18" s="230">
        <v>12277000</v>
      </c>
      <c r="BR18" s="230">
        <v>-6440000</v>
      </c>
      <c r="BS18" s="229">
        <v>-0.52459999999999996</v>
      </c>
      <c r="BT18" s="230">
        <v>698646</v>
      </c>
      <c r="BU18" s="230">
        <v>1545830</v>
      </c>
      <c r="BV18" s="230">
        <v>-847184</v>
      </c>
      <c r="BW18" s="229">
        <v>-0.54800000000000004</v>
      </c>
      <c r="BX18" s="230">
        <v>20445000</v>
      </c>
      <c r="BY18" s="230">
        <v>20482000</v>
      </c>
      <c r="BZ18" s="230">
        <v>-37000</v>
      </c>
      <c r="CA18" s="229">
        <v>-1.8E-3</v>
      </c>
      <c r="CB18" s="230">
        <v>20041000</v>
      </c>
      <c r="CC18" s="230">
        <v>20091000</v>
      </c>
      <c r="CD18" s="230">
        <v>-50000</v>
      </c>
      <c r="CE18" s="229">
        <v>-2.5000000000000001E-3</v>
      </c>
      <c r="CF18" s="230">
        <v>396000</v>
      </c>
      <c r="CG18" s="230">
        <v>386000</v>
      </c>
      <c r="CH18" s="230">
        <v>10000</v>
      </c>
      <c r="CI18" s="229">
        <v>2.5899999999999999E-2</v>
      </c>
      <c r="CJ18" s="230">
        <v>8000</v>
      </c>
      <c r="CK18" s="230">
        <v>5000</v>
      </c>
      <c r="CL18" s="230">
        <v>3000</v>
      </c>
      <c r="CM18" s="229">
        <v>0.6</v>
      </c>
      <c r="CN18" s="230">
        <v>4030000</v>
      </c>
      <c r="CO18" s="230">
        <v>3551000</v>
      </c>
      <c r="CP18" s="230">
        <v>479000</v>
      </c>
      <c r="CQ18" s="229">
        <v>0.13489999999999999</v>
      </c>
      <c r="CR18" s="230">
        <v>3133000</v>
      </c>
      <c r="CS18" s="230">
        <v>2909000</v>
      </c>
      <c r="CT18" s="230">
        <v>224000</v>
      </c>
      <c r="CU18" s="229">
        <v>7.6999999999999999E-2</v>
      </c>
      <c r="CV18" s="230">
        <v>27608000</v>
      </c>
      <c r="CW18" s="230">
        <v>26942000</v>
      </c>
      <c r="CX18" s="230">
        <v>666000</v>
      </c>
      <c r="CY18" s="229">
        <v>2.47E-2</v>
      </c>
      <c r="CZ18" s="228">
        <v>25.97</v>
      </c>
      <c r="DA18" s="228">
        <v>25.35</v>
      </c>
      <c r="DB18" s="228">
        <v>0.62</v>
      </c>
      <c r="DC18" s="228">
        <v>0.62</v>
      </c>
      <c r="DD18" s="228">
        <v>34.9</v>
      </c>
      <c r="DE18" s="228">
        <v>34.979999999999997</v>
      </c>
      <c r="DF18" s="228">
        <v>-8.93</v>
      </c>
      <c r="DG18" s="228">
        <v>-0.08</v>
      </c>
      <c r="DH18" s="228">
        <v>25.76</v>
      </c>
      <c r="DI18" s="228">
        <v>25.09</v>
      </c>
      <c r="DJ18" s="228">
        <v>0.67</v>
      </c>
      <c r="DK18" s="228">
        <v>0.67</v>
      </c>
      <c r="DL18" s="228">
        <v>26.4</v>
      </c>
      <c r="DM18" s="228">
        <v>25.82</v>
      </c>
      <c r="DN18" s="228">
        <v>0.57999999999999996</v>
      </c>
      <c r="DO18" s="228">
        <v>0.57999999999999996</v>
      </c>
      <c r="DP18" s="228">
        <v>0.78</v>
      </c>
      <c r="DQ18" s="228">
        <v>0.82</v>
      </c>
      <c r="DR18" s="228">
        <v>-0.04</v>
      </c>
      <c r="DS18" s="229">
        <v>-4.8800000000000003E-2</v>
      </c>
      <c r="DT18" s="231">
        <v>1000</v>
      </c>
      <c r="DU18" s="231">
        <v>1000</v>
      </c>
      <c r="DV18" s="228">
        <v>0.48</v>
      </c>
      <c r="DW18" s="228">
        <v>0.55000000000000004</v>
      </c>
      <c r="DX18" s="228">
        <v>-7.0000000000000007E-2</v>
      </c>
      <c r="DY18" s="229">
        <v>-0.1273</v>
      </c>
      <c r="DZ18" s="229">
        <v>1.9800000000000002E-2</v>
      </c>
      <c r="EA18" s="230">
        <v>391000</v>
      </c>
      <c r="EB18" s="229">
        <v>3.5000000000000001E-3</v>
      </c>
      <c r="EC18" s="229">
        <v>1.9800000000000002E-2</v>
      </c>
      <c r="ED18" s="228">
        <v>2.0099999999999998</v>
      </c>
      <c r="EE18" s="229">
        <v>2E-3</v>
      </c>
      <c r="EF18" s="230">
        <v>404932</v>
      </c>
      <c r="EG18" s="230">
        <v>836525</v>
      </c>
      <c r="EH18" s="229">
        <v>-0.51590000000000003</v>
      </c>
      <c r="EI18" s="229">
        <v>0.5796</v>
      </c>
      <c r="EJ18" s="231">
        <v>28678.23</v>
      </c>
      <c r="EK18" s="231">
        <v>12890.61</v>
      </c>
      <c r="EL18" s="231">
        <v>18246.72</v>
      </c>
      <c r="EM18" s="231">
        <v>12083</v>
      </c>
      <c r="EN18" s="231">
        <v>59815.56</v>
      </c>
      <c r="EO18" s="231">
        <v>125136.5</v>
      </c>
      <c r="EP18" s="231">
        <v>-65320.94</v>
      </c>
      <c r="EQ18" s="229">
        <v>-0.52200000000000002</v>
      </c>
      <c r="ER18" s="231">
        <v>40853</v>
      </c>
      <c r="ES18" s="231">
        <v>29991</v>
      </c>
      <c r="ET18" s="231">
        <v>205047</v>
      </c>
      <c r="EU18" s="231">
        <v>86371921</v>
      </c>
      <c r="EV18" s="231">
        <v>275890</v>
      </c>
      <c r="EW18" s="231">
        <v>268404</v>
      </c>
      <c r="EX18" s="231">
        <v>7486</v>
      </c>
      <c r="EY18" s="229">
        <v>2.7900000000000001E-2</v>
      </c>
      <c r="EZ18" s="229">
        <v>0.3196</v>
      </c>
      <c r="FA18" s="227" t="s">
        <v>556</v>
      </c>
      <c r="FB18" s="161">
        <f t="shared" si="0"/>
        <v>404000</v>
      </c>
    </row>
    <row r="19" spans="1:158" ht="17.25" hidden="1" thickBot="1" x14ac:dyDescent="0.3">
      <c r="A19" s="226">
        <v>46023</v>
      </c>
      <c r="B19" s="227" t="s">
        <v>170</v>
      </c>
      <c r="C19" s="227" t="s">
        <v>171</v>
      </c>
      <c r="D19" s="228">
        <v>550</v>
      </c>
      <c r="E19" s="231">
        <v>1199.7</v>
      </c>
      <c r="F19" s="231">
        <v>1189.5</v>
      </c>
      <c r="G19" s="228">
        <v>10.199999999999999</v>
      </c>
      <c r="H19" s="229">
        <v>8.6E-3</v>
      </c>
      <c r="I19" s="231">
        <v>1193</v>
      </c>
      <c r="J19" s="231">
        <v>1183</v>
      </c>
      <c r="K19" s="228">
        <v>10</v>
      </c>
      <c r="L19" s="229">
        <v>8.5000000000000006E-3</v>
      </c>
      <c r="M19" s="231">
        <v>1199.7</v>
      </c>
      <c r="N19" s="231">
        <v>1189.5</v>
      </c>
      <c r="O19" s="228">
        <v>10.199999999999999</v>
      </c>
      <c r="P19" s="229">
        <v>8.6E-3</v>
      </c>
      <c r="Q19" s="231">
        <v>1206.7</v>
      </c>
      <c r="R19" s="231">
        <v>1196.5</v>
      </c>
      <c r="S19" s="228">
        <v>10.199999999999999</v>
      </c>
      <c r="T19" s="229">
        <v>8.5000000000000006E-3</v>
      </c>
      <c r="U19" s="231">
        <v>1192.7</v>
      </c>
      <c r="V19" s="231">
        <v>1209.0999999999999</v>
      </c>
      <c r="W19" s="228">
        <v>-16.399999999999999</v>
      </c>
      <c r="X19" s="229">
        <v>-1.3599999999999999E-2</v>
      </c>
      <c r="Y19" s="228">
        <v>6.7</v>
      </c>
      <c r="Z19" s="228">
        <v>6.5</v>
      </c>
      <c r="AA19" s="228">
        <v>0.2</v>
      </c>
      <c r="AB19" s="229">
        <v>5.5999999999999999E-3</v>
      </c>
      <c r="AC19" s="228">
        <v>6.7</v>
      </c>
      <c r="AD19" s="228">
        <v>6.5</v>
      </c>
      <c r="AE19" s="228">
        <v>0.2</v>
      </c>
      <c r="AF19" s="229">
        <v>5.5999999999999999E-3</v>
      </c>
      <c r="AG19" s="228">
        <v>13.7</v>
      </c>
      <c r="AH19" s="228">
        <v>13.5</v>
      </c>
      <c r="AI19" s="228">
        <v>0.2</v>
      </c>
      <c r="AJ19" s="229">
        <v>1.15E-2</v>
      </c>
      <c r="AK19" s="228">
        <v>-0.3</v>
      </c>
      <c r="AL19" s="228">
        <v>26.1</v>
      </c>
      <c r="AM19" s="228">
        <v>-26.4</v>
      </c>
      <c r="AN19" s="229">
        <v>-2.9999999999999997E-4</v>
      </c>
      <c r="AO19" s="231">
        <v>1188.75</v>
      </c>
      <c r="AP19" s="231">
        <v>1189.1400000000001</v>
      </c>
      <c r="AQ19" s="228">
        <v>0</v>
      </c>
      <c r="AR19" s="230">
        <v>1346950</v>
      </c>
      <c r="AS19" s="230">
        <v>2305600</v>
      </c>
      <c r="AT19" s="230">
        <v>-958650</v>
      </c>
      <c r="AU19" s="229">
        <v>-0.4158</v>
      </c>
      <c r="AV19" s="230">
        <v>1234200</v>
      </c>
      <c r="AW19" s="230">
        <v>2251150</v>
      </c>
      <c r="AX19" s="230">
        <v>-1016950</v>
      </c>
      <c r="AY19" s="229">
        <v>-0.45169999999999999</v>
      </c>
      <c r="AZ19" s="230">
        <v>112200</v>
      </c>
      <c r="BA19" s="230">
        <v>53900</v>
      </c>
      <c r="BB19" s="230">
        <v>58300</v>
      </c>
      <c r="BC19" s="229">
        <v>1.0815999999999999</v>
      </c>
      <c r="BD19" s="228">
        <v>550</v>
      </c>
      <c r="BE19" s="228">
        <v>550</v>
      </c>
      <c r="BF19" s="228">
        <v>0</v>
      </c>
      <c r="BG19" s="229">
        <v>0</v>
      </c>
      <c r="BH19" s="230">
        <v>3464450</v>
      </c>
      <c r="BI19" s="230">
        <v>3165800</v>
      </c>
      <c r="BJ19" s="230">
        <v>298650</v>
      </c>
      <c r="BK19" s="229">
        <v>9.4299999999999995E-2</v>
      </c>
      <c r="BL19" s="230">
        <v>1303500</v>
      </c>
      <c r="BM19" s="230">
        <v>1766050</v>
      </c>
      <c r="BN19" s="230">
        <v>-462550</v>
      </c>
      <c r="BO19" s="229">
        <v>-0.26190000000000002</v>
      </c>
      <c r="BP19" s="230">
        <v>6114900</v>
      </c>
      <c r="BQ19" s="230">
        <v>7237450</v>
      </c>
      <c r="BR19" s="230">
        <v>-1122550</v>
      </c>
      <c r="BS19" s="229">
        <v>-0.15509999999999999</v>
      </c>
      <c r="BT19" s="230">
        <v>421927</v>
      </c>
      <c r="BU19" s="230">
        <v>952999</v>
      </c>
      <c r="BV19" s="230">
        <v>-531072</v>
      </c>
      <c r="BW19" s="229">
        <v>-0.55730000000000002</v>
      </c>
      <c r="BX19" s="230">
        <v>21909250</v>
      </c>
      <c r="BY19" s="230">
        <v>21765700</v>
      </c>
      <c r="BZ19" s="230">
        <v>143550</v>
      </c>
      <c r="CA19" s="229">
        <v>6.6E-3</v>
      </c>
      <c r="CB19" s="230">
        <v>21734900</v>
      </c>
      <c r="CC19" s="230">
        <v>21639750</v>
      </c>
      <c r="CD19" s="230">
        <v>95150</v>
      </c>
      <c r="CE19" s="229">
        <v>4.4000000000000003E-3</v>
      </c>
      <c r="CF19" s="230">
        <v>173250</v>
      </c>
      <c r="CG19" s="230">
        <v>125400</v>
      </c>
      <c r="CH19" s="230">
        <v>47850</v>
      </c>
      <c r="CI19" s="229">
        <v>0.38159999999999999</v>
      </c>
      <c r="CJ19" s="230">
        <v>1100</v>
      </c>
      <c r="CK19" s="228">
        <v>550</v>
      </c>
      <c r="CL19" s="228">
        <v>550</v>
      </c>
      <c r="CM19" s="229">
        <v>1</v>
      </c>
      <c r="CN19" s="230">
        <v>3020600</v>
      </c>
      <c r="CO19" s="230">
        <v>2698300</v>
      </c>
      <c r="CP19" s="230">
        <v>322300</v>
      </c>
      <c r="CQ19" s="229">
        <v>0.11940000000000001</v>
      </c>
      <c r="CR19" s="230">
        <v>1744600</v>
      </c>
      <c r="CS19" s="230">
        <v>1560350</v>
      </c>
      <c r="CT19" s="230">
        <v>184250</v>
      </c>
      <c r="CU19" s="229">
        <v>0.1181</v>
      </c>
      <c r="CV19" s="230">
        <v>26674450</v>
      </c>
      <c r="CW19" s="230">
        <v>26024350</v>
      </c>
      <c r="CX19" s="230">
        <v>650100</v>
      </c>
      <c r="CY19" s="229">
        <v>2.5000000000000001E-2</v>
      </c>
      <c r="CZ19" s="228">
        <v>24.15</v>
      </c>
      <c r="DA19" s="228">
        <v>24.74</v>
      </c>
      <c r="DB19" s="228">
        <v>-0.59</v>
      </c>
      <c r="DC19" s="228">
        <v>-0.59</v>
      </c>
      <c r="DD19" s="228">
        <v>32.51</v>
      </c>
      <c r="DE19" s="228">
        <v>32.57</v>
      </c>
      <c r="DF19" s="228">
        <v>-8.36</v>
      </c>
      <c r="DG19" s="228">
        <v>-0.06</v>
      </c>
      <c r="DH19" s="228">
        <v>24.16</v>
      </c>
      <c r="DI19" s="228">
        <v>25.02</v>
      </c>
      <c r="DJ19" s="228">
        <v>-0.86</v>
      </c>
      <c r="DK19" s="228">
        <v>-0.86</v>
      </c>
      <c r="DL19" s="228">
        <v>24.12</v>
      </c>
      <c r="DM19" s="228">
        <v>24.26</v>
      </c>
      <c r="DN19" s="228">
        <v>-0.14000000000000001</v>
      </c>
      <c r="DO19" s="228">
        <v>-0.14000000000000001</v>
      </c>
      <c r="DP19" s="228">
        <v>0.57999999999999996</v>
      </c>
      <c r="DQ19" s="228">
        <v>0.57999999999999996</v>
      </c>
      <c r="DR19" s="228">
        <v>0</v>
      </c>
      <c r="DS19" s="229">
        <v>0</v>
      </c>
      <c r="DT19" s="231">
        <v>1260</v>
      </c>
      <c r="DU19" s="231">
        <v>1200</v>
      </c>
      <c r="DV19" s="228">
        <v>0.38</v>
      </c>
      <c r="DW19" s="228">
        <v>0.56000000000000005</v>
      </c>
      <c r="DX19" s="228">
        <v>-0.18</v>
      </c>
      <c r="DY19" s="229">
        <v>-0.32140000000000002</v>
      </c>
      <c r="DZ19" s="229">
        <v>8.0000000000000002E-3</v>
      </c>
      <c r="EA19" s="230">
        <v>125950</v>
      </c>
      <c r="EB19" s="229">
        <v>5.7999999999999996E-3</v>
      </c>
      <c r="EC19" s="229">
        <v>8.0000000000000002E-3</v>
      </c>
      <c r="ED19" s="228">
        <v>0.39</v>
      </c>
      <c r="EE19" s="229">
        <v>2.9999999999999997E-4</v>
      </c>
      <c r="EF19" s="230">
        <v>117388</v>
      </c>
      <c r="EG19" s="230">
        <v>475588</v>
      </c>
      <c r="EH19" s="229">
        <v>-0.75319999999999998</v>
      </c>
      <c r="EI19" s="229">
        <v>0.2782</v>
      </c>
      <c r="EJ19" s="231">
        <v>43177.09</v>
      </c>
      <c r="EK19" s="231">
        <v>15366.12</v>
      </c>
      <c r="EL19" s="231">
        <v>16012.34</v>
      </c>
      <c r="EM19" s="231">
        <v>12369</v>
      </c>
      <c r="EN19" s="231">
        <v>74555.55</v>
      </c>
      <c r="EO19" s="231">
        <v>87930.99</v>
      </c>
      <c r="EP19" s="231">
        <v>-13375.44</v>
      </c>
      <c r="EQ19" s="229">
        <v>-0.15210000000000001</v>
      </c>
      <c r="ER19" s="231">
        <v>37585</v>
      </c>
      <c r="ES19" s="231">
        <v>20207</v>
      </c>
      <c r="ET19" s="231">
        <v>262857</v>
      </c>
      <c r="EU19" s="231">
        <v>41977935</v>
      </c>
      <c r="EV19" s="231">
        <v>320649</v>
      </c>
      <c r="EW19" s="231">
        <v>310593</v>
      </c>
      <c r="EX19" s="231">
        <v>10056</v>
      </c>
      <c r="EY19" s="229">
        <v>3.2399999999999998E-2</v>
      </c>
      <c r="EZ19" s="229">
        <v>0.63539999999999996</v>
      </c>
      <c r="FA19" s="227" t="s">
        <v>555</v>
      </c>
      <c r="FB19" s="161">
        <f t="shared" si="0"/>
        <v>174350</v>
      </c>
    </row>
    <row r="20" spans="1:158" ht="17.25" hidden="1" thickBot="1" x14ac:dyDescent="0.3">
      <c r="A20" s="226">
        <v>46023</v>
      </c>
      <c r="B20" s="227" t="s">
        <v>172</v>
      </c>
      <c r="C20" s="227" t="s">
        <v>173</v>
      </c>
      <c r="D20" s="228">
        <v>625</v>
      </c>
      <c r="E20" s="231">
        <v>1279.0999999999999</v>
      </c>
      <c r="F20" s="231">
        <v>1274.2</v>
      </c>
      <c r="G20" s="228">
        <v>4.9000000000000004</v>
      </c>
      <c r="H20" s="229">
        <v>3.8E-3</v>
      </c>
      <c r="I20" s="231">
        <v>1274.4000000000001</v>
      </c>
      <c r="J20" s="231">
        <v>1269.4000000000001</v>
      </c>
      <c r="K20" s="228">
        <v>5</v>
      </c>
      <c r="L20" s="229">
        <v>3.8999999999999998E-3</v>
      </c>
      <c r="M20" s="231">
        <v>1279.0999999999999</v>
      </c>
      <c r="N20" s="231">
        <v>1274.2</v>
      </c>
      <c r="O20" s="228">
        <v>4.9000000000000004</v>
      </c>
      <c r="P20" s="229">
        <v>3.8E-3</v>
      </c>
      <c r="Q20" s="231">
        <v>1286.5</v>
      </c>
      <c r="R20" s="231">
        <v>1280.7</v>
      </c>
      <c r="S20" s="228">
        <v>5.8</v>
      </c>
      <c r="T20" s="229">
        <v>4.4999999999999997E-3</v>
      </c>
      <c r="U20" s="231">
        <v>1295.0999999999999</v>
      </c>
      <c r="V20" s="231">
        <v>1289.2</v>
      </c>
      <c r="W20" s="228">
        <v>5.9</v>
      </c>
      <c r="X20" s="229">
        <v>4.5999999999999999E-3</v>
      </c>
      <c r="Y20" s="228">
        <v>4.7</v>
      </c>
      <c r="Z20" s="228">
        <v>4.8</v>
      </c>
      <c r="AA20" s="228">
        <v>-0.1</v>
      </c>
      <c r="AB20" s="229">
        <v>3.7000000000000002E-3</v>
      </c>
      <c r="AC20" s="228">
        <v>4.7</v>
      </c>
      <c r="AD20" s="228">
        <v>4.8</v>
      </c>
      <c r="AE20" s="228">
        <v>-0.1</v>
      </c>
      <c r="AF20" s="229">
        <v>3.7000000000000002E-3</v>
      </c>
      <c r="AG20" s="228">
        <v>12.1</v>
      </c>
      <c r="AH20" s="228">
        <v>11.3</v>
      </c>
      <c r="AI20" s="228">
        <v>0.8</v>
      </c>
      <c r="AJ20" s="229">
        <v>9.4999999999999998E-3</v>
      </c>
      <c r="AK20" s="228">
        <v>20.7</v>
      </c>
      <c r="AL20" s="228">
        <v>19.8</v>
      </c>
      <c r="AM20" s="228">
        <v>0.9</v>
      </c>
      <c r="AN20" s="229">
        <v>1.6199999999999999E-2</v>
      </c>
      <c r="AO20" s="231">
        <v>1277.8800000000001</v>
      </c>
      <c r="AP20" s="231">
        <v>1283.52</v>
      </c>
      <c r="AQ20" s="228">
        <v>0</v>
      </c>
      <c r="AR20" s="230">
        <v>4293750</v>
      </c>
      <c r="AS20" s="230">
        <v>9586875</v>
      </c>
      <c r="AT20" s="230">
        <v>-5293125</v>
      </c>
      <c r="AU20" s="229">
        <v>-0.55210000000000004</v>
      </c>
      <c r="AV20" s="230">
        <v>4185625</v>
      </c>
      <c r="AW20" s="230">
        <v>9421875</v>
      </c>
      <c r="AX20" s="230">
        <v>-5236250</v>
      </c>
      <c r="AY20" s="229">
        <v>-0.55579999999999996</v>
      </c>
      <c r="AZ20" s="230">
        <v>71875</v>
      </c>
      <c r="BA20" s="230">
        <v>156875</v>
      </c>
      <c r="BB20" s="230">
        <v>-85000</v>
      </c>
      <c r="BC20" s="229">
        <v>-0.54179999999999995</v>
      </c>
      <c r="BD20" s="230">
        <v>36250</v>
      </c>
      <c r="BE20" s="230">
        <v>8125</v>
      </c>
      <c r="BF20" s="230">
        <v>28125</v>
      </c>
      <c r="BG20" s="229">
        <v>3.4615</v>
      </c>
      <c r="BH20" s="230">
        <v>10680000</v>
      </c>
      <c r="BI20" s="230">
        <v>25462500</v>
      </c>
      <c r="BJ20" s="230">
        <v>-14782500</v>
      </c>
      <c r="BK20" s="229">
        <v>-0.5806</v>
      </c>
      <c r="BL20" s="230">
        <v>8640625</v>
      </c>
      <c r="BM20" s="230">
        <v>15906250</v>
      </c>
      <c r="BN20" s="230">
        <v>-7265625</v>
      </c>
      <c r="BO20" s="229">
        <v>-0.45679999999999998</v>
      </c>
      <c r="BP20" s="230">
        <v>23614375</v>
      </c>
      <c r="BQ20" s="230">
        <v>50955625</v>
      </c>
      <c r="BR20" s="230">
        <v>-27341250</v>
      </c>
      <c r="BS20" s="229">
        <v>-0.53659999999999997</v>
      </c>
      <c r="BT20" s="230">
        <v>2327531</v>
      </c>
      <c r="BU20" s="230">
        <v>3841416</v>
      </c>
      <c r="BV20" s="230">
        <v>-1513885</v>
      </c>
      <c r="BW20" s="229">
        <v>-0.39410000000000001</v>
      </c>
      <c r="BX20" s="230">
        <v>77560625</v>
      </c>
      <c r="BY20" s="230">
        <v>77567500</v>
      </c>
      <c r="BZ20" s="230">
        <v>-6875</v>
      </c>
      <c r="CA20" s="229">
        <v>-1E-4</v>
      </c>
      <c r="CB20" s="230">
        <v>77081250</v>
      </c>
      <c r="CC20" s="230">
        <v>77120625</v>
      </c>
      <c r="CD20" s="230">
        <v>-39375</v>
      </c>
      <c r="CE20" s="229">
        <v>-5.0000000000000001E-4</v>
      </c>
      <c r="CF20" s="230">
        <v>442500</v>
      </c>
      <c r="CG20" s="230">
        <v>439375</v>
      </c>
      <c r="CH20" s="230">
        <v>3125</v>
      </c>
      <c r="CI20" s="229">
        <v>7.1000000000000004E-3</v>
      </c>
      <c r="CJ20" s="230">
        <v>36875</v>
      </c>
      <c r="CK20" s="230">
        <v>7500</v>
      </c>
      <c r="CL20" s="230">
        <v>29375</v>
      </c>
      <c r="CM20" s="229">
        <v>3.9167000000000001</v>
      </c>
      <c r="CN20" s="230">
        <v>10882500</v>
      </c>
      <c r="CO20" s="230">
        <v>9870625</v>
      </c>
      <c r="CP20" s="230">
        <v>1011875</v>
      </c>
      <c r="CQ20" s="229">
        <v>0.10249999999999999</v>
      </c>
      <c r="CR20" s="230">
        <v>9603750</v>
      </c>
      <c r="CS20" s="230">
        <v>8512500</v>
      </c>
      <c r="CT20" s="230">
        <v>1091250</v>
      </c>
      <c r="CU20" s="229">
        <v>0.12820000000000001</v>
      </c>
      <c r="CV20" s="230">
        <v>98046875</v>
      </c>
      <c r="CW20" s="230">
        <v>95950625</v>
      </c>
      <c r="CX20" s="230">
        <v>2096250</v>
      </c>
      <c r="CY20" s="229">
        <v>2.18E-2</v>
      </c>
      <c r="CZ20" s="228">
        <v>18.77</v>
      </c>
      <c r="DA20" s="228">
        <v>18.170000000000002</v>
      </c>
      <c r="DB20" s="228">
        <v>0.6</v>
      </c>
      <c r="DC20" s="228">
        <v>0.6</v>
      </c>
      <c r="DD20" s="228">
        <v>25.76</v>
      </c>
      <c r="DE20" s="228">
        <v>25.82</v>
      </c>
      <c r="DF20" s="228">
        <v>-6.99</v>
      </c>
      <c r="DG20" s="228">
        <v>-0.06</v>
      </c>
      <c r="DH20" s="228">
        <v>18.36</v>
      </c>
      <c r="DI20" s="228">
        <v>17.73</v>
      </c>
      <c r="DJ20" s="228">
        <v>0.63</v>
      </c>
      <c r="DK20" s="228">
        <v>0.63</v>
      </c>
      <c r="DL20" s="228">
        <v>19.28</v>
      </c>
      <c r="DM20" s="228">
        <v>18.88</v>
      </c>
      <c r="DN20" s="228">
        <v>0.4</v>
      </c>
      <c r="DO20" s="228">
        <v>0.4</v>
      </c>
      <c r="DP20" s="228">
        <v>0.88</v>
      </c>
      <c r="DQ20" s="228">
        <v>0.86</v>
      </c>
      <c r="DR20" s="228">
        <v>0.02</v>
      </c>
      <c r="DS20" s="229">
        <v>2.3300000000000001E-2</v>
      </c>
      <c r="DT20" s="231">
        <v>1300</v>
      </c>
      <c r="DU20" s="231">
        <v>1260</v>
      </c>
      <c r="DV20" s="228">
        <v>0.81</v>
      </c>
      <c r="DW20" s="228">
        <v>0.62</v>
      </c>
      <c r="DX20" s="228">
        <v>0.19</v>
      </c>
      <c r="DY20" s="229">
        <v>0.30649999999999999</v>
      </c>
      <c r="DZ20" s="229">
        <v>6.1999999999999998E-3</v>
      </c>
      <c r="EA20" s="230">
        <v>446875</v>
      </c>
      <c r="EB20" s="229">
        <v>5.7999999999999996E-3</v>
      </c>
      <c r="EC20" s="229">
        <v>6.1999999999999998E-3</v>
      </c>
      <c r="ED20" s="228">
        <v>5.64</v>
      </c>
      <c r="EE20" s="229">
        <v>4.4000000000000003E-3</v>
      </c>
      <c r="EF20" s="230">
        <v>1147025</v>
      </c>
      <c r="EG20" s="230">
        <v>2517633</v>
      </c>
      <c r="EH20" s="229">
        <v>-0.5444</v>
      </c>
      <c r="EI20" s="229">
        <v>0.49280000000000002</v>
      </c>
      <c r="EJ20" s="231">
        <v>141083.20000000001</v>
      </c>
      <c r="EK20" s="231">
        <v>107506.74</v>
      </c>
      <c r="EL20" s="231">
        <v>54878.7</v>
      </c>
      <c r="EM20" s="231">
        <v>31651</v>
      </c>
      <c r="EN20" s="231">
        <v>303468.64</v>
      </c>
      <c r="EO20" s="231">
        <v>653930.88</v>
      </c>
      <c r="EP20" s="231">
        <v>-350462.24</v>
      </c>
      <c r="EQ20" s="229">
        <v>-0.53590000000000004</v>
      </c>
      <c r="ER20" s="231">
        <v>141150</v>
      </c>
      <c r="ES20" s="231">
        <v>117385</v>
      </c>
      <c r="ET20" s="231">
        <v>992117</v>
      </c>
      <c r="EU20" s="231">
        <v>296371456</v>
      </c>
      <c r="EV20" s="231">
        <v>1250652</v>
      </c>
      <c r="EW20" s="231">
        <v>1219723</v>
      </c>
      <c r="EX20" s="231">
        <v>30929</v>
      </c>
      <c r="EY20" s="229">
        <v>2.5399999999999999E-2</v>
      </c>
      <c r="EZ20" s="229">
        <v>0.33079999999999998</v>
      </c>
      <c r="FA20" s="227" t="s">
        <v>556</v>
      </c>
      <c r="FB20" s="161">
        <f t="shared" si="0"/>
        <v>479375</v>
      </c>
    </row>
    <row r="21" spans="1:158" ht="17.25" hidden="1" thickBot="1" x14ac:dyDescent="0.3">
      <c r="A21" s="226">
        <v>46023</v>
      </c>
      <c r="B21" s="227" t="s">
        <v>162</v>
      </c>
      <c r="C21" s="227" t="s">
        <v>174</v>
      </c>
      <c r="D21" s="228">
        <v>75</v>
      </c>
      <c r="E21" s="231">
        <v>9611</v>
      </c>
      <c r="F21" s="231">
        <v>9402</v>
      </c>
      <c r="G21" s="228">
        <v>209</v>
      </c>
      <c r="H21" s="229">
        <v>2.2200000000000001E-2</v>
      </c>
      <c r="I21" s="231">
        <v>9558</v>
      </c>
      <c r="J21" s="231">
        <v>9343</v>
      </c>
      <c r="K21" s="228">
        <v>215</v>
      </c>
      <c r="L21" s="229">
        <v>2.3E-2</v>
      </c>
      <c r="M21" s="231">
        <v>9611</v>
      </c>
      <c r="N21" s="231">
        <v>9402</v>
      </c>
      <c r="O21" s="228">
        <v>209</v>
      </c>
      <c r="P21" s="229">
        <v>2.2200000000000001E-2</v>
      </c>
      <c r="Q21" s="231">
        <v>9651</v>
      </c>
      <c r="R21" s="231">
        <v>9444.5</v>
      </c>
      <c r="S21" s="228">
        <v>206.5</v>
      </c>
      <c r="T21" s="229">
        <v>2.1899999999999999E-2</v>
      </c>
      <c r="U21" s="231">
        <v>9688</v>
      </c>
      <c r="V21" s="231">
        <v>9481</v>
      </c>
      <c r="W21" s="228">
        <v>207</v>
      </c>
      <c r="X21" s="229">
        <v>2.18E-2</v>
      </c>
      <c r="Y21" s="228">
        <v>53</v>
      </c>
      <c r="Z21" s="228">
        <v>59</v>
      </c>
      <c r="AA21" s="228">
        <v>-6</v>
      </c>
      <c r="AB21" s="229">
        <v>5.4999999999999997E-3</v>
      </c>
      <c r="AC21" s="228">
        <v>53</v>
      </c>
      <c r="AD21" s="228">
        <v>59</v>
      </c>
      <c r="AE21" s="228">
        <v>-6</v>
      </c>
      <c r="AF21" s="229">
        <v>5.4999999999999997E-3</v>
      </c>
      <c r="AG21" s="228">
        <v>93</v>
      </c>
      <c r="AH21" s="228">
        <v>101.5</v>
      </c>
      <c r="AI21" s="228">
        <v>-8.5</v>
      </c>
      <c r="AJ21" s="229">
        <v>9.7000000000000003E-3</v>
      </c>
      <c r="AK21" s="228">
        <v>130</v>
      </c>
      <c r="AL21" s="228">
        <v>138</v>
      </c>
      <c r="AM21" s="228">
        <v>-8</v>
      </c>
      <c r="AN21" s="229">
        <v>1.3599999999999999E-2</v>
      </c>
      <c r="AO21" s="231">
        <v>9519.85</v>
      </c>
      <c r="AP21" s="231">
        <v>9559.9599999999991</v>
      </c>
      <c r="AQ21" s="228">
        <v>0</v>
      </c>
      <c r="AR21" s="230">
        <v>651900</v>
      </c>
      <c r="AS21" s="230">
        <v>567900</v>
      </c>
      <c r="AT21" s="230">
        <v>84000</v>
      </c>
      <c r="AU21" s="229">
        <v>0.1479</v>
      </c>
      <c r="AV21" s="230">
        <v>620475</v>
      </c>
      <c r="AW21" s="230">
        <v>544875</v>
      </c>
      <c r="AX21" s="230">
        <v>75600</v>
      </c>
      <c r="AY21" s="229">
        <v>0.13869999999999999</v>
      </c>
      <c r="AZ21" s="230">
        <v>27600</v>
      </c>
      <c r="BA21" s="230">
        <v>20850</v>
      </c>
      <c r="BB21" s="230">
        <v>6750</v>
      </c>
      <c r="BC21" s="229">
        <v>0.32369999999999999</v>
      </c>
      <c r="BD21" s="230">
        <v>3825</v>
      </c>
      <c r="BE21" s="230">
        <v>2175</v>
      </c>
      <c r="BF21" s="230">
        <v>1650</v>
      </c>
      <c r="BG21" s="229">
        <v>0.75860000000000005</v>
      </c>
      <c r="BH21" s="230">
        <v>4542450</v>
      </c>
      <c r="BI21" s="230">
        <v>3551100</v>
      </c>
      <c r="BJ21" s="230">
        <v>991350</v>
      </c>
      <c r="BK21" s="229">
        <v>0.2792</v>
      </c>
      <c r="BL21" s="230">
        <v>1680750</v>
      </c>
      <c r="BM21" s="230">
        <v>1236825</v>
      </c>
      <c r="BN21" s="230">
        <v>443925</v>
      </c>
      <c r="BO21" s="229">
        <v>0.3589</v>
      </c>
      <c r="BP21" s="230">
        <v>6875100</v>
      </c>
      <c r="BQ21" s="230">
        <v>5355825</v>
      </c>
      <c r="BR21" s="230">
        <v>1519275</v>
      </c>
      <c r="BS21" s="229">
        <v>0.28370000000000001</v>
      </c>
      <c r="BT21" s="230">
        <v>334584</v>
      </c>
      <c r="BU21" s="230">
        <v>337071</v>
      </c>
      <c r="BV21" s="230">
        <v>-2487</v>
      </c>
      <c r="BW21" s="229">
        <v>-7.4000000000000003E-3</v>
      </c>
      <c r="BX21" s="230">
        <v>3135000</v>
      </c>
      <c r="BY21" s="230">
        <v>3059475</v>
      </c>
      <c r="BZ21" s="230">
        <v>75525</v>
      </c>
      <c r="CA21" s="229">
        <v>2.47E-2</v>
      </c>
      <c r="CB21" s="230">
        <v>3090225</v>
      </c>
      <c r="CC21" s="230">
        <v>3020175</v>
      </c>
      <c r="CD21" s="230">
        <v>70050</v>
      </c>
      <c r="CE21" s="229">
        <v>2.3199999999999998E-2</v>
      </c>
      <c r="CF21" s="230">
        <v>41475</v>
      </c>
      <c r="CG21" s="230">
        <v>37950</v>
      </c>
      <c r="CH21" s="230">
        <v>3525</v>
      </c>
      <c r="CI21" s="229">
        <v>9.2899999999999996E-2</v>
      </c>
      <c r="CJ21" s="230">
        <v>3300</v>
      </c>
      <c r="CK21" s="230">
        <v>1350</v>
      </c>
      <c r="CL21" s="230">
        <v>1950</v>
      </c>
      <c r="CM21" s="229">
        <v>1.4443999999999999</v>
      </c>
      <c r="CN21" s="230">
        <v>1080750</v>
      </c>
      <c r="CO21" s="230">
        <v>891450</v>
      </c>
      <c r="CP21" s="230">
        <v>189300</v>
      </c>
      <c r="CQ21" s="229">
        <v>0.21240000000000001</v>
      </c>
      <c r="CR21" s="230">
        <v>886650</v>
      </c>
      <c r="CS21" s="230">
        <v>661125</v>
      </c>
      <c r="CT21" s="230">
        <v>225525</v>
      </c>
      <c r="CU21" s="229">
        <v>0.34110000000000001</v>
      </c>
      <c r="CV21" s="230">
        <v>5102400</v>
      </c>
      <c r="CW21" s="230">
        <v>4612050</v>
      </c>
      <c r="CX21" s="230">
        <v>490350</v>
      </c>
      <c r="CY21" s="229">
        <v>0.10630000000000001</v>
      </c>
      <c r="CZ21" s="228">
        <v>21.91</v>
      </c>
      <c r="DA21" s="228">
        <v>22.41</v>
      </c>
      <c r="DB21" s="228">
        <v>-0.5</v>
      </c>
      <c r="DC21" s="228">
        <v>-0.5</v>
      </c>
      <c r="DD21" s="228">
        <v>28.2</v>
      </c>
      <c r="DE21" s="228">
        <v>28.1</v>
      </c>
      <c r="DF21" s="228">
        <v>-6.29</v>
      </c>
      <c r="DG21" s="228">
        <v>0.1</v>
      </c>
      <c r="DH21" s="228">
        <v>21.49</v>
      </c>
      <c r="DI21" s="228">
        <v>22.36</v>
      </c>
      <c r="DJ21" s="228">
        <v>-0.87</v>
      </c>
      <c r="DK21" s="228">
        <v>-0.87</v>
      </c>
      <c r="DL21" s="228">
        <v>23.05</v>
      </c>
      <c r="DM21" s="228">
        <v>22.54</v>
      </c>
      <c r="DN21" s="228">
        <v>0.51</v>
      </c>
      <c r="DO21" s="228">
        <v>0.51</v>
      </c>
      <c r="DP21" s="228">
        <v>0.82</v>
      </c>
      <c r="DQ21" s="228">
        <v>0.74</v>
      </c>
      <c r="DR21" s="228">
        <v>0.08</v>
      </c>
      <c r="DS21" s="229">
        <v>0.1081</v>
      </c>
      <c r="DT21" s="231">
        <v>10000</v>
      </c>
      <c r="DU21" s="231">
        <v>9000</v>
      </c>
      <c r="DV21" s="228">
        <v>0.37</v>
      </c>
      <c r="DW21" s="228">
        <v>0.35</v>
      </c>
      <c r="DX21" s="228">
        <v>0.02</v>
      </c>
      <c r="DY21" s="229">
        <v>5.7099999999999998E-2</v>
      </c>
      <c r="DZ21" s="229">
        <v>1.43E-2</v>
      </c>
      <c r="EA21" s="230">
        <v>39300</v>
      </c>
      <c r="EB21" s="229">
        <v>4.1999999999999997E-3</v>
      </c>
      <c r="EC21" s="229">
        <v>1.43E-2</v>
      </c>
      <c r="ED21" s="228">
        <v>40.11</v>
      </c>
      <c r="EE21" s="229">
        <v>4.1999999999999997E-3</v>
      </c>
      <c r="EF21" s="230">
        <v>154821</v>
      </c>
      <c r="EG21" s="230">
        <v>162456</v>
      </c>
      <c r="EH21" s="229">
        <v>-4.7E-2</v>
      </c>
      <c r="EI21" s="229">
        <v>0.4627</v>
      </c>
      <c r="EJ21" s="231">
        <v>449876.88</v>
      </c>
      <c r="EK21" s="231">
        <v>155495.91</v>
      </c>
      <c r="EL21" s="231">
        <v>62074.28</v>
      </c>
      <c r="EM21" s="231">
        <v>19451</v>
      </c>
      <c r="EN21" s="231">
        <v>667447.06999999995</v>
      </c>
      <c r="EO21" s="231">
        <v>515393.92</v>
      </c>
      <c r="EP21" s="231">
        <v>152053.15</v>
      </c>
      <c r="EQ21" s="229">
        <v>0.29499999999999998</v>
      </c>
      <c r="ER21" s="231">
        <v>105411</v>
      </c>
      <c r="ES21" s="231">
        <v>79909</v>
      </c>
      <c r="ET21" s="231">
        <v>301324</v>
      </c>
      <c r="EU21" s="231">
        <v>15906526</v>
      </c>
      <c r="EV21" s="231">
        <v>486645</v>
      </c>
      <c r="EW21" s="231">
        <v>432287</v>
      </c>
      <c r="EX21" s="231">
        <v>54358</v>
      </c>
      <c r="EY21" s="229">
        <v>0.12570000000000001</v>
      </c>
      <c r="EZ21" s="229">
        <v>0.32079999999999997</v>
      </c>
      <c r="FA21" s="227" t="s">
        <v>555</v>
      </c>
      <c r="FB21" s="161">
        <f t="shared" si="0"/>
        <v>44775</v>
      </c>
    </row>
    <row r="22" spans="1:158" ht="17.25" hidden="1" thickBot="1" x14ac:dyDescent="0.3">
      <c r="A22" s="226">
        <v>46023</v>
      </c>
      <c r="B22" s="227" t="s">
        <v>175</v>
      </c>
      <c r="C22" s="227" t="s">
        <v>176</v>
      </c>
      <c r="D22" s="228">
        <v>250</v>
      </c>
      <c r="E22" s="231">
        <v>2044.6</v>
      </c>
      <c r="F22" s="231">
        <v>2047</v>
      </c>
      <c r="G22" s="228">
        <v>-2.4</v>
      </c>
      <c r="H22" s="229">
        <v>-1.1999999999999999E-3</v>
      </c>
      <c r="I22" s="231">
        <v>2037</v>
      </c>
      <c r="J22" s="231">
        <v>2039.9</v>
      </c>
      <c r="K22" s="228">
        <v>-2.9</v>
      </c>
      <c r="L22" s="229">
        <v>-1.4E-3</v>
      </c>
      <c r="M22" s="231">
        <v>2044.6</v>
      </c>
      <c r="N22" s="231">
        <v>2047</v>
      </c>
      <c r="O22" s="228">
        <v>-2.4</v>
      </c>
      <c r="P22" s="229">
        <v>-1.1999999999999999E-3</v>
      </c>
      <c r="Q22" s="231">
        <v>2056.1999999999998</v>
      </c>
      <c r="R22" s="231">
        <v>2058.9</v>
      </c>
      <c r="S22" s="228">
        <v>-2.7</v>
      </c>
      <c r="T22" s="229">
        <v>-1.2999999999999999E-3</v>
      </c>
      <c r="U22" s="231">
        <v>2070.4</v>
      </c>
      <c r="V22" s="231">
        <v>2073.5</v>
      </c>
      <c r="W22" s="228">
        <v>-3.1</v>
      </c>
      <c r="X22" s="229">
        <v>-1.5E-3</v>
      </c>
      <c r="Y22" s="228">
        <v>7.6</v>
      </c>
      <c r="Z22" s="228">
        <v>7.1</v>
      </c>
      <c r="AA22" s="228">
        <v>0.5</v>
      </c>
      <c r="AB22" s="229">
        <v>3.7000000000000002E-3</v>
      </c>
      <c r="AC22" s="228">
        <v>7.6</v>
      </c>
      <c r="AD22" s="228">
        <v>7.1</v>
      </c>
      <c r="AE22" s="228">
        <v>0.5</v>
      </c>
      <c r="AF22" s="229">
        <v>3.7000000000000002E-3</v>
      </c>
      <c r="AG22" s="228">
        <v>19.2</v>
      </c>
      <c r="AH22" s="228">
        <v>19</v>
      </c>
      <c r="AI22" s="228">
        <v>0.2</v>
      </c>
      <c r="AJ22" s="229">
        <v>9.4000000000000004E-3</v>
      </c>
      <c r="AK22" s="228">
        <v>33.4</v>
      </c>
      <c r="AL22" s="228">
        <v>33.6</v>
      </c>
      <c r="AM22" s="228">
        <v>-0.2</v>
      </c>
      <c r="AN22" s="229">
        <v>1.6400000000000001E-2</v>
      </c>
      <c r="AO22" s="231">
        <v>2043.57</v>
      </c>
      <c r="AP22" s="231">
        <v>2056</v>
      </c>
      <c r="AQ22" s="228">
        <v>0</v>
      </c>
      <c r="AR22" s="230">
        <v>574250</v>
      </c>
      <c r="AS22" s="230">
        <v>1336750</v>
      </c>
      <c r="AT22" s="230">
        <v>-762500</v>
      </c>
      <c r="AU22" s="229">
        <v>-0.57040000000000002</v>
      </c>
      <c r="AV22" s="230">
        <v>549000</v>
      </c>
      <c r="AW22" s="230">
        <v>1268250</v>
      </c>
      <c r="AX22" s="230">
        <v>-719250</v>
      </c>
      <c r="AY22" s="229">
        <v>-0.56710000000000005</v>
      </c>
      <c r="AZ22" s="230">
        <v>18250</v>
      </c>
      <c r="BA22" s="230">
        <v>63250</v>
      </c>
      <c r="BB22" s="230">
        <v>-45000</v>
      </c>
      <c r="BC22" s="229">
        <v>-0.71150000000000002</v>
      </c>
      <c r="BD22" s="230">
        <v>7000</v>
      </c>
      <c r="BE22" s="230">
        <v>5250</v>
      </c>
      <c r="BF22" s="230">
        <v>1750</v>
      </c>
      <c r="BG22" s="229">
        <v>0.33329999999999999</v>
      </c>
      <c r="BH22" s="230">
        <v>1845250</v>
      </c>
      <c r="BI22" s="230">
        <v>3920750</v>
      </c>
      <c r="BJ22" s="230">
        <v>-2075500</v>
      </c>
      <c r="BK22" s="229">
        <v>-0.52939999999999998</v>
      </c>
      <c r="BL22" s="230">
        <v>1056500</v>
      </c>
      <c r="BM22" s="230">
        <v>1948750</v>
      </c>
      <c r="BN22" s="230">
        <v>-892250</v>
      </c>
      <c r="BO22" s="229">
        <v>-0.45789999999999997</v>
      </c>
      <c r="BP22" s="230">
        <v>3476000</v>
      </c>
      <c r="BQ22" s="230">
        <v>7206250</v>
      </c>
      <c r="BR22" s="230">
        <v>-3730250</v>
      </c>
      <c r="BS22" s="229">
        <v>-0.51759999999999995</v>
      </c>
      <c r="BT22" s="230">
        <v>280381</v>
      </c>
      <c r="BU22" s="230">
        <v>1411107</v>
      </c>
      <c r="BV22" s="230">
        <v>-1130726</v>
      </c>
      <c r="BW22" s="229">
        <v>-0.80130000000000001</v>
      </c>
      <c r="BX22" s="230">
        <v>17881500</v>
      </c>
      <c r="BY22" s="230">
        <v>17934000</v>
      </c>
      <c r="BZ22" s="230">
        <v>-52500</v>
      </c>
      <c r="CA22" s="229">
        <v>-2.8999999999999998E-3</v>
      </c>
      <c r="CB22" s="230">
        <v>17666500</v>
      </c>
      <c r="CC22" s="230">
        <v>17729000</v>
      </c>
      <c r="CD22" s="230">
        <v>-62500</v>
      </c>
      <c r="CE22" s="229">
        <v>-3.5000000000000001E-3</v>
      </c>
      <c r="CF22" s="230">
        <v>205000</v>
      </c>
      <c r="CG22" s="230">
        <v>201750</v>
      </c>
      <c r="CH22" s="230">
        <v>3250</v>
      </c>
      <c r="CI22" s="229">
        <v>1.61E-2</v>
      </c>
      <c r="CJ22" s="230">
        <v>10000</v>
      </c>
      <c r="CK22" s="230">
        <v>3250</v>
      </c>
      <c r="CL22" s="230">
        <v>6750</v>
      </c>
      <c r="CM22" s="229">
        <v>2.0769000000000002</v>
      </c>
      <c r="CN22" s="230">
        <v>2937750</v>
      </c>
      <c r="CO22" s="230">
        <v>2527250</v>
      </c>
      <c r="CP22" s="230">
        <v>410500</v>
      </c>
      <c r="CQ22" s="229">
        <v>0.16239999999999999</v>
      </c>
      <c r="CR22" s="230">
        <v>2543750</v>
      </c>
      <c r="CS22" s="230">
        <v>2331750</v>
      </c>
      <c r="CT22" s="230">
        <v>212000</v>
      </c>
      <c r="CU22" s="229">
        <v>9.0899999999999995E-2</v>
      </c>
      <c r="CV22" s="230">
        <v>23363000</v>
      </c>
      <c r="CW22" s="230">
        <v>22793000</v>
      </c>
      <c r="CX22" s="230">
        <v>570000</v>
      </c>
      <c r="CY22" s="229">
        <v>2.5000000000000001E-2</v>
      </c>
      <c r="CZ22" s="228">
        <v>20.16</v>
      </c>
      <c r="DA22" s="228">
        <v>20.13</v>
      </c>
      <c r="DB22" s="228">
        <v>0.03</v>
      </c>
      <c r="DC22" s="228">
        <v>0.03</v>
      </c>
      <c r="DD22" s="228">
        <v>28.13</v>
      </c>
      <c r="DE22" s="228">
        <v>28.2</v>
      </c>
      <c r="DF22" s="228">
        <v>-7.97</v>
      </c>
      <c r="DG22" s="228">
        <v>-7.0000000000000007E-2</v>
      </c>
      <c r="DH22" s="228">
        <v>19.68</v>
      </c>
      <c r="DI22" s="228">
        <v>19.8</v>
      </c>
      <c r="DJ22" s="228">
        <v>-0.12</v>
      </c>
      <c r="DK22" s="228">
        <v>-0.12</v>
      </c>
      <c r="DL22" s="228">
        <v>21.01</v>
      </c>
      <c r="DM22" s="228">
        <v>20.78</v>
      </c>
      <c r="DN22" s="228">
        <v>0.23</v>
      </c>
      <c r="DO22" s="228">
        <v>0.23</v>
      </c>
      <c r="DP22" s="228">
        <v>0.87</v>
      </c>
      <c r="DQ22" s="228">
        <v>0.92</v>
      </c>
      <c r="DR22" s="228">
        <v>-0.05</v>
      </c>
      <c r="DS22" s="229">
        <v>-5.4300000000000001E-2</v>
      </c>
      <c r="DT22" s="231">
        <v>2100</v>
      </c>
      <c r="DU22" s="231">
        <v>1900</v>
      </c>
      <c r="DV22" s="228">
        <v>0.56999999999999995</v>
      </c>
      <c r="DW22" s="228">
        <v>0.5</v>
      </c>
      <c r="DX22" s="228">
        <v>7.0000000000000007E-2</v>
      </c>
      <c r="DY22" s="229">
        <v>0.14000000000000001</v>
      </c>
      <c r="DZ22" s="229">
        <v>1.2E-2</v>
      </c>
      <c r="EA22" s="230">
        <v>205000</v>
      </c>
      <c r="EB22" s="229">
        <v>5.7000000000000002E-3</v>
      </c>
      <c r="EC22" s="229">
        <v>1.2E-2</v>
      </c>
      <c r="ED22" s="228">
        <v>12.43</v>
      </c>
      <c r="EE22" s="229">
        <v>6.1000000000000004E-3</v>
      </c>
      <c r="EF22" s="230">
        <v>160187</v>
      </c>
      <c r="EG22" s="230">
        <v>920581</v>
      </c>
      <c r="EH22" s="229">
        <v>-0.82599999999999996</v>
      </c>
      <c r="EI22" s="229">
        <v>0.57130000000000003</v>
      </c>
      <c r="EJ22" s="231">
        <v>39592.04</v>
      </c>
      <c r="EK22" s="231">
        <v>20792.900000000001</v>
      </c>
      <c r="EL22" s="231">
        <v>11739.25</v>
      </c>
      <c r="EM22" s="231">
        <v>29432</v>
      </c>
      <c r="EN22" s="231">
        <v>72124.19</v>
      </c>
      <c r="EO22" s="231">
        <v>149202.94</v>
      </c>
      <c r="EP22" s="231">
        <v>-77078.75</v>
      </c>
      <c r="EQ22" s="229">
        <v>-0.51659999999999995</v>
      </c>
      <c r="ER22" s="231">
        <v>61813</v>
      </c>
      <c r="ES22" s="231">
        <v>50358</v>
      </c>
      <c r="ET22" s="231">
        <v>365632</v>
      </c>
      <c r="EU22" s="231">
        <v>65701623</v>
      </c>
      <c r="EV22" s="231">
        <v>477802</v>
      </c>
      <c r="EW22" s="231">
        <v>466283</v>
      </c>
      <c r="EX22" s="231">
        <v>11519</v>
      </c>
      <c r="EY22" s="229">
        <v>2.47E-2</v>
      </c>
      <c r="EZ22" s="229">
        <v>0.35560000000000003</v>
      </c>
      <c r="FA22" s="227" t="s">
        <v>568</v>
      </c>
      <c r="FB22" s="161">
        <f t="shared" si="0"/>
        <v>215000</v>
      </c>
    </row>
    <row r="23" spans="1:158" ht="17.25" hidden="1" thickBot="1" x14ac:dyDescent="0.3">
      <c r="A23" s="226">
        <v>46023</v>
      </c>
      <c r="B23" s="227" t="s">
        <v>694</v>
      </c>
      <c r="C23" s="227" t="s">
        <v>691</v>
      </c>
      <c r="D23" s="228">
        <v>50</v>
      </c>
      <c r="E23" s="231">
        <v>11420</v>
      </c>
      <c r="F23" s="231">
        <v>11397</v>
      </c>
      <c r="G23" s="228">
        <v>23</v>
      </c>
      <c r="H23" s="229">
        <v>2E-3</v>
      </c>
      <c r="I23" s="231">
        <v>11342</v>
      </c>
      <c r="J23" s="231">
        <v>11328</v>
      </c>
      <c r="K23" s="228">
        <v>14</v>
      </c>
      <c r="L23" s="229">
        <v>1.1999999999999999E-3</v>
      </c>
      <c r="M23" s="231">
        <v>11420</v>
      </c>
      <c r="N23" s="231">
        <v>11397</v>
      </c>
      <c r="O23" s="228">
        <v>23</v>
      </c>
      <c r="P23" s="229">
        <v>2E-3</v>
      </c>
      <c r="Q23" s="231">
        <v>11480</v>
      </c>
      <c r="R23" s="231">
        <v>11469</v>
      </c>
      <c r="S23" s="228">
        <v>11</v>
      </c>
      <c r="T23" s="229">
        <v>1E-3</v>
      </c>
      <c r="U23" s="228">
        <v>0</v>
      </c>
      <c r="V23" s="231">
        <v>11500</v>
      </c>
      <c r="W23" s="228">
        <v>0</v>
      </c>
      <c r="X23" s="229">
        <v>0</v>
      </c>
      <c r="Y23" s="228">
        <v>78</v>
      </c>
      <c r="Z23" s="228">
        <v>69</v>
      </c>
      <c r="AA23" s="228">
        <v>9</v>
      </c>
      <c r="AB23" s="229">
        <v>6.8999999999999999E-3</v>
      </c>
      <c r="AC23" s="228">
        <v>78</v>
      </c>
      <c r="AD23" s="228">
        <v>69</v>
      </c>
      <c r="AE23" s="228">
        <v>9</v>
      </c>
      <c r="AF23" s="229">
        <v>6.8999999999999999E-3</v>
      </c>
      <c r="AG23" s="228">
        <v>138</v>
      </c>
      <c r="AH23" s="228">
        <v>141</v>
      </c>
      <c r="AI23" s="228">
        <v>-3</v>
      </c>
      <c r="AJ23" s="229">
        <v>1.2200000000000001E-2</v>
      </c>
      <c r="AK23" s="228">
        <v>0</v>
      </c>
      <c r="AL23" s="228">
        <v>172</v>
      </c>
      <c r="AM23" s="228">
        <v>0</v>
      </c>
      <c r="AN23" s="229">
        <v>0</v>
      </c>
      <c r="AO23" s="231">
        <v>11373.53</v>
      </c>
      <c r="AP23" s="231">
        <v>11436</v>
      </c>
      <c r="AQ23" s="228">
        <v>0</v>
      </c>
      <c r="AR23" s="230">
        <v>30550</v>
      </c>
      <c r="AS23" s="230">
        <v>81300</v>
      </c>
      <c r="AT23" s="230">
        <v>-50750</v>
      </c>
      <c r="AU23" s="229">
        <v>-0.62419999999999998</v>
      </c>
      <c r="AV23" s="230">
        <v>30300</v>
      </c>
      <c r="AW23" s="230">
        <v>80950</v>
      </c>
      <c r="AX23" s="230">
        <v>-50650</v>
      </c>
      <c r="AY23" s="229">
        <v>-0.62570000000000003</v>
      </c>
      <c r="AZ23" s="228">
        <v>250</v>
      </c>
      <c r="BA23" s="228">
        <v>250</v>
      </c>
      <c r="BB23" s="228">
        <v>0</v>
      </c>
      <c r="BC23" s="229">
        <v>0</v>
      </c>
      <c r="BD23" s="228">
        <v>0</v>
      </c>
      <c r="BE23" s="228">
        <v>100</v>
      </c>
      <c r="BF23" s="228">
        <v>0</v>
      </c>
      <c r="BG23" s="229">
        <v>0</v>
      </c>
      <c r="BH23" s="230">
        <v>60750</v>
      </c>
      <c r="BI23" s="230">
        <v>160550</v>
      </c>
      <c r="BJ23" s="230">
        <v>-99800</v>
      </c>
      <c r="BK23" s="229">
        <v>-0.62160000000000004</v>
      </c>
      <c r="BL23" s="230">
        <v>11450</v>
      </c>
      <c r="BM23" s="230">
        <v>9700</v>
      </c>
      <c r="BN23" s="230">
        <v>1750</v>
      </c>
      <c r="BO23" s="229">
        <v>0.1804</v>
      </c>
      <c r="BP23" s="230">
        <v>102750</v>
      </c>
      <c r="BQ23" s="230">
        <v>251550</v>
      </c>
      <c r="BR23" s="230">
        <v>-148800</v>
      </c>
      <c r="BS23" s="229">
        <v>-0.59150000000000003</v>
      </c>
      <c r="BT23" s="230">
        <v>39153</v>
      </c>
      <c r="BU23" s="230">
        <v>141755</v>
      </c>
      <c r="BV23" s="230">
        <v>-102602</v>
      </c>
      <c r="BW23" s="229">
        <v>-0.7238</v>
      </c>
      <c r="BX23" s="230">
        <v>61150</v>
      </c>
      <c r="BY23" s="230">
        <v>52400</v>
      </c>
      <c r="BZ23" s="230">
        <v>8750</v>
      </c>
      <c r="CA23" s="229">
        <v>0.16700000000000001</v>
      </c>
      <c r="CB23" s="230">
        <v>60800</v>
      </c>
      <c r="CC23" s="230">
        <v>52200</v>
      </c>
      <c r="CD23" s="230">
        <v>8600</v>
      </c>
      <c r="CE23" s="229">
        <v>0.1648</v>
      </c>
      <c r="CF23" s="228">
        <v>350</v>
      </c>
      <c r="CG23" s="228">
        <v>200</v>
      </c>
      <c r="CH23" s="228">
        <v>150</v>
      </c>
      <c r="CI23" s="229">
        <v>0.75</v>
      </c>
      <c r="CJ23" s="228">
        <v>0</v>
      </c>
      <c r="CK23" s="228">
        <v>0</v>
      </c>
      <c r="CL23" s="228">
        <v>0</v>
      </c>
      <c r="CM23" s="229">
        <v>0</v>
      </c>
      <c r="CN23" s="230">
        <v>39750</v>
      </c>
      <c r="CO23" s="230">
        <v>29350</v>
      </c>
      <c r="CP23" s="230">
        <v>10400</v>
      </c>
      <c r="CQ23" s="229">
        <v>0.3543</v>
      </c>
      <c r="CR23" s="230">
        <v>9750</v>
      </c>
      <c r="CS23" s="230">
        <v>4300</v>
      </c>
      <c r="CT23" s="230">
        <v>5450</v>
      </c>
      <c r="CU23" s="229">
        <v>1.2674000000000001</v>
      </c>
      <c r="CV23" s="230">
        <v>110650</v>
      </c>
      <c r="CW23" s="230">
        <v>86050</v>
      </c>
      <c r="CX23" s="230">
        <v>24600</v>
      </c>
      <c r="CY23" s="229">
        <v>0.28589999999999999</v>
      </c>
      <c r="CZ23" s="228">
        <v>26.8</v>
      </c>
      <c r="DA23" s="228">
        <v>27.7</v>
      </c>
      <c r="DB23" s="228">
        <v>-0.9</v>
      </c>
      <c r="DC23" s="228">
        <v>-0.9</v>
      </c>
      <c r="DD23" s="228">
        <v>39.44</v>
      </c>
      <c r="DE23" s="228">
        <v>39.54</v>
      </c>
      <c r="DF23" s="228">
        <v>-12.64</v>
      </c>
      <c r="DG23" s="228">
        <v>-0.1</v>
      </c>
      <c r="DH23" s="228">
        <v>26.7</v>
      </c>
      <c r="DI23" s="228">
        <v>27.7</v>
      </c>
      <c r="DJ23" s="228">
        <v>-1</v>
      </c>
      <c r="DK23" s="228">
        <v>-1</v>
      </c>
      <c r="DL23" s="228">
        <v>27.33</v>
      </c>
      <c r="DM23" s="228">
        <v>27.66</v>
      </c>
      <c r="DN23" s="228">
        <v>-0.33</v>
      </c>
      <c r="DO23" s="228">
        <v>-0.33</v>
      </c>
      <c r="DP23" s="228">
        <v>0.25</v>
      </c>
      <c r="DQ23" s="228">
        <v>0.15</v>
      </c>
      <c r="DR23" s="228">
        <v>0.1</v>
      </c>
      <c r="DS23" s="229">
        <v>0.66669999999999996</v>
      </c>
      <c r="DT23" s="231">
        <v>11500</v>
      </c>
      <c r="DU23" s="231">
        <v>11000</v>
      </c>
      <c r="DV23" s="228">
        <v>0.19</v>
      </c>
      <c r="DW23" s="228">
        <v>0.06</v>
      </c>
      <c r="DX23" s="228">
        <v>0.13</v>
      </c>
      <c r="DY23" s="229">
        <v>2.1667000000000001</v>
      </c>
      <c r="DZ23" s="229">
        <v>5.7000000000000002E-3</v>
      </c>
      <c r="EA23" s="228">
        <v>200</v>
      </c>
      <c r="EB23" s="229">
        <v>5.3E-3</v>
      </c>
      <c r="EC23" s="229">
        <v>5.7000000000000002E-3</v>
      </c>
      <c r="ED23" s="228">
        <v>62.47</v>
      </c>
      <c r="EE23" s="229">
        <v>5.4999999999999997E-3</v>
      </c>
      <c r="EF23" s="230">
        <v>15029</v>
      </c>
      <c r="EG23" s="230">
        <v>65448</v>
      </c>
      <c r="EH23" s="229">
        <v>-0.77039999999999997</v>
      </c>
      <c r="EI23" s="229">
        <v>0.38390000000000002</v>
      </c>
      <c r="EJ23" s="231">
        <v>7208.7</v>
      </c>
      <c r="EK23" s="231">
        <v>1288.9000000000001</v>
      </c>
      <c r="EL23" s="231">
        <v>3474.77</v>
      </c>
      <c r="EM23" s="231">
        <v>1626</v>
      </c>
      <c r="EN23" s="231">
        <v>11972.37</v>
      </c>
      <c r="EO23" s="231">
        <v>29493.29</v>
      </c>
      <c r="EP23" s="231">
        <v>-17520.919999999998</v>
      </c>
      <c r="EQ23" s="229">
        <v>-0.59409999999999996</v>
      </c>
      <c r="ER23" s="231">
        <v>4627</v>
      </c>
      <c r="ES23" s="231">
        <v>1070</v>
      </c>
      <c r="ET23" s="231">
        <v>6984</v>
      </c>
      <c r="EU23" s="231">
        <v>5401993</v>
      </c>
      <c r="EV23" s="231">
        <v>12680</v>
      </c>
      <c r="EW23" s="231">
        <v>9865</v>
      </c>
      <c r="EX23" s="231">
        <v>2815</v>
      </c>
      <c r="EY23" s="229">
        <v>0.28539999999999999</v>
      </c>
      <c r="EZ23" s="229">
        <v>2.0500000000000001E-2</v>
      </c>
      <c r="FA23" s="227" t="s">
        <v>555</v>
      </c>
      <c r="FB23" s="161">
        <f t="shared" si="0"/>
        <v>350</v>
      </c>
    </row>
    <row r="24" spans="1:158" ht="17.25" hidden="1" thickBot="1" x14ac:dyDescent="0.3">
      <c r="A24" s="226">
        <v>46023</v>
      </c>
      <c r="B24" s="227" t="s">
        <v>175</v>
      </c>
      <c r="C24" s="227" t="s">
        <v>177</v>
      </c>
      <c r="D24" s="228">
        <v>750</v>
      </c>
      <c r="E24" s="228">
        <v>979.9</v>
      </c>
      <c r="F24" s="228">
        <v>993.1</v>
      </c>
      <c r="G24" s="228">
        <v>-13.2</v>
      </c>
      <c r="H24" s="229">
        <v>-1.3299999999999999E-2</v>
      </c>
      <c r="I24" s="228">
        <v>973.1</v>
      </c>
      <c r="J24" s="228">
        <v>986.8</v>
      </c>
      <c r="K24" s="228">
        <v>-13.7</v>
      </c>
      <c r="L24" s="229">
        <v>-1.3899999999999999E-2</v>
      </c>
      <c r="M24" s="228">
        <v>979.9</v>
      </c>
      <c r="N24" s="228">
        <v>993.1</v>
      </c>
      <c r="O24" s="228">
        <v>-13.2</v>
      </c>
      <c r="P24" s="229">
        <v>-1.3299999999999999E-2</v>
      </c>
      <c r="Q24" s="228">
        <v>985.75</v>
      </c>
      <c r="R24" s="228">
        <v>998.7</v>
      </c>
      <c r="S24" s="228">
        <v>-12.95</v>
      </c>
      <c r="T24" s="229">
        <v>-1.2999999999999999E-2</v>
      </c>
      <c r="U24" s="228">
        <v>991.5</v>
      </c>
      <c r="V24" s="231">
        <v>1005</v>
      </c>
      <c r="W24" s="228">
        <v>-13.5</v>
      </c>
      <c r="X24" s="229">
        <v>-1.34E-2</v>
      </c>
      <c r="Y24" s="228">
        <v>6.8</v>
      </c>
      <c r="Z24" s="228">
        <v>6.3</v>
      </c>
      <c r="AA24" s="228">
        <v>0.5</v>
      </c>
      <c r="AB24" s="229">
        <v>7.0000000000000001E-3</v>
      </c>
      <c r="AC24" s="228">
        <v>6.8</v>
      </c>
      <c r="AD24" s="228">
        <v>6.3</v>
      </c>
      <c r="AE24" s="228">
        <v>0.5</v>
      </c>
      <c r="AF24" s="229">
        <v>7.0000000000000001E-3</v>
      </c>
      <c r="AG24" s="228">
        <v>12.65</v>
      </c>
      <c r="AH24" s="228">
        <v>11.9</v>
      </c>
      <c r="AI24" s="228">
        <v>0.75</v>
      </c>
      <c r="AJ24" s="229">
        <v>1.2999999999999999E-2</v>
      </c>
      <c r="AK24" s="228">
        <v>18.399999999999999</v>
      </c>
      <c r="AL24" s="228">
        <v>18.2</v>
      </c>
      <c r="AM24" s="228">
        <v>0.2</v>
      </c>
      <c r="AN24" s="229">
        <v>1.89E-2</v>
      </c>
      <c r="AO24" s="228">
        <v>981.83</v>
      </c>
      <c r="AP24" s="228">
        <v>987.43</v>
      </c>
      <c r="AQ24" s="228">
        <v>0</v>
      </c>
      <c r="AR24" s="230">
        <v>8974500</v>
      </c>
      <c r="AS24" s="230">
        <v>10820250</v>
      </c>
      <c r="AT24" s="230">
        <v>-1845750</v>
      </c>
      <c r="AU24" s="229">
        <v>-0.1706</v>
      </c>
      <c r="AV24" s="230">
        <v>8481000</v>
      </c>
      <c r="AW24" s="230">
        <v>10272750</v>
      </c>
      <c r="AX24" s="230">
        <v>-1791750</v>
      </c>
      <c r="AY24" s="229">
        <v>-0.1744</v>
      </c>
      <c r="AZ24" s="230">
        <v>381750</v>
      </c>
      <c r="BA24" s="230">
        <v>483750</v>
      </c>
      <c r="BB24" s="230">
        <v>-102000</v>
      </c>
      <c r="BC24" s="229">
        <v>-0.2109</v>
      </c>
      <c r="BD24" s="230">
        <v>111750</v>
      </c>
      <c r="BE24" s="230">
        <v>63750</v>
      </c>
      <c r="BF24" s="230">
        <v>48000</v>
      </c>
      <c r="BG24" s="229">
        <v>0.75290000000000001</v>
      </c>
      <c r="BH24" s="230">
        <v>18373500</v>
      </c>
      <c r="BI24" s="230">
        <v>28841250</v>
      </c>
      <c r="BJ24" s="230">
        <v>-10467750</v>
      </c>
      <c r="BK24" s="229">
        <v>-0.3629</v>
      </c>
      <c r="BL24" s="230">
        <v>10418250</v>
      </c>
      <c r="BM24" s="230">
        <v>13877250</v>
      </c>
      <c r="BN24" s="230">
        <v>-3459000</v>
      </c>
      <c r="BO24" s="229">
        <v>-0.24929999999999999</v>
      </c>
      <c r="BP24" s="230">
        <v>37766250</v>
      </c>
      <c r="BQ24" s="230">
        <v>53538750</v>
      </c>
      <c r="BR24" s="230">
        <v>-15772500</v>
      </c>
      <c r="BS24" s="229">
        <v>-0.29459999999999997</v>
      </c>
      <c r="BT24" s="230">
        <v>7493261</v>
      </c>
      <c r="BU24" s="230">
        <v>10337005</v>
      </c>
      <c r="BV24" s="230">
        <v>-2843744</v>
      </c>
      <c r="BW24" s="229">
        <v>-0.27510000000000001</v>
      </c>
      <c r="BX24" s="230">
        <v>93767250</v>
      </c>
      <c r="BY24" s="230">
        <v>91806000</v>
      </c>
      <c r="BZ24" s="230">
        <v>1961250</v>
      </c>
      <c r="CA24" s="229">
        <v>2.1399999999999999E-2</v>
      </c>
      <c r="CB24" s="230">
        <v>92256750</v>
      </c>
      <c r="CC24" s="230">
        <v>90480750</v>
      </c>
      <c r="CD24" s="230">
        <v>1776000</v>
      </c>
      <c r="CE24" s="229">
        <v>1.9599999999999999E-2</v>
      </c>
      <c r="CF24" s="230">
        <v>1389000</v>
      </c>
      <c r="CG24" s="230">
        <v>1289250</v>
      </c>
      <c r="CH24" s="230">
        <v>99750</v>
      </c>
      <c r="CI24" s="229">
        <v>7.7399999999999997E-2</v>
      </c>
      <c r="CJ24" s="230">
        <v>121500</v>
      </c>
      <c r="CK24" s="230">
        <v>36000</v>
      </c>
      <c r="CL24" s="230">
        <v>85500</v>
      </c>
      <c r="CM24" s="229">
        <v>2.375</v>
      </c>
      <c r="CN24" s="230">
        <v>23362500</v>
      </c>
      <c r="CO24" s="230">
        <v>19163250</v>
      </c>
      <c r="CP24" s="230">
        <v>4199250</v>
      </c>
      <c r="CQ24" s="229">
        <v>0.21909999999999999</v>
      </c>
      <c r="CR24" s="230">
        <v>16544250</v>
      </c>
      <c r="CS24" s="230">
        <v>14161500</v>
      </c>
      <c r="CT24" s="230">
        <v>2382750</v>
      </c>
      <c r="CU24" s="229">
        <v>0.16830000000000001</v>
      </c>
      <c r="CV24" s="230">
        <v>133674000</v>
      </c>
      <c r="CW24" s="230">
        <v>125130750</v>
      </c>
      <c r="CX24" s="230">
        <v>8543250</v>
      </c>
      <c r="CY24" s="229">
        <v>6.83E-2</v>
      </c>
      <c r="CZ24" s="228">
        <v>24.9</v>
      </c>
      <c r="DA24" s="228">
        <v>24.82</v>
      </c>
      <c r="DB24" s="228">
        <v>0.08</v>
      </c>
      <c r="DC24" s="228">
        <v>0.08</v>
      </c>
      <c r="DD24" s="228">
        <v>30.96</v>
      </c>
      <c r="DE24" s="228">
        <v>30.98</v>
      </c>
      <c r="DF24" s="228">
        <v>-6.06</v>
      </c>
      <c r="DG24" s="228">
        <v>-0.02</v>
      </c>
      <c r="DH24" s="228">
        <v>24.98</v>
      </c>
      <c r="DI24" s="228">
        <v>24.77</v>
      </c>
      <c r="DJ24" s="228">
        <v>0.21</v>
      </c>
      <c r="DK24" s="228">
        <v>0.21</v>
      </c>
      <c r="DL24" s="228">
        <v>24.78</v>
      </c>
      <c r="DM24" s="228">
        <v>24.92</v>
      </c>
      <c r="DN24" s="228">
        <v>-0.14000000000000001</v>
      </c>
      <c r="DO24" s="228">
        <v>-0.14000000000000001</v>
      </c>
      <c r="DP24" s="228">
        <v>0.71</v>
      </c>
      <c r="DQ24" s="228">
        <v>0.74</v>
      </c>
      <c r="DR24" s="228">
        <v>-0.03</v>
      </c>
      <c r="DS24" s="229">
        <v>-4.0500000000000001E-2</v>
      </c>
      <c r="DT24" s="231">
        <v>1000</v>
      </c>
      <c r="DU24" s="231">
        <v>1000</v>
      </c>
      <c r="DV24" s="228">
        <v>0.56999999999999995</v>
      </c>
      <c r="DW24" s="228">
        <v>0.48</v>
      </c>
      <c r="DX24" s="228">
        <v>0.09</v>
      </c>
      <c r="DY24" s="229">
        <v>0.1875</v>
      </c>
      <c r="DZ24" s="229">
        <v>1.61E-2</v>
      </c>
      <c r="EA24" s="230">
        <v>1325250</v>
      </c>
      <c r="EB24" s="229">
        <v>6.0000000000000001E-3</v>
      </c>
      <c r="EC24" s="229">
        <v>1.61E-2</v>
      </c>
      <c r="ED24" s="228">
        <v>5.6</v>
      </c>
      <c r="EE24" s="229">
        <v>5.7000000000000002E-3</v>
      </c>
      <c r="EF24" s="230">
        <v>4983297</v>
      </c>
      <c r="EG24" s="230">
        <v>7511680</v>
      </c>
      <c r="EH24" s="229">
        <v>-0.33660000000000001</v>
      </c>
      <c r="EI24" s="229">
        <v>0.66500000000000004</v>
      </c>
      <c r="EJ24" s="231">
        <v>189783.14</v>
      </c>
      <c r="EK24" s="231">
        <v>100752.23</v>
      </c>
      <c r="EL24" s="231">
        <v>88150.54</v>
      </c>
      <c r="EM24" s="231">
        <v>36338</v>
      </c>
      <c r="EN24" s="231">
        <v>378685.91</v>
      </c>
      <c r="EO24" s="231">
        <v>543704.31999999995</v>
      </c>
      <c r="EP24" s="231">
        <v>-165018.41</v>
      </c>
      <c r="EQ24" s="229">
        <v>-0.30349999999999999</v>
      </c>
      <c r="ER24" s="231">
        <v>241136</v>
      </c>
      <c r="ES24" s="231">
        <v>162717</v>
      </c>
      <c r="ET24" s="231">
        <v>918921</v>
      </c>
      <c r="EU24" s="231">
        <v>317526833</v>
      </c>
      <c r="EV24" s="231">
        <v>1322773</v>
      </c>
      <c r="EW24" s="231">
        <v>1250969</v>
      </c>
      <c r="EX24" s="231">
        <v>71804</v>
      </c>
      <c r="EY24" s="229">
        <v>5.74E-2</v>
      </c>
      <c r="EZ24" s="229">
        <v>0.42099999999999999</v>
      </c>
      <c r="FA24" s="227" t="s">
        <v>567</v>
      </c>
      <c r="FB24" s="161">
        <f t="shared" si="0"/>
        <v>1510500</v>
      </c>
    </row>
    <row r="25" spans="1:158" ht="17.25" hidden="1" thickBot="1" x14ac:dyDescent="0.3">
      <c r="A25" s="226">
        <v>46023</v>
      </c>
      <c r="B25" s="227" t="s">
        <v>172</v>
      </c>
      <c r="C25" s="227" t="s">
        <v>179</v>
      </c>
      <c r="D25" s="228">
        <v>3600</v>
      </c>
      <c r="E25" s="228">
        <v>145.15</v>
      </c>
      <c r="F25" s="228">
        <v>146.72999999999999</v>
      </c>
      <c r="G25" s="228">
        <v>-1.58</v>
      </c>
      <c r="H25" s="229">
        <v>-1.0800000000000001E-2</v>
      </c>
      <c r="I25" s="228">
        <v>144.18</v>
      </c>
      <c r="J25" s="228">
        <v>145.82</v>
      </c>
      <c r="K25" s="228">
        <v>-1.64</v>
      </c>
      <c r="L25" s="229">
        <v>-1.12E-2</v>
      </c>
      <c r="M25" s="228">
        <v>145.15</v>
      </c>
      <c r="N25" s="228">
        <v>146.72999999999999</v>
      </c>
      <c r="O25" s="228">
        <v>-1.58</v>
      </c>
      <c r="P25" s="229">
        <v>-1.0800000000000001E-2</v>
      </c>
      <c r="Q25" s="228">
        <v>145.97999999999999</v>
      </c>
      <c r="R25" s="228">
        <v>147.61000000000001</v>
      </c>
      <c r="S25" s="228">
        <v>-1.63</v>
      </c>
      <c r="T25" s="229">
        <v>-1.0999999999999999E-2</v>
      </c>
      <c r="U25" s="228">
        <v>146.94</v>
      </c>
      <c r="V25" s="228">
        <v>148.68</v>
      </c>
      <c r="W25" s="228">
        <v>-1.74</v>
      </c>
      <c r="X25" s="229">
        <v>-1.17E-2</v>
      </c>
      <c r="Y25" s="228">
        <v>0.97</v>
      </c>
      <c r="Z25" s="228">
        <v>0.91</v>
      </c>
      <c r="AA25" s="228">
        <v>0.06</v>
      </c>
      <c r="AB25" s="229">
        <v>6.7000000000000002E-3</v>
      </c>
      <c r="AC25" s="228">
        <v>0.97</v>
      </c>
      <c r="AD25" s="228">
        <v>0.91</v>
      </c>
      <c r="AE25" s="228">
        <v>0.06</v>
      </c>
      <c r="AF25" s="229">
        <v>6.7000000000000002E-3</v>
      </c>
      <c r="AG25" s="228">
        <v>1.8</v>
      </c>
      <c r="AH25" s="228">
        <v>1.79</v>
      </c>
      <c r="AI25" s="228">
        <v>0.01</v>
      </c>
      <c r="AJ25" s="229">
        <v>1.2500000000000001E-2</v>
      </c>
      <c r="AK25" s="228">
        <v>2.76</v>
      </c>
      <c r="AL25" s="228">
        <v>2.86</v>
      </c>
      <c r="AM25" s="228">
        <v>-0.1</v>
      </c>
      <c r="AN25" s="229">
        <v>1.9099999999999999E-2</v>
      </c>
      <c r="AO25" s="228">
        <v>145.5</v>
      </c>
      <c r="AP25" s="228">
        <v>146.18</v>
      </c>
      <c r="AQ25" s="228">
        <v>0</v>
      </c>
      <c r="AR25" s="230">
        <v>8028000</v>
      </c>
      <c r="AS25" s="230">
        <v>10267200</v>
      </c>
      <c r="AT25" s="230">
        <v>-2239200</v>
      </c>
      <c r="AU25" s="229">
        <v>-0.21809999999999999</v>
      </c>
      <c r="AV25" s="230">
        <v>7095600</v>
      </c>
      <c r="AW25" s="230">
        <v>8852400</v>
      </c>
      <c r="AX25" s="230">
        <v>-1756800</v>
      </c>
      <c r="AY25" s="229">
        <v>-0.19850000000000001</v>
      </c>
      <c r="AZ25" s="230">
        <v>810000</v>
      </c>
      <c r="BA25" s="230">
        <v>1278000</v>
      </c>
      <c r="BB25" s="230">
        <v>-468000</v>
      </c>
      <c r="BC25" s="229">
        <v>-0.36620000000000003</v>
      </c>
      <c r="BD25" s="230">
        <v>122400</v>
      </c>
      <c r="BE25" s="230">
        <v>136800</v>
      </c>
      <c r="BF25" s="230">
        <v>-14400</v>
      </c>
      <c r="BG25" s="229">
        <v>-0.1053</v>
      </c>
      <c r="BH25" s="230">
        <v>13636800</v>
      </c>
      <c r="BI25" s="230">
        <v>14817600</v>
      </c>
      <c r="BJ25" s="230">
        <v>-1180800</v>
      </c>
      <c r="BK25" s="229">
        <v>-7.9699999999999993E-2</v>
      </c>
      <c r="BL25" s="230">
        <v>5734800</v>
      </c>
      <c r="BM25" s="230">
        <v>7329600</v>
      </c>
      <c r="BN25" s="230">
        <v>-1594800</v>
      </c>
      <c r="BO25" s="229">
        <v>-0.21759999999999999</v>
      </c>
      <c r="BP25" s="230">
        <v>27399600</v>
      </c>
      <c r="BQ25" s="230">
        <v>32414400</v>
      </c>
      <c r="BR25" s="230">
        <v>-5014800</v>
      </c>
      <c r="BS25" s="229">
        <v>-0.1547</v>
      </c>
      <c r="BT25" s="230">
        <v>4407591</v>
      </c>
      <c r="BU25" s="230">
        <v>3895983</v>
      </c>
      <c r="BV25" s="230">
        <v>511608</v>
      </c>
      <c r="BW25" s="229">
        <v>0.1313</v>
      </c>
      <c r="BX25" s="230">
        <v>119660400</v>
      </c>
      <c r="BY25" s="230">
        <v>118490400</v>
      </c>
      <c r="BZ25" s="230">
        <v>1170000</v>
      </c>
      <c r="CA25" s="229">
        <v>9.9000000000000008E-3</v>
      </c>
      <c r="CB25" s="230">
        <v>113994000</v>
      </c>
      <c r="CC25" s="230">
        <v>113418000</v>
      </c>
      <c r="CD25" s="230">
        <v>576000</v>
      </c>
      <c r="CE25" s="229">
        <v>5.1000000000000004E-3</v>
      </c>
      <c r="CF25" s="230">
        <v>5425200</v>
      </c>
      <c r="CG25" s="230">
        <v>4953600</v>
      </c>
      <c r="CH25" s="230">
        <v>471600</v>
      </c>
      <c r="CI25" s="229">
        <v>9.5200000000000007E-2</v>
      </c>
      <c r="CJ25" s="230">
        <v>241200</v>
      </c>
      <c r="CK25" s="230">
        <v>118800</v>
      </c>
      <c r="CL25" s="230">
        <v>122400</v>
      </c>
      <c r="CM25" s="229">
        <v>1.0303</v>
      </c>
      <c r="CN25" s="230">
        <v>23248800</v>
      </c>
      <c r="CO25" s="230">
        <v>21358800</v>
      </c>
      <c r="CP25" s="230">
        <v>1890000</v>
      </c>
      <c r="CQ25" s="229">
        <v>8.8499999999999995E-2</v>
      </c>
      <c r="CR25" s="230">
        <v>24811200</v>
      </c>
      <c r="CS25" s="230">
        <v>23158800</v>
      </c>
      <c r="CT25" s="230">
        <v>1652400</v>
      </c>
      <c r="CU25" s="229">
        <v>7.1400000000000005E-2</v>
      </c>
      <c r="CV25" s="230">
        <v>167720400</v>
      </c>
      <c r="CW25" s="230">
        <v>163008000</v>
      </c>
      <c r="CX25" s="230">
        <v>4712400</v>
      </c>
      <c r="CY25" s="229">
        <v>2.8899999999999999E-2</v>
      </c>
      <c r="CZ25" s="228">
        <v>30.28</v>
      </c>
      <c r="DA25" s="228">
        <v>29.89</v>
      </c>
      <c r="DB25" s="228">
        <v>0.39</v>
      </c>
      <c r="DC25" s="228">
        <v>0.39</v>
      </c>
      <c r="DD25" s="228">
        <v>41.52</v>
      </c>
      <c r="DE25" s="228">
        <v>41.6</v>
      </c>
      <c r="DF25" s="228">
        <v>-11.24</v>
      </c>
      <c r="DG25" s="228">
        <v>-0.08</v>
      </c>
      <c r="DH25" s="228">
        <v>30.28</v>
      </c>
      <c r="DI25" s="228">
        <v>29.65</v>
      </c>
      <c r="DJ25" s="228">
        <v>0.63</v>
      </c>
      <c r="DK25" s="228">
        <v>0.63</v>
      </c>
      <c r="DL25" s="228">
        <v>30.28</v>
      </c>
      <c r="DM25" s="228">
        <v>30.36</v>
      </c>
      <c r="DN25" s="228">
        <v>-0.08</v>
      </c>
      <c r="DO25" s="228">
        <v>-0.08</v>
      </c>
      <c r="DP25" s="228">
        <v>1.07</v>
      </c>
      <c r="DQ25" s="228">
        <v>1.08</v>
      </c>
      <c r="DR25" s="228">
        <v>-0.01</v>
      </c>
      <c r="DS25" s="229">
        <v>-9.2999999999999992E-3</v>
      </c>
      <c r="DT25" s="228">
        <v>150</v>
      </c>
      <c r="DU25" s="228">
        <v>150</v>
      </c>
      <c r="DV25" s="228">
        <v>0.42</v>
      </c>
      <c r="DW25" s="228">
        <v>0.49</v>
      </c>
      <c r="DX25" s="228">
        <v>-7.0000000000000007E-2</v>
      </c>
      <c r="DY25" s="229">
        <v>-0.1429</v>
      </c>
      <c r="DZ25" s="229">
        <v>4.7399999999999998E-2</v>
      </c>
      <c r="EA25" s="230">
        <v>5072400</v>
      </c>
      <c r="EB25" s="229">
        <v>5.7000000000000002E-3</v>
      </c>
      <c r="EC25" s="229">
        <v>4.7399999999999998E-2</v>
      </c>
      <c r="ED25" s="228">
        <v>0.68</v>
      </c>
      <c r="EE25" s="229">
        <v>4.7000000000000002E-3</v>
      </c>
      <c r="EF25" s="230">
        <v>1539086</v>
      </c>
      <c r="EG25" s="230">
        <v>1363408</v>
      </c>
      <c r="EH25" s="229">
        <v>0.12889999999999999</v>
      </c>
      <c r="EI25" s="229">
        <v>0.34920000000000001</v>
      </c>
      <c r="EJ25" s="231">
        <v>21141.54</v>
      </c>
      <c r="EK25" s="231">
        <v>8369.7099999999991</v>
      </c>
      <c r="EL25" s="231">
        <v>11688.29</v>
      </c>
      <c r="EM25" s="231">
        <v>12701</v>
      </c>
      <c r="EN25" s="231">
        <v>41199.54</v>
      </c>
      <c r="EO25" s="231">
        <v>48783.23</v>
      </c>
      <c r="EP25" s="231">
        <v>-7583.69</v>
      </c>
      <c r="EQ25" s="229">
        <v>-0.1555</v>
      </c>
      <c r="ER25" s="231">
        <v>35821</v>
      </c>
      <c r="ES25" s="231">
        <v>36582</v>
      </c>
      <c r="ET25" s="231">
        <v>173736</v>
      </c>
      <c r="EU25" s="231">
        <v>144289555</v>
      </c>
      <c r="EV25" s="231">
        <v>246140</v>
      </c>
      <c r="EW25" s="231">
        <v>241205</v>
      </c>
      <c r="EX25" s="231">
        <v>4935</v>
      </c>
      <c r="EY25" s="229">
        <v>2.0500000000000001E-2</v>
      </c>
      <c r="EZ25" s="229">
        <v>1.1624000000000001</v>
      </c>
      <c r="FA25" s="227" t="s">
        <v>567</v>
      </c>
      <c r="FB25" s="161">
        <f t="shared" si="0"/>
        <v>5666400</v>
      </c>
    </row>
    <row r="26" spans="1:158" ht="17.25" hidden="1" thickBot="1" x14ac:dyDescent="0.3">
      <c r="A26" s="226">
        <v>46023</v>
      </c>
      <c r="B26" s="227" t="s">
        <v>172</v>
      </c>
      <c r="C26" s="227" t="s">
        <v>180</v>
      </c>
      <c r="D26" s="228">
        <v>2925</v>
      </c>
      <c r="E26" s="228">
        <v>302.85000000000002</v>
      </c>
      <c r="F26" s="228">
        <v>297.85000000000002</v>
      </c>
      <c r="G26" s="228">
        <v>5</v>
      </c>
      <c r="H26" s="229">
        <v>1.6799999999999999E-2</v>
      </c>
      <c r="I26" s="228">
        <v>300.75</v>
      </c>
      <c r="J26" s="228">
        <v>295.89999999999998</v>
      </c>
      <c r="K26" s="228">
        <v>4.8499999999999996</v>
      </c>
      <c r="L26" s="229">
        <v>1.6400000000000001E-2</v>
      </c>
      <c r="M26" s="228">
        <v>302.85000000000002</v>
      </c>
      <c r="N26" s="228">
        <v>297.85000000000002</v>
      </c>
      <c r="O26" s="228">
        <v>5</v>
      </c>
      <c r="P26" s="229">
        <v>1.6799999999999999E-2</v>
      </c>
      <c r="Q26" s="228">
        <v>304.85000000000002</v>
      </c>
      <c r="R26" s="228">
        <v>299.60000000000002</v>
      </c>
      <c r="S26" s="228">
        <v>5.25</v>
      </c>
      <c r="T26" s="229">
        <v>1.7500000000000002E-2</v>
      </c>
      <c r="U26" s="228">
        <v>306.05</v>
      </c>
      <c r="V26" s="228">
        <v>302</v>
      </c>
      <c r="W26" s="228">
        <v>4.05</v>
      </c>
      <c r="X26" s="229">
        <v>1.34E-2</v>
      </c>
      <c r="Y26" s="228">
        <v>2.1</v>
      </c>
      <c r="Z26" s="228">
        <v>1.95</v>
      </c>
      <c r="AA26" s="228">
        <v>0.15</v>
      </c>
      <c r="AB26" s="229">
        <v>7.0000000000000001E-3</v>
      </c>
      <c r="AC26" s="228">
        <v>2.1</v>
      </c>
      <c r="AD26" s="228">
        <v>1.95</v>
      </c>
      <c r="AE26" s="228">
        <v>0.15</v>
      </c>
      <c r="AF26" s="229">
        <v>7.0000000000000001E-3</v>
      </c>
      <c r="AG26" s="228">
        <v>4.0999999999999996</v>
      </c>
      <c r="AH26" s="228">
        <v>3.7</v>
      </c>
      <c r="AI26" s="228">
        <v>0.4</v>
      </c>
      <c r="AJ26" s="229">
        <v>1.3599999999999999E-2</v>
      </c>
      <c r="AK26" s="228">
        <v>5.3</v>
      </c>
      <c r="AL26" s="228">
        <v>6.1</v>
      </c>
      <c r="AM26" s="228">
        <v>-0.8</v>
      </c>
      <c r="AN26" s="229">
        <v>1.7600000000000001E-2</v>
      </c>
      <c r="AO26" s="228">
        <v>301.76</v>
      </c>
      <c r="AP26" s="228">
        <v>303.70999999999998</v>
      </c>
      <c r="AQ26" s="228">
        <v>0</v>
      </c>
      <c r="AR26" s="230">
        <v>18658575</v>
      </c>
      <c r="AS26" s="230">
        <v>23379525</v>
      </c>
      <c r="AT26" s="230">
        <v>-4720950</v>
      </c>
      <c r="AU26" s="229">
        <v>-0.2019</v>
      </c>
      <c r="AV26" s="230">
        <v>17936100</v>
      </c>
      <c r="AW26" s="230">
        <v>21805875</v>
      </c>
      <c r="AX26" s="230">
        <v>-3869775</v>
      </c>
      <c r="AY26" s="229">
        <v>-0.17749999999999999</v>
      </c>
      <c r="AZ26" s="230">
        <v>681525</v>
      </c>
      <c r="BA26" s="230">
        <v>1521000</v>
      </c>
      <c r="BB26" s="230">
        <v>-839475</v>
      </c>
      <c r="BC26" s="229">
        <v>-0.55189999999999995</v>
      </c>
      <c r="BD26" s="230">
        <v>40950</v>
      </c>
      <c r="BE26" s="230">
        <v>52650</v>
      </c>
      <c r="BF26" s="230">
        <v>-11700</v>
      </c>
      <c r="BG26" s="229">
        <v>-0.22220000000000001</v>
      </c>
      <c r="BH26" s="230">
        <v>68722875</v>
      </c>
      <c r="BI26" s="230">
        <v>51193350</v>
      </c>
      <c r="BJ26" s="230">
        <v>17529525</v>
      </c>
      <c r="BK26" s="229">
        <v>0.34239999999999998</v>
      </c>
      <c r="BL26" s="230">
        <v>33362550</v>
      </c>
      <c r="BM26" s="230">
        <v>30490200</v>
      </c>
      <c r="BN26" s="230">
        <v>2872350</v>
      </c>
      <c r="BO26" s="229">
        <v>9.4200000000000006E-2</v>
      </c>
      <c r="BP26" s="230">
        <v>120744000</v>
      </c>
      <c r="BQ26" s="230">
        <v>105063075</v>
      </c>
      <c r="BR26" s="230">
        <v>15680925</v>
      </c>
      <c r="BS26" s="229">
        <v>0.14929999999999999</v>
      </c>
      <c r="BT26" s="230">
        <v>9196249</v>
      </c>
      <c r="BU26" s="230">
        <v>8497883</v>
      </c>
      <c r="BV26" s="230">
        <v>698366</v>
      </c>
      <c r="BW26" s="229">
        <v>8.2199999999999995E-2</v>
      </c>
      <c r="BX26" s="230">
        <v>83263050</v>
      </c>
      <c r="BY26" s="230">
        <v>81560700</v>
      </c>
      <c r="BZ26" s="230">
        <v>1702350</v>
      </c>
      <c r="CA26" s="229">
        <v>2.0899999999999998E-2</v>
      </c>
      <c r="CB26" s="230">
        <v>81777150</v>
      </c>
      <c r="CC26" s="230">
        <v>80133300</v>
      </c>
      <c r="CD26" s="230">
        <v>1643850</v>
      </c>
      <c r="CE26" s="229">
        <v>2.0500000000000001E-2</v>
      </c>
      <c r="CF26" s="230">
        <v>1444950</v>
      </c>
      <c r="CG26" s="230">
        <v>1386450</v>
      </c>
      <c r="CH26" s="230">
        <v>58500</v>
      </c>
      <c r="CI26" s="229">
        <v>4.2200000000000001E-2</v>
      </c>
      <c r="CJ26" s="230">
        <v>40950</v>
      </c>
      <c r="CK26" s="230">
        <v>40950</v>
      </c>
      <c r="CL26" s="228">
        <v>0</v>
      </c>
      <c r="CM26" s="229">
        <v>0</v>
      </c>
      <c r="CN26" s="230">
        <v>26980200</v>
      </c>
      <c r="CO26" s="230">
        <v>19790550</v>
      </c>
      <c r="CP26" s="230">
        <v>7189650</v>
      </c>
      <c r="CQ26" s="229">
        <v>0.36330000000000001</v>
      </c>
      <c r="CR26" s="230">
        <v>24502725</v>
      </c>
      <c r="CS26" s="230">
        <v>21563100</v>
      </c>
      <c r="CT26" s="230">
        <v>2939625</v>
      </c>
      <c r="CU26" s="229">
        <v>0.1363</v>
      </c>
      <c r="CV26" s="230">
        <v>134745975</v>
      </c>
      <c r="CW26" s="230">
        <v>122914350</v>
      </c>
      <c r="CX26" s="230">
        <v>11831625</v>
      </c>
      <c r="CY26" s="229">
        <v>9.6299999999999997E-2</v>
      </c>
      <c r="CZ26" s="228">
        <v>23.01</v>
      </c>
      <c r="DA26" s="228">
        <v>21.54</v>
      </c>
      <c r="DB26" s="228">
        <v>1.47</v>
      </c>
      <c r="DC26" s="228">
        <v>1.47</v>
      </c>
      <c r="DD26" s="228">
        <v>33.479999999999997</v>
      </c>
      <c r="DE26" s="228">
        <v>33.49</v>
      </c>
      <c r="DF26" s="228">
        <v>-10.47</v>
      </c>
      <c r="DG26" s="228">
        <v>-0.01</v>
      </c>
      <c r="DH26" s="228">
        <v>22.71</v>
      </c>
      <c r="DI26" s="228">
        <v>21.35</v>
      </c>
      <c r="DJ26" s="228">
        <v>1.36</v>
      </c>
      <c r="DK26" s="228">
        <v>1.36</v>
      </c>
      <c r="DL26" s="228">
        <v>23.64</v>
      </c>
      <c r="DM26" s="228">
        <v>21.86</v>
      </c>
      <c r="DN26" s="228">
        <v>1.78</v>
      </c>
      <c r="DO26" s="228">
        <v>1.78</v>
      </c>
      <c r="DP26" s="228">
        <v>0.91</v>
      </c>
      <c r="DQ26" s="228">
        <v>1.0900000000000001</v>
      </c>
      <c r="DR26" s="228">
        <v>-0.18</v>
      </c>
      <c r="DS26" s="229">
        <v>-0.1651</v>
      </c>
      <c r="DT26" s="228">
        <v>305</v>
      </c>
      <c r="DU26" s="228">
        <v>300</v>
      </c>
      <c r="DV26" s="228">
        <v>0.49</v>
      </c>
      <c r="DW26" s="228">
        <v>0.6</v>
      </c>
      <c r="DX26" s="228">
        <v>-0.11</v>
      </c>
      <c r="DY26" s="229">
        <v>-0.18329999999999999</v>
      </c>
      <c r="DZ26" s="229">
        <v>1.78E-2</v>
      </c>
      <c r="EA26" s="230">
        <v>1427400</v>
      </c>
      <c r="EB26" s="229">
        <v>6.6E-3</v>
      </c>
      <c r="EC26" s="229">
        <v>1.78E-2</v>
      </c>
      <c r="ED26" s="228">
        <v>1.95</v>
      </c>
      <c r="EE26" s="229">
        <v>6.4999999999999997E-3</v>
      </c>
      <c r="EF26" s="230">
        <v>3773501</v>
      </c>
      <c r="EG26" s="230">
        <v>3898050</v>
      </c>
      <c r="EH26" s="229">
        <v>-3.2000000000000001E-2</v>
      </c>
      <c r="EI26" s="229">
        <v>0.4103</v>
      </c>
      <c r="EJ26" s="231">
        <v>215051.18</v>
      </c>
      <c r="EK26" s="231">
        <v>99610.26</v>
      </c>
      <c r="EL26" s="231">
        <v>56319.199999999997</v>
      </c>
      <c r="EM26" s="231">
        <v>12683</v>
      </c>
      <c r="EN26" s="231">
        <v>370980.64</v>
      </c>
      <c r="EO26" s="231">
        <v>316790.96999999997</v>
      </c>
      <c r="EP26" s="231">
        <v>54189.67</v>
      </c>
      <c r="EQ26" s="229">
        <v>0.1711</v>
      </c>
      <c r="ER26" s="231">
        <v>81384</v>
      </c>
      <c r="ES26" s="231">
        <v>70418</v>
      </c>
      <c r="ET26" s="231">
        <v>252192</v>
      </c>
      <c r="EU26" s="231">
        <v>279476623</v>
      </c>
      <c r="EV26" s="231">
        <v>403995</v>
      </c>
      <c r="EW26" s="231">
        <v>363545</v>
      </c>
      <c r="EX26" s="231">
        <v>40450</v>
      </c>
      <c r="EY26" s="229">
        <v>0.1113</v>
      </c>
      <c r="EZ26" s="229">
        <v>0.48209999999999997</v>
      </c>
      <c r="FA26" s="227" t="s">
        <v>555</v>
      </c>
      <c r="FB26" s="161">
        <f t="shared" si="0"/>
        <v>1485900</v>
      </c>
    </row>
    <row r="27" spans="1:158" ht="17.25" hidden="1" thickBot="1" x14ac:dyDescent="0.3">
      <c r="A27" s="226">
        <v>46023</v>
      </c>
      <c r="B27" s="227" t="s">
        <v>172</v>
      </c>
      <c r="C27" s="227" t="s">
        <v>602</v>
      </c>
      <c r="D27" s="228">
        <v>5200</v>
      </c>
      <c r="E27" s="228">
        <v>147.97999999999999</v>
      </c>
      <c r="F27" s="228">
        <v>144.6</v>
      </c>
      <c r="G27" s="228">
        <v>3.38</v>
      </c>
      <c r="H27" s="229">
        <v>2.3400000000000001E-2</v>
      </c>
      <c r="I27" s="228">
        <v>146.99</v>
      </c>
      <c r="J27" s="228">
        <v>143.85</v>
      </c>
      <c r="K27" s="228">
        <v>3.14</v>
      </c>
      <c r="L27" s="229">
        <v>2.18E-2</v>
      </c>
      <c r="M27" s="228">
        <v>147.97999999999999</v>
      </c>
      <c r="N27" s="228">
        <v>144.6</v>
      </c>
      <c r="O27" s="228">
        <v>3.38</v>
      </c>
      <c r="P27" s="229">
        <v>2.3400000000000001E-2</v>
      </c>
      <c r="Q27" s="228">
        <v>148.94999999999999</v>
      </c>
      <c r="R27" s="228">
        <v>145.47</v>
      </c>
      <c r="S27" s="228">
        <v>3.48</v>
      </c>
      <c r="T27" s="229">
        <v>2.3900000000000001E-2</v>
      </c>
      <c r="U27" s="228">
        <v>150</v>
      </c>
      <c r="V27" s="228">
        <v>146.13999999999999</v>
      </c>
      <c r="W27" s="228">
        <v>3.86</v>
      </c>
      <c r="X27" s="229">
        <v>2.64E-2</v>
      </c>
      <c r="Y27" s="228">
        <v>0.99</v>
      </c>
      <c r="Z27" s="228">
        <v>0.75</v>
      </c>
      <c r="AA27" s="228">
        <v>0.24</v>
      </c>
      <c r="AB27" s="229">
        <v>6.7000000000000002E-3</v>
      </c>
      <c r="AC27" s="228">
        <v>0.99</v>
      </c>
      <c r="AD27" s="228">
        <v>0.75</v>
      </c>
      <c r="AE27" s="228">
        <v>0.24</v>
      </c>
      <c r="AF27" s="229">
        <v>6.7000000000000002E-3</v>
      </c>
      <c r="AG27" s="228">
        <v>1.96</v>
      </c>
      <c r="AH27" s="228">
        <v>1.62</v>
      </c>
      <c r="AI27" s="228">
        <v>0.34</v>
      </c>
      <c r="AJ27" s="229">
        <v>1.3299999999999999E-2</v>
      </c>
      <c r="AK27" s="228">
        <v>3.01</v>
      </c>
      <c r="AL27" s="228">
        <v>2.29</v>
      </c>
      <c r="AM27" s="228">
        <v>0.72</v>
      </c>
      <c r="AN27" s="229">
        <v>2.0500000000000001E-2</v>
      </c>
      <c r="AO27" s="228">
        <v>146.68</v>
      </c>
      <c r="AP27" s="228">
        <v>147.47</v>
      </c>
      <c r="AQ27" s="228">
        <v>0</v>
      </c>
      <c r="AR27" s="230">
        <v>10467600</v>
      </c>
      <c r="AS27" s="230">
        <v>14326000</v>
      </c>
      <c r="AT27" s="230">
        <v>-3858400</v>
      </c>
      <c r="AU27" s="229">
        <v>-0.26929999999999998</v>
      </c>
      <c r="AV27" s="230">
        <v>9937200</v>
      </c>
      <c r="AW27" s="230">
        <v>13780000</v>
      </c>
      <c r="AX27" s="230">
        <v>-3842800</v>
      </c>
      <c r="AY27" s="229">
        <v>-0.27889999999999998</v>
      </c>
      <c r="AZ27" s="230">
        <v>473200</v>
      </c>
      <c r="BA27" s="230">
        <v>478400</v>
      </c>
      <c r="BB27" s="230">
        <v>-5200</v>
      </c>
      <c r="BC27" s="229">
        <v>-1.09E-2</v>
      </c>
      <c r="BD27" s="230">
        <v>57200</v>
      </c>
      <c r="BE27" s="230">
        <v>67600</v>
      </c>
      <c r="BF27" s="230">
        <v>-10400</v>
      </c>
      <c r="BG27" s="229">
        <v>-0.15379999999999999</v>
      </c>
      <c r="BH27" s="230">
        <v>14201200</v>
      </c>
      <c r="BI27" s="230">
        <v>15953600</v>
      </c>
      <c r="BJ27" s="230">
        <v>-1752400</v>
      </c>
      <c r="BK27" s="229">
        <v>-0.10979999999999999</v>
      </c>
      <c r="BL27" s="230">
        <v>7779200</v>
      </c>
      <c r="BM27" s="230">
        <v>7800000</v>
      </c>
      <c r="BN27" s="230">
        <v>-20800</v>
      </c>
      <c r="BO27" s="229">
        <v>-2.7000000000000001E-3</v>
      </c>
      <c r="BP27" s="230">
        <v>32448000</v>
      </c>
      <c r="BQ27" s="230">
        <v>38079600</v>
      </c>
      <c r="BR27" s="230">
        <v>-5631600</v>
      </c>
      <c r="BS27" s="229">
        <v>-0.1479</v>
      </c>
      <c r="BT27" s="230">
        <v>7743888</v>
      </c>
      <c r="BU27" s="230">
        <v>9557088</v>
      </c>
      <c r="BV27" s="230">
        <v>-1813200</v>
      </c>
      <c r="BW27" s="229">
        <v>-0.18970000000000001</v>
      </c>
      <c r="BX27" s="230">
        <v>52202800</v>
      </c>
      <c r="BY27" s="230">
        <v>52894400</v>
      </c>
      <c r="BZ27" s="230">
        <v>-691600</v>
      </c>
      <c r="CA27" s="229">
        <v>-1.3100000000000001E-2</v>
      </c>
      <c r="CB27" s="230">
        <v>51272000</v>
      </c>
      <c r="CC27" s="230">
        <v>52124800</v>
      </c>
      <c r="CD27" s="230">
        <v>-852800</v>
      </c>
      <c r="CE27" s="229">
        <v>-1.6400000000000001E-2</v>
      </c>
      <c r="CF27" s="230">
        <v>884000</v>
      </c>
      <c r="CG27" s="230">
        <v>743600</v>
      </c>
      <c r="CH27" s="230">
        <v>140400</v>
      </c>
      <c r="CI27" s="229">
        <v>0.1888</v>
      </c>
      <c r="CJ27" s="230">
        <v>46800</v>
      </c>
      <c r="CK27" s="230">
        <v>26000</v>
      </c>
      <c r="CL27" s="230">
        <v>20800</v>
      </c>
      <c r="CM27" s="229">
        <v>0.8</v>
      </c>
      <c r="CN27" s="230">
        <v>8918000</v>
      </c>
      <c r="CO27" s="230">
        <v>8876400</v>
      </c>
      <c r="CP27" s="230">
        <v>41600</v>
      </c>
      <c r="CQ27" s="229">
        <v>4.7000000000000002E-3</v>
      </c>
      <c r="CR27" s="230">
        <v>10836800</v>
      </c>
      <c r="CS27" s="230">
        <v>9370400</v>
      </c>
      <c r="CT27" s="230">
        <v>1466400</v>
      </c>
      <c r="CU27" s="229">
        <v>0.1565</v>
      </c>
      <c r="CV27" s="230">
        <v>71957600</v>
      </c>
      <c r="CW27" s="230">
        <v>71141200</v>
      </c>
      <c r="CX27" s="230">
        <v>816400</v>
      </c>
      <c r="CY27" s="229">
        <v>1.15E-2</v>
      </c>
      <c r="CZ27" s="228">
        <v>26.54</v>
      </c>
      <c r="DA27" s="228">
        <v>26.52</v>
      </c>
      <c r="DB27" s="228">
        <v>0.02</v>
      </c>
      <c r="DC27" s="228">
        <v>0.02</v>
      </c>
      <c r="DD27" s="228">
        <v>37.979999999999997</v>
      </c>
      <c r="DE27" s="228">
        <v>37.94</v>
      </c>
      <c r="DF27" s="228">
        <v>-11.44</v>
      </c>
      <c r="DG27" s="228">
        <v>0.04</v>
      </c>
      <c r="DH27" s="228">
        <v>26.15</v>
      </c>
      <c r="DI27" s="228">
        <v>26.26</v>
      </c>
      <c r="DJ27" s="228">
        <v>-0.11</v>
      </c>
      <c r="DK27" s="228">
        <v>-0.11</v>
      </c>
      <c r="DL27" s="228">
        <v>27.24</v>
      </c>
      <c r="DM27" s="228">
        <v>27.04</v>
      </c>
      <c r="DN27" s="228">
        <v>0.2</v>
      </c>
      <c r="DO27" s="228">
        <v>0.2</v>
      </c>
      <c r="DP27" s="228">
        <v>1.22</v>
      </c>
      <c r="DQ27" s="228">
        <v>1.06</v>
      </c>
      <c r="DR27" s="228">
        <v>0.16</v>
      </c>
      <c r="DS27" s="229">
        <v>0.15090000000000001</v>
      </c>
      <c r="DT27" s="228">
        <v>140</v>
      </c>
      <c r="DU27" s="228">
        <v>140</v>
      </c>
      <c r="DV27" s="228">
        <v>0.55000000000000004</v>
      </c>
      <c r="DW27" s="228">
        <v>0.49</v>
      </c>
      <c r="DX27" s="228">
        <v>0.06</v>
      </c>
      <c r="DY27" s="229">
        <v>0.12239999999999999</v>
      </c>
      <c r="DZ27" s="229">
        <v>1.78E-2</v>
      </c>
      <c r="EA27" s="230">
        <v>769600</v>
      </c>
      <c r="EB27" s="229">
        <v>6.6E-3</v>
      </c>
      <c r="EC27" s="229">
        <v>1.78E-2</v>
      </c>
      <c r="ED27" s="228">
        <v>0.79</v>
      </c>
      <c r="EE27" s="229">
        <v>5.4000000000000003E-3</v>
      </c>
      <c r="EF27" s="230">
        <v>3450483</v>
      </c>
      <c r="EG27" s="230">
        <v>4378312</v>
      </c>
      <c r="EH27" s="229">
        <v>-0.21190000000000001</v>
      </c>
      <c r="EI27" s="229">
        <v>0.4456</v>
      </c>
      <c r="EJ27" s="231">
        <v>21619.3</v>
      </c>
      <c r="EK27" s="231">
        <v>11012.51</v>
      </c>
      <c r="EL27" s="231">
        <v>15358.84</v>
      </c>
      <c r="EM27" s="231">
        <v>6345</v>
      </c>
      <c r="EN27" s="231">
        <v>47990.65</v>
      </c>
      <c r="EO27" s="231">
        <v>55597.39</v>
      </c>
      <c r="EP27" s="231">
        <v>-7606.74</v>
      </c>
      <c r="EQ27" s="229">
        <v>-0.1368</v>
      </c>
      <c r="ER27" s="231">
        <v>13175</v>
      </c>
      <c r="ES27" s="231">
        <v>14887</v>
      </c>
      <c r="ET27" s="231">
        <v>77259</v>
      </c>
      <c r="EU27" s="231">
        <v>181770921</v>
      </c>
      <c r="EV27" s="231">
        <v>105321</v>
      </c>
      <c r="EW27" s="231">
        <v>102329</v>
      </c>
      <c r="EX27" s="231">
        <v>2992</v>
      </c>
      <c r="EY27" s="229">
        <v>2.92E-2</v>
      </c>
      <c r="EZ27" s="229">
        <v>0.39589999999999997</v>
      </c>
      <c r="FA27" s="227" t="s">
        <v>556</v>
      </c>
      <c r="FB27" s="161">
        <f t="shared" si="0"/>
        <v>930800</v>
      </c>
    </row>
    <row r="28" spans="1:158" ht="17.25" hidden="1" thickBot="1" x14ac:dyDescent="0.3">
      <c r="A28" s="226">
        <v>46023</v>
      </c>
      <c r="B28" s="227" t="s">
        <v>181</v>
      </c>
      <c r="C28" s="227" t="s">
        <v>182</v>
      </c>
      <c r="D28" s="228">
        <v>30</v>
      </c>
      <c r="E28" s="231">
        <v>59955.6</v>
      </c>
      <c r="F28" s="231">
        <v>59883.6</v>
      </c>
      <c r="G28" s="228">
        <v>72</v>
      </c>
      <c r="H28" s="229">
        <v>1.1999999999999999E-3</v>
      </c>
      <c r="I28" s="231">
        <v>59711.55</v>
      </c>
      <c r="J28" s="231">
        <v>59581.85</v>
      </c>
      <c r="K28" s="228">
        <v>129.69999999999999</v>
      </c>
      <c r="L28" s="229">
        <v>2.2000000000000001E-3</v>
      </c>
      <c r="M28" s="231">
        <v>59955.6</v>
      </c>
      <c r="N28" s="231">
        <v>59883.6</v>
      </c>
      <c r="O28" s="228">
        <v>72</v>
      </c>
      <c r="P28" s="229">
        <v>1.1999999999999999E-3</v>
      </c>
      <c r="Q28" s="231">
        <v>60280.800000000003</v>
      </c>
      <c r="R28" s="231">
        <v>60222.6</v>
      </c>
      <c r="S28" s="228">
        <v>58.2</v>
      </c>
      <c r="T28" s="229">
        <v>1E-3</v>
      </c>
      <c r="U28" s="231">
        <v>60652.4</v>
      </c>
      <c r="V28" s="231">
        <v>60612.800000000003</v>
      </c>
      <c r="W28" s="228">
        <v>39.6</v>
      </c>
      <c r="X28" s="229">
        <v>6.9999999999999999E-4</v>
      </c>
      <c r="Y28" s="228">
        <v>244.05</v>
      </c>
      <c r="Z28" s="228">
        <v>301.75</v>
      </c>
      <c r="AA28" s="228">
        <v>-57.7</v>
      </c>
      <c r="AB28" s="229">
        <v>4.1000000000000003E-3</v>
      </c>
      <c r="AC28" s="228">
        <v>244.05</v>
      </c>
      <c r="AD28" s="228">
        <v>301.75</v>
      </c>
      <c r="AE28" s="228">
        <v>-57.7</v>
      </c>
      <c r="AF28" s="229">
        <v>4.1000000000000003E-3</v>
      </c>
      <c r="AG28" s="228">
        <v>569.25</v>
      </c>
      <c r="AH28" s="228">
        <v>640.75</v>
      </c>
      <c r="AI28" s="228">
        <v>-71.5</v>
      </c>
      <c r="AJ28" s="229">
        <v>9.4999999999999998E-3</v>
      </c>
      <c r="AK28" s="228">
        <v>940.85</v>
      </c>
      <c r="AL28" s="231">
        <v>1030.95</v>
      </c>
      <c r="AM28" s="228">
        <v>-90.1</v>
      </c>
      <c r="AN28" s="229">
        <v>1.5800000000000002E-2</v>
      </c>
      <c r="AO28" s="231">
        <v>59934.43</v>
      </c>
      <c r="AP28" s="231">
        <v>60257.95</v>
      </c>
      <c r="AQ28" s="228">
        <v>0</v>
      </c>
      <c r="AR28" s="230">
        <v>373710</v>
      </c>
      <c r="AS28" s="230">
        <v>933990</v>
      </c>
      <c r="AT28" s="230">
        <v>-560280</v>
      </c>
      <c r="AU28" s="229">
        <v>-0.59989999999999999</v>
      </c>
      <c r="AV28" s="230">
        <v>354120</v>
      </c>
      <c r="AW28" s="230">
        <v>871980</v>
      </c>
      <c r="AX28" s="230">
        <v>-517860</v>
      </c>
      <c r="AY28" s="229">
        <v>-0.59389999999999998</v>
      </c>
      <c r="AZ28" s="230">
        <v>15600</v>
      </c>
      <c r="BA28" s="230">
        <v>43560</v>
      </c>
      <c r="BB28" s="230">
        <v>-27960</v>
      </c>
      <c r="BC28" s="229">
        <v>-0.64190000000000003</v>
      </c>
      <c r="BD28" s="230">
        <v>3990</v>
      </c>
      <c r="BE28" s="230">
        <v>18450</v>
      </c>
      <c r="BF28" s="230">
        <v>-14460</v>
      </c>
      <c r="BG28" s="229">
        <v>-0.78369999999999995</v>
      </c>
      <c r="BH28" s="230">
        <v>16576080</v>
      </c>
      <c r="BI28" s="230">
        <v>31735950</v>
      </c>
      <c r="BJ28" s="230">
        <v>-15159870</v>
      </c>
      <c r="BK28" s="229">
        <v>-0.47770000000000001</v>
      </c>
      <c r="BL28" s="230">
        <v>15072600</v>
      </c>
      <c r="BM28" s="230">
        <v>27855240</v>
      </c>
      <c r="BN28" s="230">
        <v>-12782640</v>
      </c>
      <c r="BO28" s="229">
        <v>-0.45889999999999997</v>
      </c>
      <c r="BP28" s="230">
        <v>32022390</v>
      </c>
      <c r="BQ28" s="230">
        <v>60525180</v>
      </c>
      <c r="BR28" s="230">
        <v>-28502790</v>
      </c>
      <c r="BS28" s="229">
        <v>-0.47089999999999999</v>
      </c>
      <c r="BT28" s="228">
        <v>0</v>
      </c>
      <c r="BU28" s="228">
        <v>0</v>
      </c>
      <c r="BV28" s="228">
        <v>0</v>
      </c>
      <c r="BW28" s="229">
        <v>0</v>
      </c>
      <c r="BX28" s="230">
        <v>1419720</v>
      </c>
      <c r="BY28" s="230">
        <v>1345440</v>
      </c>
      <c r="BZ28" s="230">
        <v>74280</v>
      </c>
      <c r="CA28" s="229">
        <v>5.5199999999999999E-2</v>
      </c>
      <c r="CB28" s="230">
        <v>1317210</v>
      </c>
      <c r="CC28" s="230">
        <v>1248000</v>
      </c>
      <c r="CD28" s="230">
        <v>69210</v>
      </c>
      <c r="CE28" s="229">
        <v>5.5500000000000001E-2</v>
      </c>
      <c r="CF28" s="230">
        <v>89580</v>
      </c>
      <c r="CG28" s="230">
        <v>85650</v>
      </c>
      <c r="CH28" s="230">
        <v>3930</v>
      </c>
      <c r="CI28" s="229">
        <v>4.5900000000000003E-2</v>
      </c>
      <c r="CJ28" s="230">
        <v>12930</v>
      </c>
      <c r="CK28" s="230">
        <v>11790</v>
      </c>
      <c r="CL28" s="230">
        <v>1140</v>
      </c>
      <c r="CM28" s="229">
        <v>9.6699999999999994E-2</v>
      </c>
      <c r="CN28" s="230">
        <v>10119080</v>
      </c>
      <c r="CO28" s="230">
        <v>9365970</v>
      </c>
      <c r="CP28" s="230">
        <v>753110</v>
      </c>
      <c r="CQ28" s="229">
        <v>8.0399999999999999E-2</v>
      </c>
      <c r="CR28" s="230">
        <v>11505575</v>
      </c>
      <c r="CS28" s="230">
        <v>10603915</v>
      </c>
      <c r="CT28" s="230">
        <v>901660</v>
      </c>
      <c r="CU28" s="229">
        <v>8.5000000000000006E-2</v>
      </c>
      <c r="CV28" s="230">
        <v>23044375</v>
      </c>
      <c r="CW28" s="230">
        <v>21315325</v>
      </c>
      <c r="CX28" s="230">
        <v>1729050</v>
      </c>
      <c r="CY28" s="229">
        <v>8.1100000000000005E-2</v>
      </c>
      <c r="CZ28" s="228">
        <v>10.07</v>
      </c>
      <c r="DA28" s="228">
        <v>10.45</v>
      </c>
      <c r="DB28" s="228">
        <v>-0.38</v>
      </c>
      <c r="DC28" s="228">
        <v>-0.38</v>
      </c>
      <c r="DD28" s="228">
        <v>15.68</v>
      </c>
      <c r="DE28" s="228">
        <v>15.72</v>
      </c>
      <c r="DF28" s="228">
        <v>-5.61</v>
      </c>
      <c r="DG28" s="228">
        <v>-0.04</v>
      </c>
      <c r="DH28" s="228">
        <v>9.6300000000000008</v>
      </c>
      <c r="DI28" s="228">
        <v>9.99</v>
      </c>
      <c r="DJ28" s="228">
        <v>-0.36</v>
      </c>
      <c r="DK28" s="228">
        <v>-0.36</v>
      </c>
      <c r="DL28" s="228">
        <v>10.55</v>
      </c>
      <c r="DM28" s="228">
        <v>10.97</v>
      </c>
      <c r="DN28" s="228">
        <v>-0.42</v>
      </c>
      <c r="DO28" s="228">
        <v>-0.42</v>
      </c>
      <c r="DP28" s="228">
        <v>1.1399999999999999</v>
      </c>
      <c r="DQ28" s="228">
        <v>1.1299999999999999</v>
      </c>
      <c r="DR28" s="228">
        <v>0.01</v>
      </c>
      <c r="DS28" s="229">
        <v>8.8000000000000005E-3</v>
      </c>
      <c r="DT28" s="231">
        <v>59500</v>
      </c>
      <c r="DU28" s="231">
        <v>59500</v>
      </c>
      <c r="DV28" s="228">
        <v>0.91</v>
      </c>
      <c r="DW28" s="228">
        <v>0.88</v>
      </c>
      <c r="DX28" s="228">
        <v>0.03</v>
      </c>
      <c r="DY28" s="229">
        <v>3.4099999999999998E-2</v>
      </c>
      <c r="DZ28" s="229">
        <v>7.22E-2</v>
      </c>
      <c r="EA28" s="230">
        <v>97440</v>
      </c>
      <c r="EB28" s="229">
        <v>5.4000000000000003E-3</v>
      </c>
      <c r="EC28" s="229">
        <v>7.22E-2</v>
      </c>
      <c r="ED28" s="228">
        <v>323.52</v>
      </c>
      <c r="EE28" s="229">
        <v>5.4000000000000003E-3</v>
      </c>
      <c r="EF28" s="228">
        <v>0</v>
      </c>
      <c r="EG28" s="228">
        <v>0</v>
      </c>
      <c r="EH28" s="229">
        <v>0</v>
      </c>
      <c r="EI28" s="229">
        <v>0</v>
      </c>
      <c r="EJ28" s="231">
        <v>10138554.380000001</v>
      </c>
      <c r="EK28" s="231">
        <v>8928595.2799999993</v>
      </c>
      <c r="EL28" s="231">
        <v>224059.41</v>
      </c>
      <c r="EM28" s="228">
        <v>0</v>
      </c>
      <c r="EN28" s="231">
        <v>19291209.07</v>
      </c>
      <c r="EO28" s="231">
        <v>36424836.969999999</v>
      </c>
      <c r="EP28" s="231">
        <v>-17133627.899999999</v>
      </c>
      <c r="EQ28" s="229">
        <v>-0.47039999999999998</v>
      </c>
      <c r="ER28" s="231">
        <v>6124704</v>
      </c>
      <c r="ES28" s="231">
        <v>6708304</v>
      </c>
      <c r="ET28" s="231">
        <v>851583</v>
      </c>
      <c r="EU28" s="228">
        <v>0</v>
      </c>
      <c r="EV28" s="231">
        <v>13684592</v>
      </c>
      <c r="EW28" s="231">
        <v>12647025</v>
      </c>
      <c r="EX28" s="231">
        <v>1037567</v>
      </c>
      <c r="EY28" s="229">
        <v>8.2000000000000003E-2</v>
      </c>
      <c r="EZ28" s="229">
        <v>0</v>
      </c>
      <c r="FA28" s="227" t="s">
        <v>555</v>
      </c>
      <c r="FB28" s="161">
        <f t="shared" si="0"/>
        <v>102510</v>
      </c>
    </row>
    <row r="29" spans="1:158" ht="17.25" thickBot="1" x14ac:dyDescent="0.3">
      <c r="A29" s="226">
        <v>46023</v>
      </c>
      <c r="B29" s="227" t="s">
        <v>184</v>
      </c>
      <c r="C29" s="227" t="s">
        <v>671</v>
      </c>
      <c r="D29" s="228">
        <v>350</v>
      </c>
      <c r="E29" s="231">
        <v>1487.2</v>
      </c>
      <c r="F29" s="231">
        <v>1474.8</v>
      </c>
      <c r="G29" s="228">
        <v>12.4</v>
      </c>
      <c r="H29" s="229">
        <v>8.3999999999999995E-3</v>
      </c>
      <c r="I29" s="231">
        <v>1481.5</v>
      </c>
      <c r="J29" s="231">
        <v>1466.5</v>
      </c>
      <c r="K29" s="228">
        <v>15</v>
      </c>
      <c r="L29" s="229">
        <v>1.0200000000000001E-2</v>
      </c>
      <c r="M29" s="231">
        <v>1487.2</v>
      </c>
      <c r="N29" s="231">
        <v>1474.8</v>
      </c>
      <c r="O29" s="228">
        <v>12.4</v>
      </c>
      <c r="P29" s="229">
        <v>8.3999999999999995E-3</v>
      </c>
      <c r="Q29" s="231">
        <v>1492.4</v>
      </c>
      <c r="R29" s="231">
        <v>1479.7</v>
      </c>
      <c r="S29" s="228">
        <v>12.7</v>
      </c>
      <c r="T29" s="229">
        <v>8.6E-3</v>
      </c>
      <c r="U29" s="231">
        <v>1495.9</v>
      </c>
      <c r="V29" s="231">
        <v>1490.6</v>
      </c>
      <c r="W29" s="228">
        <v>5.3</v>
      </c>
      <c r="X29" s="229">
        <v>3.5999999999999999E-3</v>
      </c>
      <c r="Y29" s="228">
        <v>5.7</v>
      </c>
      <c r="Z29" s="228">
        <v>8.3000000000000007</v>
      </c>
      <c r="AA29" s="228">
        <v>-2.6</v>
      </c>
      <c r="AB29" s="229">
        <v>3.8E-3</v>
      </c>
      <c r="AC29" s="228">
        <v>5.7</v>
      </c>
      <c r="AD29" s="228">
        <v>8.3000000000000007</v>
      </c>
      <c r="AE29" s="228">
        <v>-2.6</v>
      </c>
      <c r="AF29" s="229">
        <v>3.8E-3</v>
      </c>
      <c r="AG29" s="228">
        <v>10.9</v>
      </c>
      <c r="AH29" s="228">
        <v>13.2</v>
      </c>
      <c r="AI29" s="228">
        <v>-2.2999999999999998</v>
      </c>
      <c r="AJ29" s="229">
        <v>7.4000000000000003E-3</v>
      </c>
      <c r="AK29" s="228">
        <v>14.4</v>
      </c>
      <c r="AL29" s="228">
        <v>24.1</v>
      </c>
      <c r="AM29" s="228">
        <v>-9.6999999999999993</v>
      </c>
      <c r="AN29" s="229">
        <v>9.7000000000000003E-3</v>
      </c>
      <c r="AO29" s="231">
        <v>1473.03</v>
      </c>
      <c r="AP29" s="231">
        <v>1478.83</v>
      </c>
      <c r="AQ29" s="228">
        <v>0</v>
      </c>
      <c r="AR29" s="230">
        <v>934500</v>
      </c>
      <c r="AS29" s="230">
        <v>866600</v>
      </c>
      <c r="AT29" s="230">
        <v>67900</v>
      </c>
      <c r="AU29" s="229">
        <v>7.8399999999999997E-2</v>
      </c>
      <c r="AV29" s="230">
        <v>872900</v>
      </c>
      <c r="AW29" s="230">
        <v>815150</v>
      </c>
      <c r="AX29" s="230">
        <v>57750</v>
      </c>
      <c r="AY29" s="229">
        <v>7.0800000000000002E-2</v>
      </c>
      <c r="AZ29" s="230">
        <v>55650</v>
      </c>
      <c r="BA29" s="230">
        <v>47600</v>
      </c>
      <c r="BB29" s="230">
        <v>8050</v>
      </c>
      <c r="BC29" s="229">
        <v>0.1691</v>
      </c>
      <c r="BD29" s="230">
        <v>5950</v>
      </c>
      <c r="BE29" s="230">
        <v>3850</v>
      </c>
      <c r="BF29" s="230">
        <v>2100</v>
      </c>
      <c r="BG29" s="229">
        <v>0.54549999999999998</v>
      </c>
      <c r="BH29" s="230">
        <v>2950150</v>
      </c>
      <c r="BI29" s="230">
        <v>2834650</v>
      </c>
      <c r="BJ29" s="230">
        <v>115500</v>
      </c>
      <c r="BK29" s="229">
        <v>4.07E-2</v>
      </c>
      <c r="BL29" s="230">
        <v>1690150</v>
      </c>
      <c r="BM29" s="230">
        <v>1330700</v>
      </c>
      <c r="BN29" s="230">
        <v>359450</v>
      </c>
      <c r="BO29" s="229">
        <v>0.27010000000000001</v>
      </c>
      <c r="BP29" s="230">
        <v>5574800</v>
      </c>
      <c r="BQ29" s="230">
        <v>5031950</v>
      </c>
      <c r="BR29" s="230">
        <v>542850</v>
      </c>
      <c r="BS29" s="229">
        <v>0.1079</v>
      </c>
      <c r="BT29" s="230">
        <v>849422</v>
      </c>
      <c r="BU29" s="230">
        <v>766169</v>
      </c>
      <c r="BV29" s="230">
        <v>83253</v>
      </c>
      <c r="BW29" s="229">
        <v>0.1087</v>
      </c>
      <c r="BX29" s="230">
        <v>5236350</v>
      </c>
      <c r="BY29" s="230">
        <v>5305300</v>
      </c>
      <c r="BZ29" s="230">
        <v>-68950</v>
      </c>
      <c r="CA29" s="229">
        <v>-1.2999999999999999E-2</v>
      </c>
      <c r="CB29" s="230">
        <v>4854150</v>
      </c>
      <c r="CC29" s="230">
        <v>4925550</v>
      </c>
      <c r="CD29" s="230">
        <v>-71400</v>
      </c>
      <c r="CE29" s="229">
        <v>-1.4500000000000001E-2</v>
      </c>
      <c r="CF29" s="230">
        <v>376950</v>
      </c>
      <c r="CG29" s="230">
        <v>376950</v>
      </c>
      <c r="CH29" s="228">
        <v>0</v>
      </c>
      <c r="CI29" s="229">
        <v>0</v>
      </c>
      <c r="CJ29" s="230">
        <v>5250</v>
      </c>
      <c r="CK29" s="230">
        <v>2800</v>
      </c>
      <c r="CL29" s="230">
        <v>2450</v>
      </c>
      <c r="CM29" s="229">
        <v>0.875</v>
      </c>
      <c r="CN29" s="230">
        <v>2696750</v>
      </c>
      <c r="CO29" s="230">
        <v>2588950</v>
      </c>
      <c r="CP29" s="230">
        <v>107800</v>
      </c>
      <c r="CQ29" s="229">
        <v>4.1599999999999998E-2</v>
      </c>
      <c r="CR29" s="230">
        <v>2425150</v>
      </c>
      <c r="CS29" s="230">
        <v>2367400</v>
      </c>
      <c r="CT29" s="230">
        <v>57750</v>
      </c>
      <c r="CU29" s="229">
        <v>2.4400000000000002E-2</v>
      </c>
      <c r="CV29" s="230">
        <v>10358250</v>
      </c>
      <c r="CW29" s="230">
        <v>10261650</v>
      </c>
      <c r="CX29" s="230">
        <v>96600</v>
      </c>
      <c r="CY29" s="229">
        <v>9.4000000000000004E-3</v>
      </c>
      <c r="CZ29" s="228">
        <v>31.5</v>
      </c>
      <c r="DA29" s="228">
        <v>32.6</v>
      </c>
      <c r="DB29" s="228">
        <v>-1.1000000000000001</v>
      </c>
      <c r="DC29" s="228">
        <v>-1.1000000000000001</v>
      </c>
      <c r="DD29" s="228">
        <v>50.74</v>
      </c>
      <c r="DE29" s="228">
        <v>50.86</v>
      </c>
      <c r="DF29" s="228">
        <v>-19.239999999999998</v>
      </c>
      <c r="DG29" s="228">
        <v>-0.12</v>
      </c>
      <c r="DH29" s="228">
        <v>31.33</v>
      </c>
      <c r="DI29" s="228">
        <v>32.61</v>
      </c>
      <c r="DJ29" s="228">
        <v>-1.28</v>
      </c>
      <c r="DK29" s="228">
        <v>-1.28</v>
      </c>
      <c r="DL29" s="228">
        <v>31.81</v>
      </c>
      <c r="DM29" s="228">
        <v>32.58</v>
      </c>
      <c r="DN29" s="228">
        <v>-0.77</v>
      </c>
      <c r="DO29" s="228">
        <v>-0.77</v>
      </c>
      <c r="DP29" s="228">
        <v>0.9</v>
      </c>
      <c r="DQ29" s="228">
        <v>0.91</v>
      </c>
      <c r="DR29" s="228">
        <v>-0.01</v>
      </c>
      <c r="DS29" s="229">
        <v>-1.0999999999999999E-2</v>
      </c>
      <c r="DT29" s="231">
        <v>1500</v>
      </c>
      <c r="DU29" s="231">
        <v>1400</v>
      </c>
      <c r="DV29" s="228">
        <v>0.56999999999999995</v>
      </c>
      <c r="DW29" s="228">
        <v>0.47</v>
      </c>
      <c r="DX29" s="228">
        <v>0.1</v>
      </c>
      <c r="DY29" s="229">
        <v>0.21279999999999999</v>
      </c>
      <c r="DZ29" s="229">
        <v>7.2999999999999995E-2</v>
      </c>
      <c r="EA29" s="230">
        <v>379750</v>
      </c>
      <c r="EB29" s="229">
        <v>3.5000000000000001E-3</v>
      </c>
      <c r="EC29" s="229">
        <v>7.2999999999999995E-2</v>
      </c>
      <c r="ED29" s="228">
        <v>5.8</v>
      </c>
      <c r="EE29" s="229">
        <v>3.8999999999999998E-3</v>
      </c>
      <c r="EF29" s="230">
        <v>295511</v>
      </c>
      <c r="EG29" s="230">
        <v>232785</v>
      </c>
      <c r="EH29" s="229">
        <v>0.26950000000000002</v>
      </c>
      <c r="EI29" s="229">
        <v>0.34789999999999999</v>
      </c>
      <c r="EJ29" s="231">
        <v>46079.45</v>
      </c>
      <c r="EK29" s="231">
        <v>24422.03</v>
      </c>
      <c r="EL29" s="231">
        <v>13768.81</v>
      </c>
      <c r="EM29" s="231">
        <v>11644</v>
      </c>
      <c r="EN29" s="231">
        <v>84270.29</v>
      </c>
      <c r="EO29" s="231">
        <v>76164.91</v>
      </c>
      <c r="EP29" s="231">
        <v>8105.38</v>
      </c>
      <c r="EQ29" s="229">
        <v>0.10639999999999999</v>
      </c>
      <c r="ER29" s="231">
        <v>41607</v>
      </c>
      <c r="ES29" s="231">
        <v>34124</v>
      </c>
      <c r="ET29" s="231">
        <v>77895</v>
      </c>
      <c r="EU29" s="231">
        <v>13786716</v>
      </c>
      <c r="EV29" s="231">
        <v>153626</v>
      </c>
      <c r="EW29" s="231">
        <v>151515</v>
      </c>
      <c r="EX29" s="231">
        <v>2111</v>
      </c>
      <c r="EY29" s="229">
        <v>1.3899999999999999E-2</v>
      </c>
      <c r="EZ29" s="229">
        <v>0.75129999999999997</v>
      </c>
      <c r="FA29" s="227" t="s">
        <v>556</v>
      </c>
      <c r="FB29" s="161">
        <f t="shared" si="0"/>
        <v>382200</v>
      </c>
    </row>
    <row r="30" spans="1:158" ht="17.25" hidden="1" thickBot="1" x14ac:dyDescent="0.3">
      <c r="A30" s="226">
        <v>46023</v>
      </c>
      <c r="B30" s="227" t="s">
        <v>184</v>
      </c>
      <c r="C30" s="227" t="s">
        <v>185</v>
      </c>
      <c r="D30" s="228">
        <v>1425</v>
      </c>
      <c r="E30" s="228">
        <v>400.3</v>
      </c>
      <c r="F30" s="228">
        <v>402.2</v>
      </c>
      <c r="G30" s="228">
        <v>-1.9</v>
      </c>
      <c r="H30" s="229">
        <v>-4.7000000000000002E-3</v>
      </c>
      <c r="I30" s="228">
        <v>397.7</v>
      </c>
      <c r="J30" s="228">
        <v>399.6</v>
      </c>
      <c r="K30" s="228">
        <v>-1.9</v>
      </c>
      <c r="L30" s="229">
        <v>-4.7999999999999996E-3</v>
      </c>
      <c r="M30" s="228">
        <v>400.3</v>
      </c>
      <c r="N30" s="228">
        <v>402.2</v>
      </c>
      <c r="O30" s="228">
        <v>-1.9</v>
      </c>
      <c r="P30" s="229">
        <v>-4.7000000000000002E-3</v>
      </c>
      <c r="Q30" s="228">
        <v>402.3</v>
      </c>
      <c r="R30" s="228">
        <v>404.3</v>
      </c>
      <c r="S30" s="228">
        <v>-2</v>
      </c>
      <c r="T30" s="229">
        <v>-4.8999999999999998E-3</v>
      </c>
      <c r="U30" s="228">
        <v>403.65</v>
      </c>
      <c r="V30" s="228">
        <v>405.35</v>
      </c>
      <c r="W30" s="228">
        <v>-1.7</v>
      </c>
      <c r="X30" s="229">
        <v>-4.1999999999999997E-3</v>
      </c>
      <c r="Y30" s="228">
        <v>2.6</v>
      </c>
      <c r="Z30" s="228">
        <v>2.6</v>
      </c>
      <c r="AA30" s="228">
        <v>0</v>
      </c>
      <c r="AB30" s="229">
        <v>6.4999999999999997E-3</v>
      </c>
      <c r="AC30" s="228">
        <v>2.6</v>
      </c>
      <c r="AD30" s="228">
        <v>2.6</v>
      </c>
      <c r="AE30" s="228">
        <v>0</v>
      </c>
      <c r="AF30" s="229">
        <v>6.4999999999999997E-3</v>
      </c>
      <c r="AG30" s="228">
        <v>4.5999999999999996</v>
      </c>
      <c r="AH30" s="228">
        <v>4.7</v>
      </c>
      <c r="AI30" s="228">
        <v>-0.1</v>
      </c>
      <c r="AJ30" s="229">
        <v>1.1599999999999999E-2</v>
      </c>
      <c r="AK30" s="228">
        <v>5.95</v>
      </c>
      <c r="AL30" s="228">
        <v>5.75</v>
      </c>
      <c r="AM30" s="228">
        <v>0.2</v>
      </c>
      <c r="AN30" s="229">
        <v>1.4999999999999999E-2</v>
      </c>
      <c r="AO30" s="228">
        <v>399.2</v>
      </c>
      <c r="AP30" s="228">
        <v>401.06</v>
      </c>
      <c r="AQ30" s="228">
        <v>0</v>
      </c>
      <c r="AR30" s="230">
        <v>8403225</v>
      </c>
      <c r="AS30" s="230">
        <v>13043025</v>
      </c>
      <c r="AT30" s="230">
        <v>-4639800</v>
      </c>
      <c r="AU30" s="229">
        <v>-0.35570000000000002</v>
      </c>
      <c r="AV30" s="230">
        <v>7333050</v>
      </c>
      <c r="AW30" s="230">
        <v>12042675</v>
      </c>
      <c r="AX30" s="230">
        <v>-4709625</v>
      </c>
      <c r="AY30" s="229">
        <v>-0.3911</v>
      </c>
      <c r="AZ30" s="230">
        <v>840750</v>
      </c>
      <c r="BA30" s="230">
        <v>837900</v>
      </c>
      <c r="BB30" s="230">
        <v>2850</v>
      </c>
      <c r="BC30" s="229">
        <v>3.3999999999999998E-3</v>
      </c>
      <c r="BD30" s="230">
        <v>229425</v>
      </c>
      <c r="BE30" s="230">
        <v>162450</v>
      </c>
      <c r="BF30" s="230">
        <v>66975</v>
      </c>
      <c r="BG30" s="229">
        <v>0.4123</v>
      </c>
      <c r="BH30" s="230">
        <v>32844825</v>
      </c>
      <c r="BI30" s="230">
        <v>52508400</v>
      </c>
      <c r="BJ30" s="230">
        <v>-19663575</v>
      </c>
      <c r="BK30" s="229">
        <v>-0.3745</v>
      </c>
      <c r="BL30" s="230">
        <v>14041950</v>
      </c>
      <c r="BM30" s="230">
        <v>22131675</v>
      </c>
      <c r="BN30" s="230">
        <v>-8089725</v>
      </c>
      <c r="BO30" s="229">
        <v>-0.36549999999999999</v>
      </c>
      <c r="BP30" s="230">
        <v>55290000</v>
      </c>
      <c r="BQ30" s="230">
        <v>87683100</v>
      </c>
      <c r="BR30" s="230">
        <v>-32393100</v>
      </c>
      <c r="BS30" s="229">
        <v>-0.36940000000000001</v>
      </c>
      <c r="BT30" s="230">
        <v>6636575</v>
      </c>
      <c r="BU30" s="230">
        <v>10137376</v>
      </c>
      <c r="BV30" s="230">
        <v>-3500801</v>
      </c>
      <c r="BW30" s="229">
        <v>-0.3453</v>
      </c>
      <c r="BX30" s="230">
        <v>123735600</v>
      </c>
      <c r="BY30" s="230">
        <v>123102900</v>
      </c>
      <c r="BZ30" s="230">
        <v>632700</v>
      </c>
      <c r="CA30" s="229">
        <v>5.1000000000000004E-3</v>
      </c>
      <c r="CB30" s="230">
        <v>118845000</v>
      </c>
      <c r="CC30" s="230">
        <v>118501575</v>
      </c>
      <c r="CD30" s="230">
        <v>343425</v>
      </c>
      <c r="CE30" s="229">
        <v>2.8999999999999998E-3</v>
      </c>
      <c r="CF30" s="230">
        <v>4631250</v>
      </c>
      <c r="CG30" s="230">
        <v>4484475</v>
      </c>
      <c r="CH30" s="230">
        <v>146775</v>
      </c>
      <c r="CI30" s="229">
        <v>3.27E-2</v>
      </c>
      <c r="CJ30" s="230">
        <v>259350</v>
      </c>
      <c r="CK30" s="230">
        <v>116850</v>
      </c>
      <c r="CL30" s="230">
        <v>142500</v>
      </c>
      <c r="CM30" s="229">
        <v>1.2195</v>
      </c>
      <c r="CN30" s="230">
        <v>41759625</v>
      </c>
      <c r="CO30" s="230">
        <v>40206375</v>
      </c>
      <c r="CP30" s="230">
        <v>1553250</v>
      </c>
      <c r="CQ30" s="229">
        <v>3.8600000000000002E-2</v>
      </c>
      <c r="CR30" s="230">
        <v>28539900</v>
      </c>
      <c r="CS30" s="230">
        <v>28096725</v>
      </c>
      <c r="CT30" s="230">
        <v>443175</v>
      </c>
      <c r="CU30" s="229">
        <v>1.5800000000000002E-2</v>
      </c>
      <c r="CV30" s="230">
        <v>194035125</v>
      </c>
      <c r="CW30" s="230">
        <v>191406000</v>
      </c>
      <c r="CX30" s="230">
        <v>2629125</v>
      </c>
      <c r="CY30" s="229">
        <v>1.37E-2</v>
      </c>
      <c r="CZ30" s="228">
        <v>23.61</v>
      </c>
      <c r="DA30" s="228">
        <v>23.53</v>
      </c>
      <c r="DB30" s="228">
        <v>0.08</v>
      </c>
      <c r="DC30" s="228">
        <v>0.08</v>
      </c>
      <c r="DD30" s="228">
        <v>35.6</v>
      </c>
      <c r="DE30" s="228">
        <v>35.69</v>
      </c>
      <c r="DF30" s="228">
        <v>-11.99</v>
      </c>
      <c r="DG30" s="228">
        <v>-0.09</v>
      </c>
      <c r="DH30" s="228">
        <v>23.64</v>
      </c>
      <c r="DI30" s="228">
        <v>23.45</v>
      </c>
      <c r="DJ30" s="228">
        <v>0.19</v>
      </c>
      <c r="DK30" s="228">
        <v>0.19</v>
      </c>
      <c r="DL30" s="228">
        <v>23.52</v>
      </c>
      <c r="DM30" s="228">
        <v>23.71</v>
      </c>
      <c r="DN30" s="228">
        <v>-0.19</v>
      </c>
      <c r="DO30" s="228">
        <v>-0.19</v>
      </c>
      <c r="DP30" s="228">
        <v>0.68</v>
      </c>
      <c r="DQ30" s="228">
        <v>0.7</v>
      </c>
      <c r="DR30" s="228">
        <v>-0.02</v>
      </c>
      <c r="DS30" s="229">
        <v>-2.86E-2</v>
      </c>
      <c r="DT30" s="228">
        <v>400</v>
      </c>
      <c r="DU30" s="228">
        <v>400</v>
      </c>
      <c r="DV30" s="228">
        <v>0.43</v>
      </c>
      <c r="DW30" s="228">
        <v>0.42</v>
      </c>
      <c r="DX30" s="228">
        <v>0.01</v>
      </c>
      <c r="DY30" s="229">
        <v>2.3800000000000002E-2</v>
      </c>
      <c r="DZ30" s="229">
        <v>3.95E-2</v>
      </c>
      <c r="EA30" s="230">
        <v>4601325</v>
      </c>
      <c r="EB30" s="229">
        <v>5.0000000000000001E-3</v>
      </c>
      <c r="EC30" s="229">
        <v>3.95E-2</v>
      </c>
      <c r="ED30" s="228">
        <v>1.86</v>
      </c>
      <c r="EE30" s="229">
        <v>4.7000000000000002E-3</v>
      </c>
      <c r="EF30" s="230">
        <v>2981673</v>
      </c>
      <c r="EG30" s="230">
        <v>4900880</v>
      </c>
      <c r="EH30" s="229">
        <v>-0.3916</v>
      </c>
      <c r="EI30" s="229">
        <v>0.44929999999999998</v>
      </c>
      <c r="EJ30" s="231">
        <v>138197.68</v>
      </c>
      <c r="EK30" s="231">
        <v>55231.93</v>
      </c>
      <c r="EL30" s="231">
        <v>33567.54</v>
      </c>
      <c r="EM30" s="231">
        <v>39756</v>
      </c>
      <c r="EN30" s="231">
        <v>226997.15</v>
      </c>
      <c r="EO30" s="231">
        <v>360462.07</v>
      </c>
      <c r="EP30" s="231">
        <v>-133464.92000000001</v>
      </c>
      <c r="EQ30" s="229">
        <v>-0.37030000000000002</v>
      </c>
      <c r="ER30" s="231">
        <v>172669</v>
      </c>
      <c r="ES30" s="231">
        <v>111848</v>
      </c>
      <c r="ET30" s="231">
        <v>495415</v>
      </c>
      <c r="EU30" s="231">
        <v>535778534</v>
      </c>
      <c r="EV30" s="231">
        <v>779931</v>
      </c>
      <c r="EW30" s="231">
        <v>771709</v>
      </c>
      <c r="EX30" s="231">
        <v>8222</v>
      </c>
      <c r="EY30" s="229">
        <v>1.0699999999999999E-2</v>
      </c>
      <c r="EZ30" s="229">
        <v>0.36220000000000002</v>
      </c>
      <c r="FA30" s="227" t="s">
        <v>567</v>
      </c>
      <c r="FB30" s="161">
        <f t="shared" si="0"/>
        <v>4890600</v>
      </c>
    </row>
    <row r="31" spans="1:158" ht="17.25" hidden="1" thickBot="1" x14ac:dyDescent="0.3">
      <c r="A31" s="226">
        <v>46023</v>
      </c>
      <c r="B31" s="227" t="s">
        <v>162</v>
      </c>
      <c r="C31" s="227" t="s">
        <v>187</v>
      </c>
      <c r="D31" s="228">
        <v>500</v>
      </c>
      <c r="E31" s="231">
        <v>1473.8</v>
      </c>
      <c r="F31" s="231">
        <v>1476.8</v>
      </c>
      <c r="G31" s="228">
        <v>-3</v>
      </c>
      <c r="H31" s="229">
        <v>-2E-3</v>
      </c>
      <c r="I31" s="231">
        <v>1464.4</v>
      </c>
      <c r="J31" s="231">
        <v>1470.4</v>
      </c>
      <c r="K31" s="228">
        <v>-6</v>
      </c>
      <c r="L31" s="229">
        <v>-4.1000000000000003E-3</v>
      </c>
      <c r="M31" s="231">
        <v>1473.8</v>
      </c>
      <c r="N31" s="231">
        <v>1476.8</v>
      </c>
      <c r="O31" s="228">
        <v>-3</v>
      </c>
      <c r="P31" s="229">
        <v>-2E-3</v>
      </c>
      <c r="Q31" s="231">
        <v>1481.7</v>
      </c>
      <c r="R31" s="231">
        <v>1481.7</v>
      </c>
      <c r="S31" s="228">
        <v>0</v>
      </c>
      <c r="T31" s="229">
        <v>0</v>
      </c>
      <c r="U31" s="231">
        <v>1480</v>
      </c>
      <c r="V31" s="231">
        <v>1486.1</v>
      </c>
      <c r="W31" s="228">
        <v>-6.1</v>
      </c>
      <c r="X31" s="229">
        <v>-4.1000000000000003E-3</v>
      </c>
      <c r="Y31" s="228">
        <v>9.4</v>
      </c>
      <c r="Z31" s="228">
        <v>6.4</v>
      </c>
      <c r="AA31" s="228">
        <v>3</v>
      </c>
      <c r="AB31" s="229">
        <v>6.4000000000000003E-3</v>
      </c>
      <c r="AC31" s="228">
        <v>9.4</v>
      </c>
      <c r="AD31" s="228">
        <v>6.4</v>
      </c>
      <c r="AE31" s="228">
        <v>3</v>
      </c>
      <c r="AF31" s="229">
        <v>6.4000000000000003E-3</v>
      </c>
      <c r="AG31" s="228">
        <v>17.3</v>
      </c>
      <c r="AH31" s="228">
        <v>11.3</v>
      </c>
      <c r="AI31" s="228">
        <v>6</v>
      </c>
      <c r="AJ31" s="229">
        <v>1.18E-2</v>
      </c>
      <c r="AK31" s="228">
        <v>15.6</v>
      </c>
      <c r="AL31" s="228">
        <v>15.7</v>
      </c>
      <c r="AM31" s="228">
        <v>-0.1</v>
      </c>
      <c r="AN31" s="229">
        <v>1.0699999999999999E-2</v>
      </c>
      <c r="AO31" s="231">
        <v>1475.45</v>
      </c>
      <c r="AP31" s="231">
        <v>1481.81</v>
      </c>
      <c r="AQ31" s="228">
        <v>0</v>
      </c>
      <c r="AR31" s="230">
        <v>1208000</v>
      </c>
      <c r="AS31" s="230">
        <v>2814000</v>
      </c>
      <c r="AT31" s="230">
        <v>-1606000</v>
      </c>
      <c r="AU31" s="229">
        <v>-0.57069999999999999</v>
      </c>
      <c r="AV31" s="230">
        <v>1177500</v>
      </c>
      <c r="AW31" s="230">
        <v>2718500</v>
      </c>
      <c r="AX31" s="230">
        <v>-1541000</v>
      </c>
      <c r="AY31" s="229">
        <v>-0.56689999999999996</v>
      </c>
      <c r="AZ31" s="230">
        <v>27000</v>
      </c>
      <c r="BA31" s="230">
        <v>76500</v>
      </c>
      <c r="BB31" s="230">
        <v>-49500</v>
      </c>
      <c r="BC31" s="229">
        <v>-0.64710000000000001</v>
      </c>
      <c r="BD31" s="230">
        <v>3500</v>
      </c>
      <c r="BE31" s="230">
        <v>19000</v>
      </c>
      <c r="BF31" s="230">
        <v>-15500</v>
      </c>
      <c r="BG31" s="229">
        <v>-0.81579999999999997</v>
      </c>
      <c r="BH31" s="230">
        <v>3305500</v>
      </c>
      <c r="BI31" s="230">
        <v>12784000</v>
      </c>
      <c r="BJ31" s="230">
        <v>-9478500</v>
      </c>
      <c r="BK31" s="229">
        <v>-0.74139999999999995</v>
      </c>
      <c r="BL31" s="230">
        <v>1581000</v>
      </c>
      <c r="BM31" s="230">
        <v>3031500</v>
      </c>
      <c r="BN31" s="230">
        <v>-1450500</v>
      </c>
      <c r="BO31" s="229">
        <v>-0.47849999999999998</v>
      </c>
      <c r="BP31" s="230">
        <v>6094500</v>
      </c>
      <c r="BQ31" s="230">
        <v>18629500</v>
      </c>
      <c r="BR31" s="230">
        <v>-12535000</v>
      </c>
      <c r="BS31" s="229">
        <v>-0.67290000000000005</v>
      </c>
      <c r="BT31" s="230">
        <v>386208</v>
      </c>
      <c r="BU31" s="230">
        <v>2045685</v>
      </c>
      <c r="BV31" s="230">
        <v>-1659477</v>
      </c>
      <c r="BW31" s="229">
        <v>-0.81120000000000003</v>
      </c>
      <c r="BX31" s="230">
        <v>8365000</v>
      </c>
      <c r="BY31" s="230">
        <v>8098500</v>
      </c>
      <c r="BZ31" s="230">
        <v>266500</v>
      </c>
      <c r="CA31" s="229">
        <v>3.2899999999999999E-2</v>
      </c>
      <c r="CB31" s="230">
        <v>8230500</v>
      </c>
      <c r="CC31" s="230">
        <v>7966000</v>
      </c>
      <c r="CD31" s="230">
        <v>264500</v>
      </c>
      <c r="CE31" s="229">
        <v>3.32E-2</v>
      </c>
      <c r="CF31" s="230">
        <v>120000</v>
      </c>
      <c r="CG31" s="230">
        <v>118500</v>
      </c>
      <c r="CH31" s="230">
        <v>1500</v>
      </c>
      <c r="CI31" s="229">
        <v>1.2699999999999999E-2</v>
      </c>
      <c r="CJ31" s="230">
        <v>14500</v>
      </c>
      <c r="CK31" s="230">
        <v>14000</v>
      </c>
      <c r="CL31" s="228">
        <v>500</v>
      </c>
      <c r="CM31" s="229">
        <v>3.5700000000000003E-2</v>
      </c>
      <c r="CN31" s="230">
        <v>2725000</v>
      </c>
      <c r="CO31" s="230">
        <v>2685000</v>
      </c>
      <c r="CP31" s="230">
        <v>40000</v>
      </c>
      <c r="CQ31" s="229">
        <v>1.49E-2</v>
      </c>
      <c r="CR31" s="230">
        <v>1591000</v>
      </c>
      <c r="CS31" s="230">
        <v>1500500</v>
      </c>
      <c r="CT31" s="230">
        <v>90500</v>
      </c>
      <c r="CU31" s="229">
        <v>6.0299999999999999E-2</v>
      </c>
      <c r="CV31" s="230">
        <v>12681000</v>
      </c>
      <c r="CW31" s="230">
        <v>12284000</v>
      </c>
      <c r="CX31" s="230">
        <v>397000</v>
      </c>
      <c r="CY31" s="229">
        <v>3.2300000000000002E-2</v>
      </c>
      <c r="CZ31" s="228">
        <v>23.8</v>
      </c>
      <c r="DA31" s="228">
        <v>24.76</v>
      </c>
      <c r="DB31" s="228">
        <v>-0.96</v>
      </c>
      <c r="DC31" s="228">
        <v>-0.96</v>
      </c>
      <c r="DD31" s="228">
        <v>36.43</v>
      </c>
      <c r="DE31" s="228">
        <v>36.520000000000003</v>
      </c>
      <c r="DF31" s="228">
        <v>-12.63</v>
      </c>
      <c r="DG31" s="228">
        <v>-0.09</v>
      </c>
      <c r="DH31" s="228">
        <v>23.85</v>
      </c>
      <c r="DI31" s="228">
        <v>24.79</v>
      </c>
      <c r="DJ31" s="228">
        <v>-0.94</v>
      </c>
      <c r="DK31" s="228">
        <v>-0.94</v>
      </c>
      <c r="DL31" s="228">
        <v>23.7</v>
      </c>
      <c r="DM31" s="228">
        <v>24.61</v>
      </c>
      <c r="DN31" s="228">
        <v>-0.91</v>
      </c>
      <c r="DO31" s="228">
        <v>-0.91</v>
      </c>
      <c r="DP31" s="228">
        <v>0.57999999999999996</v>
      </c>
      <c r="DQ31" s="228">
        <v>0.56000000000000005</v>
      </c>
      <c r="DR31" s="228">
        <v>0.02</v>
      </c>
      <c r="DS31" s="229">
        <v>3.5700000000000003E-2</v>
      </c>
      <c r="DT31" s="231">
        <v>1500</v>
      </c>
      <c r="DU31" s="231">
        <v>1460</v>
      </c>
      <c r="DV31" s="228">
        <v>0.48</v>
      </c>
      <c r="DW31" s="228">
        <v>0.24</v>
      </c>
      <c r="DX31" s="228">
        <v>0.24</v>
      </c>
      <c r="DY31" s="229">
        <v>1</v>
      </c>
      <c r="DZ31" s="229">
        <v>1.61E-2</v>
      </c>
      <c r="EA31" s="230">
        <v>132500</v>
      </c>
      <c r="EB31" s="229">
        <v>5.4000000000000003E-3</v>
      </c>
      <c r="EC31" s="229">
        <v>1.61E-2</v>
      </c>
      <c r="ED31" s="228">
        <v>6.36</v>
      </c>
      <c r="EE31" s="229">
        <v>4.3E-3</v>
      </c>
      <c r="EF31" s="230">
        <v>116664</v>
      </c>
      <c r="EG31" s="230">
        <v>496145</v>
      </c>
      <c r="EH31" s="229">
        <v>-0.76490000000000002</v>
      </c>
      <c r="EI31" s="229">
        <v>0.30209999999999998</v>
      </c>
      <c r="EJ31" s="231">
        <v>50703.81</v>
      </c>
      <c r="EK31" s="231">
        <v>23317.63</v>
      </c>
      <c r="EL31" s="231">
        <v>17825.54</v>
      </c>
      <c r="EM31" s="231">
        <v>9210</v>
      </c>
      <c r="EN31" s="231">
        <v>91846.98</v>
      </c>
      <c r="EO31" s="231">
        <v>282668.67</v>
      </c>
      <c r="EP31" s="231">
        <v>-190821.69</v>
      </c>
      <c r="EQ31" s="229">
        <v>-0.67510000000000003</v>
      </c>
      <c r="ER31" s="231">
        <v>41033</v>
      </c>
      <c r="ES31" s="231">
        <v>22731</v>
      </c>
      <c r="ET31" s="231">
        <v>123294</v>
      </c>
      <c r="EU31" s="231">
        <v>40107751</v>
      </c>
      <c r="EV31" s="231">
        <v>187058</v>
      </c>
      <c r="EW31" s="231">
        <v>181421</v>
      </c>
      <c r="EX31" s="231">
        <v>5637</v>
      </c>
      <c r="EY31" s="229">
        <v>3.1099999999999999E-2</v>
      </c>
      <c r="EZ31" s="229">
        <v>0.31619999999999998</v>
      </c>
      <c r="FA31" s="227" t="s">
        <v>567</v>
      </c>
      <c r="FB31" s="161">
        <f t="shared" si="0"/>
        <v>134500</v>
      </c>
    </row>
    <row r="32" spans="1:158" ht="17.25" hidden="1" thickBot="1" x14ac:dyDescent="0.3">
      <c r="A32" s="226">
        <v>46023</v>
      </c>
      <c r="B32" s="227" t="s">
        <v>188</v>
      </c>
      <c r="C32" s="227" t="s">
        <v>189</v>
      </c>
      <c r="D32" s="228">
        <v>475</v>
      </c>
      <c r="E32" s="231">
        <v>2123.6</v>
      </c>
      <c r="F32" s="231">
        <v>2118.9</v>
      </c>
      <c r="G32" s="228">
        <v>4.7</v>
      </c>
      <c r="H32" s="229">
        <v>2.2000000000000001E-3</v>
      </c>
      <c r="I32" s="231">
        <v>2110.4</v>
      </c>
      <c r="J32" s="231">
        <v>2105.6</v>
      </c>
      <c r="K32" s="228">
        <v>4.8</v>
      </c>
      <c r="L32" s="229">
        <v>2.3E-3</v>
      </c>
      <c r="M32" s="231">
        <v>2123.6</v>
      </c>
      <c r="N32" s="231">
        <v>2118.9</v>
      </c>
      <c r="O32" s="228">
        <v>4.7</v>
      </c>
      <c r="P32" s="229">
        <v>2.2000000000000001E-3</v>
      </c>
      <c r="Q32" s="231">
        <v>2132.5</v>
      </c>
      <c r="R32" s="231">
        <v>2125.8000000000002</v>
      </c>
      <c r="S32" s="228">
        <v>6.7</v>
      </c>
      <c r="T32" s="229">
        <v>3.2000000000000002E-3</v>
      </c>
      <c r="U32" s="231">
        <v>2143.6</v>
      </c>
      <c r="V32" s="231">
        <v>2136.8000000000002</v>
      </c>
      <c r="W32" s="228">
        <v>6.8</v>
      </c>
      <c r="X32" s="229">
        <v>3.2000000000000002E-3</v>
      </c>
      <c r="Y32" s="228">
        <v>13.2</v>
      </c>
      <c r="Z32" s="228">
        <v>13.3</v>
      </c>
      <c r="AA32" s="228">
        <v>-0.1</v>
      </c>
      <c r="AB32" s="229">
        <v>6.3E-3</v>
      </c>
      <c r="AC32" s="228">
        <v>13.2</v>
      </c>
      <c r="AD32" s="228">
        <v>13.3</v>
      </c>
      <c r="AE32" s="228">
        <v>-0.1</v>
      </c>
      <c r="AF32" s="229">
        <v>6.3E-3</v>
      </c>
      <c r="AG32" s="228">
        <v>22.1</v>
      </c>
      <c r="AH32" s="228">
        <v>20.2</v>
      </c>
      <c r="AI32" s="228">
        <v>1.9</v>
      </c>
      <c r="AJ32" s="229">
        <v>1.0500000000000001E-2</v>
      </c>
      <c r="AK32" s="228">
        <v>33.200000000000003</v>
      </c>
      <c r="AL32" s="228">
        <v>31.2</v>
      </c>
      <c r="AM32" s="228">
        <v>2</v>
      </c>
      <c r="AN32" s="229">
        <v>1.5699999999999999E-2</v>
      </c>
      <c r="AO32" s="231">
        <v>2126.81</v>
      </c>
      <c r="AP32" s="231">
        <v>2135.17</v>
      </c>
      <c r="AQ32" s="228">
        <v>0</v>
      </c>
      <c r="AR32" s="230">
        <v>2428200</v>
      </c>
      <c r="AS32" s="230">
        <v>4152925</v>
      </c>
      <c r="AT32" s="230">
        <v>-1724725</v>
      </c>
      <c r="AU32" s="229">
        <v>-0.4153</v>
      </c>
      <c r="AV32" s="230">
        <v>2314200</v>
      </c>
      <c r="AW32" s="230">
        <v>3857000</v>
      </c>
      <c r="AX32" s="230">
        <v>-1542800</v>
      </c>
      <c r="AY32" s="229">
        <v>-0.4</v>
      </c>
      <c r="AZ32" s="230">
        <v>73625</v>
      </c>
      <c r="BA32" s="230">
        <v>288800</v>
      </c>
      <c r="BB32" s="230">
        <v>-215175</v>
      </c>
      <c r="BC32" s="229">
        <v>-0.74509999999999998</v>
      </c>
      <c r="BD32" s="230">
        <v>40375</v>
      </c>
      <c r="BE32" s="230">
        <v>7125</v>
      </c>
      <c r="BF32" s="230">
        <v>33250</v>
      </c>
      <c r="BG32" s="229">
        <v>4.6666999999999996</v>
      </c>
      <c r="BH32" s="230">
        <v>9527550</v>
      </c>
      <c r="BI32" s="230">
        <v>18179675</v>
      </c>
      <c r="BJ32" s="230">
        <v>-8652125</v>
      </c>
      <c r="BK32" s="229">
        <v>-0.47589999999999999</v>
      </c>
      <c r="BL32" s="230">
        <v>4438875</v>
      </c>
      <c r="BM32" s="230">
        <v>9062525</v>
      </c>
      <c r="BN32" s="230">
        <v>-4623650</v>
      </c>
      <c r="BO32" s="229">
        <v>-0.51019999999999999</v>
      </c>
      <c r="BP32" s="230">
        <v>16394625</v>
      </c>
      <c r="BQ32" s="230">
        <v>31395125</v>
      </c>
      <c r="BR32" s="230">
        <v>-15000500</v>
      </c>
      <c r="BS32" s="229">
        <v>-0.4778</v>
      </c>
      <c r="BT32" s="230">
        <v>2326718</v>
      </c>
      <c r="BU32" s="230">
        <v>3068298</v>
      </c>
      <c r="BV32" s="230">
        <v>-741580</v>
      </c>
      <c r="BW32" s="229">
        <v>-0.2417</v>
      </c>
      <c r="BX32" s="230">
        <v>48456650</v>
      </c>
      <c r="BY32" s="230">
        <v>48261900</v>
      </c>
      <c r="BZ32" s="230">
        <v>194750</v>
      </c>
      <c r="CA32" s="229">
        <v>4.0000000000000001E-3</v>
      </c>
      <c r="CB32" s="230">
        <v>46449300</v>
      </c>
      <c r="CC32" s="230">
        <v>46298250</v>
      </c>
      <c r="CD32" s="230">
        <v>151050</v>
      </c>
      <c r="CE32" s="229">
        <v>3.3E-3</v>
      </c>
      <c r="CF32" s="230">
        <v>1972200</v>
      </c>
      <c r="CG32" s="230">
        <v>1957950</v>
      </c>
      <c r="CH32" s="230">
        <v>14250</v>
      </c>
      <c r="CI32" s="229">
        <v>7.3000000000000001E-3</v>
      </c>
      <c r="CJ32" s="230">
        <v>35150</v>
      </c>
      <c r="CK32" s="230">
        <v>5700</v>
      </c>
      <c r="CL32" s="230">
        <v>29450</v>
      </c>
      <c r="CM32" s="229">
        <v>5.1666999999999996</v>
      </c>
      <c r="CN32" s="230">
        <v>6517475</v>
      </c>
      <c r="CO32" s="230">
        <v>5855800</v>
      </c>
      <c r="CP32" s="230">
        <v>661675</v>
      </c>
      <c r="CQ32" s="229">
        <v>0.113</v>
      </c>
      <c r="CR32" s="230">
        <v>4285450</v>
      </c>
      <c r="CS32" s="230">
        <v>3827550</v>
      </c>
      <c r="CT32" s="230">
        <v>457900</v>
      </c>
      <c r="CU32" s="229">
        <v>0.1196</v>
      </c>
      <c r="CV32" s="230">
        <v>59259575</v>
      </c>
      <c r="CW32" s="230">
        <v>57945250</v>
      </c>
      <c r="CX32" s="230">
        <v>1314325</v>
      </c>
      <c r="CY32" s="229">
        <v>2.2700000000000001E-2</v>
      </c>
      <c r="CZ32" s="228">
        <v>14.43</v>
      </c>
      <c r="DA32" s="228">
        <v>15.11</v>
      </c>
      <c r="DB32" s="228">
        <v>-0.68</v>
      </c>
      <c r="DC32" s="228">
        <v>-0.68</v>
      </c>
      <c r="DD32" s="228">
        <v>24.37</v>
      </c>
      <c r="DE32" s="228">
        <v>24.42</v>
      </c>
      <c r="DF32" s="228">
        <v>-9.94</v>
      </c>
      <c r="DG32" s="228">
        <v>-0.05</v>
      </c>
      <c r="DH32" s="228">
        <v>14.28</v>
      </c>
      <c r="DI32" s="228">
        <v>14.9</v>
      </c>
      <c r="DJ32" s="228">
        <v>-0.62</v>
      </c>
      <c r="DK32" s="228">
        <v>-0.62</v>
      </c>
      <c r="DL32" s="228">
        <v>14.74</v>
      </c>
      <c r="DM32" s="228">
        <v>15.53</v>
      </c>
      <c r="DN32" s="228">
        <v>-0.79</v>
      </c>
      <c r="DO32" s="228">
        <v>-0.79</v>
      </c>
      <c r="DP32" s="228">
        <v>0.66</v>
      </c>
      <c r="DQ32" s="228">
        <v>0.65</v>
      </c>
      <c r="DR32" s="228">
        <v>0.01</v>
      </c>
      <c r="DS32" s="229">
        <v>1.54E-2</v>
      </c>
      <c r="DT32" s="231">
        <v>2200</v>
      </c>
      <c r="DU32" s="231">
        <v>2000</v>
      </c>
      <c r="DV32" s="228">
        <v>0.47</v>
      </c>
      <c r="DW32" s="228">
        <v>0.5</v>
      </c>
      <c r="DX32" s="228">
        <v>-0.03</v>
      </c>
      <c r="DY32" s="229">
        <v>-0.06</v>
      </c>
      <c r="DZ32" s="229">
        <v>4.1399999999999999E-2</v>
      </c>
      <c r="EA32" s="230">
        <v>1963650</v>
      </c>
      <c r="EB32" s="229">
        <v>4.1999999999999997E-3</v>
      </c>
      <c r="EC32" s="229">
        <v>4.1399999999999999E-2</v>
      </c>
      <c r="ED32" s="228">
        <v>8.36</v>
      </c>
      <c r="EE32" s="229">
        <v>3.8999999999999998E-3</v>
      </c>
      <c r="EF32" s="230">
        <v>745060</v>
      </c>
      <c r="EG32" s="230">
        <v>1957453</v>
      </c>
      <c r="EH32" s="229">
        <v>-0.61939999999999995</v>
      </c>
      <c r="EI32" s="229">
        <v>0.32019999999999998</v>
      </c>
      <c r="EJ32" s="231">
        <v>207837.1</v>
      </c>
      <c r="EK32" s="231">
        <v>93032.68</v>
      </c>
      <c r="EL32" s="231">
        <v>51657.4</v>
      </c>
      <c r="EM32" s="231">
        <v>33536</v>
      </c>
      <c r="EN32" s="231">
        <v>352527.18</v>
      </c>
      <c r="EO32" s="231">
        <v>672530.75</v>
      </c>
      <c r="EP32" s="231">
        <v>-320003.57</v>
      </c>
      <c r="EQ32" s="229">
        <v>-0.4758</v>
      </c>
      <c r="ER32" s="231">
        <v>141406</v>
      </c>
      <c r="ES32" s="231">
        <v>88277</v>
      </c>
      <c r="ET32" s="231">
        <v>1029208</v>
      </c>
      <c r="EU32" s="231">
        <v>367085962</v>
      </c>
      <c r="EV32" s="231">
        <v>1258891</v>
      </c>
      <c r="EW32" s="231">
        <v>1228482</v>
      </c>
      <c r="EX32" s="231">
        <v>30409</v>
      </c>
      <c r="EY32" s="229">
        <v>2.4799999999999999E-2</v>
      </c>
      <c r="EZ32" s="229">
        <v>0.16139999999999999</v>
      </c>
      <c r="FA32" s="227" t="s">
        <v>555</v>
      </c>
      <c r="FB32" s="161">
        <f t="shared" si="0"/>
        <v>2007350</v>
      </c>
    </row>
    <row r="33" spans="1:158" ht="17.25" hidden="1" thickBot="1" x14ac:dyDescent="0.3">
      <c r="A33" s="226">
        <v>46023</v>
      </c>
      <c r="B33" s="227" t="s">
        <v>184</v>
      </c>
      <c r="C33" s="227" t="s">
        <v>190</v>
      </c>
      <c r="D33" s="228">
        <v>2625</v>
      </c>
      <c r="E33" s="228">
        <v>293.39999999999998</v>
      </c>
      <c r="F33" s="228">
        <v>289.2</v>
      </c>
      <c r="G33" s="228">
        <v>4.2</v>
      </c>
      <c r="H33" s="229">
        <v>1.4500000000000001E-2</v>
      </c>
      <c r="I33" s="228">
        <v>291.45</v>
      </c>
      <c r="J33" s="228">
        <v>287.45</v>
      </c>
      <c r="K33" s="228">
        <v>4</v>
      </c>
      <c r="L33" s="229">
        <v>1.3899999999999999E-2</v>
      </c>
      <c r="M33" s="228">
        <v>293.39999999999998</v>
      </c>
      <c r="N33" s="228">
        <v>289.2</v>
      </c>
      <c r="O33" s="228">
        <v>4.2</v>
      </c>
      <c r="P33" s="229">
        <v>1.4500000000000001E-2</v>
      </c>
      <c r="Q33" s="228">
        <v>295.10000000000002</v>
      </c>
      <c r="R33" s="228">
        <v>290.8</v>
      </c>
      <c r="S33" s="228">
        <v>4.3</v>
      </c>
      <c r="T33" s="229">
        <v>1.4800000000000001E-2</v>
      </c>
      <c r="U33" s="228">
        <v>296.45</v>
      </c>
      <c r="V33" s="228">
        <v>292.85000000000002</v>
      </c>
      <c r="W33" s="228">
        <v>3.6</v>
      </c>
      <c r="X33" s="229">
        <v>1.23E-2</v>
      </c>
      <c r="Y33" s="228">
        <v>1.95</v>
      </c>
      <c r="Z33" s="228">
        <v>1.75</v>
      </c>
      <c r="AA33" s="228">
        <v>0.2</v>
      </c>
      <c r="AB33" s="229">
        <v>6.7000000000000002E-3</v>
      </c>
      <c r="AC33" s="228">
        <v>1.95</v>
      </c>
      <c r="AD33" s="228">
        <v>1.75</v>
      </c>
      <c r="AE33" s="228">
        <v>0.2</v>
      </c>
      <c r="AF33" s="229">
        <v>6.7000000000000002E-3</v>
      </c>
      <c r="AG33" s="228">
        <v>3.65</v>
      </c>
      <c r="AH33" s="228">
        <v>3.35</v>
      </c>
      <c r="AI33" s="228">
        <v>0.3</v>
      </c>
      <c r="AJ33" s="229">
        <v>1.2500000000000001E-2</v>
      </c>
      <c r="AK33" s="228">
        <v>5</v>
      </c>
      <c r="AL33" s="228">
        <v>5.4</v>
      </c>
      <c r="AM33" s="228">
        <v>-0.4</v>
      </c>
      <c r="AN33" s="229">
        <v>1.72E-2</v>
      </c>
      <c r="AO33" s="228">
        <v>292.66000000000003</v>
      </c>
      <c r="AP33" s="228">
        <v>294.14</v>
      </c>
      <c r="AQ33" s="228">
        <v>0</v>
      </c>
      <c r="AR33" s="230">
        <v>16101750</v>
      </c>
      <c r="AS33" s="230">
        <v>25108125</v>
      </c>
      <c r="AT33" s="230">
        <v>-9006375</v>
      </c>
      <c r="AU33" s="229">
        <v>-0.35870000000000002</v>
      </c>
      <c r="AV33" s="230">
        <v>15277500</v>
      </c>
      <c r="AW33" s="230">
        <v>23811375</v>
      </c>
      <c r="AX33" s="230">
        <v>-8533875</v>
      </c>
      <c r="AY33" s="229">
        <v>-0.3584</v>
      </c>
      <c r="AZ33" s="230">
        <v>721875</v>
      </c>
      <c r="BA33" s="230">
        <v>1241625</v>
      </c>
      <c r="BB33" s="230">
        <v>-519750</v>
      </c>
      <c r="BC33" s="229">
        <v>-0.41860000000000003</v>
      </c>
      <c r="BD33" s="230">
        <v>102375</v>
      </c>
      <c r="BE33" s="230">
        <v>55125</v>
      </c>
      <c r="BF33" s="230">
        <v>47250</v>
      </c>
      <c r="BG33" s="229">
        <v>0.85709999999999997</v>
      </c>
      <c r="BH33" s="230">
        <v>56823375</v>
      </c>
      <c r="BI33" s="230">
        <v>66774750</v>
      </c>
      <c r="BJ33" s="230">
        <v>-9951375</v>
      </c>
      <c r="BK33" s="229">
        <v>-0.14899999999999999</v>
      </c>
      <c r="BL33" s="230">
        <v>17125500</v>
      </c>
      <c r="BM33" s="230">
        <v>23974125</v>
      </c>
      <c r="BN33" s="230">
        <v>-6848625</v>
      </c>
      <c r="BO33" s="229">
        <v>-0.28570000000000001</v>
      </c>
      <c r="BP33" s="230">
        <v>90050625</v>
      </c>
      <c r="BQ33" s="230">
        <v>115857000</v>
      </c>
      <c r="BR33" s="230">
        <v>-25806375</v>
      </c>
      <c r="BS33" s="229">
        <v>-0.22270000000000001</v>
      </c>
      <c r="BT33" s="230">
        <v>8571944</v>
      </c>
      <c r="BU33" s="230">
        <v>11279282</v>
      </c>
      <c r="BV33" s="230">
        <v>-2707338</v>
      </c>
      <c r="BW33" s="229">
        <v>-0.24</v>
      </c>
      <c r="BX33" s="230">
        <v>68331375</v>
      </c>
      <c r="BY33" s="230">
        <v>66782625</v>
      </c>
      <c r="BZ33" s="230">
        <v>1548750</v>
      </c>
      <c r="CA33" s="229">
        <v>2.3199999999999998E-2</v>
      </c>
      <c r="CB33" s="230">
        <v>66780000</v>
      </c>
      <c r="CC33" s="230">
        <v>65307375</v>
      </c>
      <c r="CD33" s="230">
        <v>1472625</v>
      </c>
      <c r="CE33" s="229">
        <v>2.2499999999999999E-2</v>
      </c>
      <c r="CF33" s="230">
        <v>1485750</v>
      </c>
      <c r="CG33" s="230">
        <v>1428000</v>
      </c>
      <c r="CH33" s="230">
        <v>57750</v>
      </c>
      <c r="CI33" s="229">
        <v>4.0399999999999998E-2</v>
      </c>
      <c r="CJ33" s="230">
        <v>65625</v>
      </c>
      <c r="CK33" s="230">
        <v>47250</v>
      </c>
      <c r="CL33" s="230">
        <v>18375</v>
      </c>
      <c r="CM33" s="229">
        <v>0.38890000000000002</v>
      </c>
      <c r="CN33" s="230">
        <v>29904000</v>
      </c>
      <c r="CO33" s="230">
        <v>27882750</v>
      </c>
      <c r="CP33" s="230">
        <v>2021250</v>
      </c>
      <c r="CQ33" s="229">
        <v>7.2499999999999995E-2</v>
      </c>
      <c r="CR33" s="230">
        <v>17448375</v>
      </c>
      <c r="CS33" s="230">
        <v>15017625</v>
      </c>
      <c r="CT33" s="230">
        <v>2430750</v>
      </c>
      <c r="CU33" s="229">
        <v>0.16189999999999999</v>
      </c>
      <c r="CV33" s="230">
        <v>115683750</v>
      </c>
      <c r="CW33" s="230">
        <v>109683000</v>
      </c>
      <c r="CX33" s="230">
        <v>6000750</v>
      </c>
      <c r="CY33" s="229">
        <v>5.4699999999999999E-2</v>
      </c>
      <c r="CZ33" s="228">
        <v>30.42</v>
      </c>
      <c r="DA33" s="228">
        <v>30.67</v>
      </c>
      <c r="DB33" s="228">
        <v>-0.25</v>
      </c>
      <c r="DC33" s="228">
        <v>-0.25</v>
      </c>
      <c r="DD33" s="228">
        <v>43.56</v>
      </c>
      <c r="DE33" s="228">
        <v>43.63</v>
      </c>
      <c r="DF33" s="228">
        <v>-13.14</v>
      </c>
      <c r="DG33" s="228">
        <v>-7.0000000000000007E-2</v>
      </c>
      <c r="DH33" s="228">
        <v>30.35</v>
      </c>
      <c r="DI33" s="228">
        <v>30.66</v>
      </c>
      <c r="DJ33" s="228">
        <v>-0.31</v>
      </c>
      <c r="DK33" s="228">
        <v>-0.31</v>
      </c>
      <c r="DL33" s="228">
        <v>30.67</v>
      </c>
      <c r="DM33" s="228">
        <v>30.68</v>
      </c>
      <c r="DN33" s="228">
        <v>-0.01</v>
      </c>
      <c r="DO33" s="228">
        <v>-0.01</v>
      </c>
      <c r="DP33" s="228">
        <v>0.57999999999999996</v>
      </c>
      <c r="DQ33" s="228">
        <v>0.54</v>
      </c>
      <c r="DR33" s="228">
        <v>0.04</v>
      </c>
      <c r="DS33" s="229">
        <v>7.4099999999999999E-2</v>
      </c>
      <c r="DT33" s="228">
        <v>300</v>
      </c>
      <c r="DU33" s="228">
        <v>280</v>
      </c>
      <c r="DV33" s="228">
        <v>0.3</v>
      </c>
      <c r="DW33" s="228">
        <v>0.36</v>
      </c>
      <c r="DX33" s="228">
        <v>-0.06</v>
      </c>
      <c r="DY33" s="229">
        <v>-0.16669999999999999</v>
      </c>
      <c r="DZ33" s="229">
        <v>2.2700000000000001E-2</v>
      </c>
      <c r="EA33" s="230">
        <v>1475250</v>
      </c>
      <c r="EB33" s="229">
        <v>5.7999999999999996E-3</v>
      </c>
      <c r="EC33" s="229">
        <v>2.2700000000000001E-2</v>
      </c>
      <c r="ED33" s="228">
        <v>1.48</v>
      </c>
      <c r="EE33" s="229">
        <v>5.1000000000000004E-3</v>
      </c>
      <c r="EF33" s="230">
        <v>3070639</v>
      </c>
      <c r="EG33" s="230">
        <v>4503238</v>
      </c>
      <c r="EH33" s="229">
        <v>-0.31809999999999999</v>
      </c>
      <c r="EI33" s="229">
        <v>0.35820000000000002</v>
      </c>
      <c r="EJ33" s="231">
        <v>173903.69</v>
      </c>
      <c r="EK33" s="231">
        <v>49337.8</v>
      </c>
      <c r="EL33" s="231">
        <v>47137.24</v>
      </c>
      <c r="EM33" s="231">
        <v>14187</v>
      </c>
      <c r="EN33" s="231">
        <v>270378.73</v>
      </c>
      <c r="EO33" s="231">
        <v>343251.57</v>
      </c>
      <c r="EP33" s="231">
        <v>-72872.84</v>
      </c>
      <c r="EQ33" s="229">
        <v>-0.21229999999999999</v>
      </c>
      <c r="ER33" s="231">
        <v>88607</v>
      </c>
      <c r="ES33" s="231">
        <v>48063</v>
      </c>
      <c r="ET33" s="231">
        <v>200512</v>
      </c>
      <c r="EU33" s="231">
        <v>192361942</v>
      </c>
      <c r="EV33" s="231">
        <v>337181</v>
      </c>
      <c r="EW33" s="231">
        <v>316666</v>
      </c>
      <c r="EX33" s="231">
        <v>20515</v>
      </c>
      <c r="EY33" s="229">
        <v>6.4799999999999996E-2</v>
      </c>
      <c r="EZ33" s="229">
        <v>0.60140000000000005</v>
      </c>
      <c r="FA33" s="227" t="s">
        <v>555</v>
      </c>
      <c r="FB33" s="161">
        <f t="shared" si="0"/>
        <v>1551375</v>
      </c>
    </row>
    <row r="34" spans="1:158" ht="17.25" hidden="1" thickBot="1" x14ac:dyDescent="0.3">
      <c r="A34" s="226">
        <v>46023</v>
      </c>
      <c r="B34" s="227" t="s">
        <v>170</v>
      </c>
      <c r="C34" s="227" t="s">
        <v>191</v>
      </c>
      <c r="D34" s="228">
        <v>2500</v>
      </c>
      <c r="E34" s="228">
        <v>390.35</v>
      </c>
      <c r="F34" s="228">
        <v>395.9</v>
      </c>
      <c r="G34" s="228">
        <v>-5.55</v>
      </c>
      <c r="H34" s="229">
        <v>-1.4E-2</v>
      </c>
      <c r="I34" s="228">
        <v>387.75</v>
      </c>
      <c r="J34" s="228">
        <v>393.9</v>
      </c>
      <c r="K34" s="228">
        <v>-6.15</v>
      </c>
      <c r="L34" s="229">
        <v>-1.5599999999999999E-2</v>
      </c>
      <c r="M34" s="228">
        <v>390.35</v>
      </c>
      <c r="N34" s="228">
        <v>395.9</v>
      </c>
      <c r="O34" s="228">
        <v>-5.55</v>
      </c>
      <c r="P34" s="229">
        <v>-1.4E-2</v>
      </c>
      <c r="Q34" s="228">
        <v>392.55</v>
      </c>
      <c r="R34" s="228">
        <v>398.15</v>
      </c>
      <c r="S34" s="228">
        <v>-5.6</v>
      </c>
      <c r="T34" s="229">
        <v>-1.41E-2</v>
      </c>
      <c r="U34" s="228">
        <v>394.8</v>
      </c>
      <c r="V34" s="228">
        <v>400.25</v>
      </c>
      <c r="W34" s="228">
        <v>-5.45</v>
      </c>
      <c r="X34" s="229">
        <v>-1.3599999999999999E-2</v>
      </c>
      <c r="Y34" s="228">
        <v>2.6</v>
      </c>
      <c r="Z34" s="228">
        <v>2</v>
      </c>
      <c r="AA34" s="228">
        <v>0.6</v>
      </c>
      <c r="AB34" s="229">
        <v>6.7000000000000002E-3</v>
      </c>
      <c r="AC34" s="228">
        <v>2.6</v>
      </c>
      <c r="AD34" s="228">
        <v>2</v>
      </c>
      <c r="AE34" s="228">
        <v>0.6</v>
      </c>
      <c r="AF34" s="229">
        <v>6.7000000000000002E-3</v>
      </c>
      <c r="AG34" s="228">
        <v>4.8</v>
      </c>
      <c r="AH34" s="228">
        <v>4.25</v>
      </c>
      <c r="AI34" s="228">
        <v>0.55000000000000004</v>
      </c>
      <c r="AJ34" s="229">
        <v>1.24E-2</v>
      </c>
      <c r="AK34" s="228">
        <v>7.05</v>
      </c>
      <c r="AL34" s="228">
        <v>6.35</v>
      </c>
      <c r="AM34" s="228">
        <v>0.7</v>
      </c>
      <c r="AN34" s="229">
        <v>1.8200000000000001E-2</v>
      </c>
      <c r="AO34" s="228">
        <v>390.61</v>
      </c>
      <c r="AP34" s="228">
        <v>392.76</v>
      </c>
      <c r="AQ34" s="228">
        <v>0</v>
      </c>
      <c r="AR34" s="230">
        <v>4322500</v>
      </c>
      <c r="AS34" s="230">
        <v>3895000</v>
      </c>
      <c r="AT34" s="230">
        <v>427500</v>
      </c>
      <c r="AU34" s="229">
        <v>0.10979999999999999</v>
      </c>
      <c r="AV34" s="230">
        <v>3975000</v>
      </c>
      <c r="AW34" s="230">
        <v>3740000</v>
      </c>
      <c r="AX34" s="230">
        <v>235000</v>
      </c>
      <c r="AY34" s="229">
        <v>6.2799999999999995E-2</v>
      </c>
      <c r="AZ34" s="230">
        <v>305000</v>
      </c>
      <c r="BA34" s="230">
        <v>127500</v>
      </c>
      <c r="BB34" s="230">
        <v>177500</v>
      </c>
      <c r="BC34" s="229">
        <v>1.3922000000000001</v>
      </c>
      <c r="BD34" s="230">
        <v>42500</v>
      </c>
      <c r="BE34" s="230">
        <v>27500</v>
      </c>
      <c r="BF34" s="230">
        <v>15000</v>
      </c>
      <c r="BG34" s="229">
        <v>0.54549999999999998</v>
      </c>
      <c r="BH34" s="230">
        <v>10410000</v>
      </c>
      <c r="BI34" s="230">
        <v>11655000</v>
      </c>
      <c r="BJ34" s="230">
        <v>-1245000</v>
      </c>
      <c r="BK34" s="229">
        <v>-0.10680000000000001</v>
      </c>
      <c r="BL34" s="230">
        <v>5652500</v>
      </c>
      <c r="BM34" s="230">
        <v>5630000</v>
      </c>
      <c r="BN34" s="230">
        <v>22500</v>
      </c>
      <c r="BO34" s="229">
        <v>4.0000000000000001E-3</v>
      </c>
      <c r="BP34" s="230">
        <v>20385000</v>
      </c>
      <c r="BQ34" s="230">
        <v>21180000</v>
      </c>
      <c r="BR34" s="230">
        <v>-795000</v>
      </c>
      <c r="BS34" s="229">
        <v>-3.7499999999999999E-2</v>
      </c>
      <c r="BT34" s="230">
        <v>1392260</v>
      </c>
      <c r="BU34" s="230">
        <v>1319602</v>
      </c>
      <c r="BV34" s="230">
        <v>72658</v>
      </c>
      <c r="BW34" s="229">
        <v>5.5100000000000003E-2</v>
      </c>
      <c r="BX34" s="230">
        <v>45000000</v>
      </c>
      <c r="BY34" s="230">
        <v>44685000</v>
      </c>
      <c r="BZ34" s="230">
        <v>315000</v>
      </c>
      <c r="CA34" s="229">
        <v>7.0000000000000001E-3</v>
      </c>
      <c r="CB34" s="230">
        <v>44287500</v>
      </c>
      <c r="CC34" s="230">
        <v>44127500</v>
      </c>
      <c r="CD34" s="230">
        <v>160000</v>
      </c>
      <c r="CE34" s="229">
        <v>3.5999999999999999E-3</v>
      </c>
      <c r="CF34" s="230">
        <v>672500</v>
      </c>
      <c r="CG34" s="230">
        <v>542500</v>
      </c>
      <c r="CH34" s="230">
        <v>130000</v>
      </c>
      <c r="CI34" s="229">
        <v>0.23960000000000001</v>
      </c>
      <c r="CJ34" s="230">
        <v>40000</v>
      </c>
      <c r="CK34" s="230">
        <v>15000</v>
      </c>
      <c r="CL34" s="230">
        <v>25000</v>
      </c>
      <c r="CM34" s="229">
        <v>1.6667000000000001</v>
      </c>
      <c r="CN34" s="230">
        <v>12312500</v>
      </c>
      <c r="CO34" s="230">
        <v>11235000</v>
      </c>
      <c r="CP34" s="230">
        <v>1077500</v>
      </c>
      <c r="CQ34" s="229">
        <v>9.5899999999999999E-2</v>
      </c>
      <c r="CR34" s="230">
        <v>7985000</v>
      </c>
      <c r="CS34" s="230">
        <v>7282500</v>
      </c>
      <c r="CT34" s="230">
        <v>702500</v>
      </c>
      <c r="CU34" s="229">
        <v>9.6500000000000002E-2</v>
      </c>
      <c r="CV34" s="230">
        <v>65297500</v>
      </c>
      <c r="CW34" s="230">
        <v>63202500</v>
      </c>
      <c r="CX34" s="230">
        <v>2095000</v>
      </c>
      <c r="CY34" s="229">
        <v>3.3099999999999997E-2</v>
      </c>
      <c r="CZ34" s="228">
        <v>24.89</v>
      </c>
      <c r="DA34" s="228">
        <v>25.03</v>
      </c>
      <c r="DB34" s="228">
        <v>-0.14000000000000001</v>
      </c>
      <c r="DC34" s="228">
        <v>-0.14000000000000001</v>
      </c>
      <c r="DD34" s="228">
        <v>37.86</v>
      </c>
      <c r="DE34" s="228">
        <v>37.909999999999997</v>
      </c>
      <c r="DF34" s="228">
        <v>-12.97</v>
      </c>
      <c r="DG34" s="228">
        <v>-0.05</v>
      </c>
      <c r="DH34" s="228">
        <v>24.92</v>
      </c>
      <c r="DI34" s="228">
        <v>24.82</v>
      </c>
      <c r="DJ34" s="228">
        <v>0.1</v>
      </c>
      <c r="DK34" s="228">
        <v>0.1</v>
      </c>
      <c r="DL34" s="228">
        <v>24.85</v>
      </c>
      <c r="DM34" s="228">
        <v>25.47</v>
      </c>
      <c r="DN34" s="228">
        <v>-0.62</v>
      </c>
      <c r="DO34" s="228">
        <v>-0.62</v>
      </c>
      <c r="DP34" s="228">
        <v>0.65</v>
      </c>
      <c r="DQ34" s="228">
        <v>0.65</v>
      </c>
      <c r="DR34" s="228">
        <v>0</v>
      </c>
      <c r="DS34" s="229">
        <v>0</v>
      </c>
      <c r="DT34" s="228">
        <v>420</v>
      </c>
      <c r="DU34" s="228">
        <v>370</v>
      </c>
      <c r="DV34" s="228">
        <v>0.54</v>
      </c>
      <c r="DW34" s="228">
        <v>0.48</v>
      </c>
      <c r="DX34" s="228">
        <v>0.06</v>
      </c>
      <c r="DY34" s="229">
        <v>0.125</v>
      </c>
      <c r="DZ34" s="229">
        <v>1.5800000000000002E-2</v>
      </c>
      <c r="EA34" s="230">
        <v>557500</v>
      </c>
      <c r="EB34" s="229">
        <v>5.5999999999999999E-3</v>
      </c>
      <c r="EC34" s="229">
        <v>1.5800000000000002E-2</v>
      </c>
      <c r="ED34" s="228">
        <v>2.15</v>
      </c>
      <c r="EE34" s="229">
        <v>5.4999999999999997E-3</v>
      </c>
      <c r="EF34" s="230">
        <v>640548</v>
      </c>
      <c r="EG34" s="230">
        <v>591627</v>
      </c>
      <c r="EH34" s="229">
        <v>8.2699999999999996E-2</v>
      </c>
      <c r="EI34" s="229">
        <v>0.46010000000000001</v>
      </c>
      <c r="EJ34" s="231">
        <v>42851.87</v>
      </c>
      <c r="EK34" s="231">
        <v>21840.77</v>
      </c>
      <c r="EL34" s="231">
        <v>16892.810000000001</v>
      </c>
      <c r="EM34" s="231">
        <v>8971</v>
      </c>
      <c r="EN34" s="231">
        <v>81585.45</v>
      </c>
      <c r="EO34" s="231">
        <v>85116.64</v>
      </c>
      <c r="EP34" s="231">
        <v>-3531.19</v>
      </c>
      <c r="EQ34" s="229">
        <v>-4.1500000000000002E-2</v>
      </c>
      <c r="ER34" s="231">
        <v>50895</v>
      </c>
      <c r="ES34" s="231">
        <v>30515</v>
      </c>
      <c r="ET34" s="231">
        <v>175674</v>
      </c>
      <c r="EU34" s="231">
        <v>91057772</v>
      </c>
      <c r="EV34" s="231">
        <v>257084</v>
      </c>
      <c r="EW34" s="231">
        <v>251495</v>
      </c>
      <c r="EX34" s="231">
        <v>5589</v>
      </c>
      <c r="EY34" s="229">
        <v>2.2200000000000001E-2</v>
      </c>
      <c r="EZ34" s="229">
        <v>0.71709999999999996</v>
      </c>
      <c r="FA34" s="227" t="s">
        <v>567</v>
      </c>
      <c r="FB34" s="161">
        <f t="shared" si="0"/>
        <v>712500</v>
      </c>
    </row>
    <row r="35" spans="1:158" ht="17.25" hidden="1" thickBot="1" x14ac:dyDescent="0.3">
      <c r="A35" s="226">
        <v>46023</v>
      </c>
      <c r="B35" s="227" t="s">
        <v>184</v>
      </c>
      <c r="C35" s="227" t="s">
        <v>679</v>
      </c>
      <c r="D35" s="228">
        <v>325</v>
      </c>
      <c r="E35" s="231">
        <v>1779.7</v>
      </c>
      <c r="F35" s="231">
        <v>1739.8</v>
      </c>
      <c r="G35" s="228">
        <v>39.9</v>
      </c>
      <c r="H35" s="229">
        <v>2.29E-2</v>
      </c>
      <c r="I35" s="231">
        <v>1772.2</v>
      </c>
      <c r="J35" s="231">
        <v>1730.7</v>
      </c>
      <c r="K35" s="228">
        <v>41.5</v>
      </c>
      <c r="L35" s="229">
        <v>2.4E-2</v>
      </c>
      <c r="M35" s="231">
        <v>1779.7</v>
      </c>
      <c r="N35" s="231">
        <v>1739.8</v>
      </c>
      <c r="O35" s="228">
        <v>39.9</v>
      </c>
      <c r="P35" s="229">
        <v>2.29E-2</v>
      </c>
      <c r="Q35" s="231">
        <v>1782.3</v>
      </c>
      <c r="R35" s="231">
        <v>1739.9</v>
      </c>
      <c r="S35" s="228">
        <v>42.4</v>
      </c>
      <c r="T35" s="229">
        <v>2.4400000000000002E-2</v>
      </c>
      <c r="U35" s="228">
        <v>0</v>
      </c>
      <c r="V35" s="228">
        <v>0</v>
      </c>
      <c r="W35" s="228">
        <v>0</v>
      </c>
      <c r="X35" s="229">
        <v>0</v>
      </c>
      <c r="Y35" s="228">
        <v>7.5</v>
      </c>
      <c r="Z35" s="228">
        <v>9.1</v>
      </c>
      <c r="AA35" s="228">
        <v>-1.6</v>
      </c>
      <c r="AB35" s="229">
        <v>4.1999999999999997E-3</v>
      </c>
      <c r="AC35" s="228">
        <v>7.5</v>
      </c>
      <c r="AD35" s="228">
        <v>9.1</v>
      </c>
      <c r="AE35" s="228">
        <v>-1.6</v>
      </c>
      <c r="AF35" s="229">
        <v>4.1999999999999997E-3</v>
      </c>
      <c r="AG35" s="228">
        <v>10.1</v>
      </c>
      <c r="AH35" s="228">
        <v>9.1999999999999993</v>
      </c>
      <c r="AI35" s="228">
        <v>0.9</v>
      </c>
      <c r="AJ35" s="229">
        <v>5.7000000000000002E-3</v>
      </c>
      <c r="AK35" s="228">
        <v>0</v>
      </c>
      <c r="AL35" s="228">
        <v>0</v>
      </c>
      <c r="AM35" s="228">
        <v>0</v>
      </c>
      <c r="AN35" s="229">
        <v>0</v>
      </c>
      <c r="AO35" s="231">
        <v>1776.02</v>
      </c>
      <c r="AP35" s="231">
        <v>1774.29</v>
      </c>
      <c r="AQ35" s="228">
        <v>0</v>
      </c>
      <c r="AR35" s="230">
        <v>450450</v>
      </c>
      <c r="AS35" s="230">
        <v>520325</v>
      </c>
      <c r="AT35" s="230">
        <v>-69875</v>
      </c>
      <c r="AU35" s="229">
        <v>-0.1343</v>
      </c>
      <c r="AV35" s="230">
        <v>441350</v>
      </c>
      <c r="AW35" s="230">
        <v>503100</v>
      </c>
      <c r="AX35" s="230">
        <v>-61750</v>
      </c>
      <c r="AY35" s="229">
        <v>-0.1227</v>
      </c>
      <c r="AZ35" s="230">
        <v>9100</v>
      </c>
      <c r="BA35" s="230">
        <v>17225</v>
      </c>
      <c r="BB35" s="230">
        <v>-8125</v>
      </c>
      <c r="BC35" s="229">
        <v>-0.47170000000000001</v>
      </c>
      <c r="BD35" s="228">
        <v>0</v>
      </c>
      <c r="BE35" s="228">
        <v>0</v>
      </c>
      <c r="BF35" s="228">
        <v>0</v>
      </c>
      <c r="BG35" s="229">
        <v>0</v>
      </c>
      <c r="BH35" s="230">
        <v>998400</v>
      </c>
      <c r="BI35" s="230">
        <v>531375</v>
      </c>
      <c r="BJ35" s="230">
        <v>467025</v>
      </c>
      <c r="BK35" s="229">
        <v>0.87890000000000001</v>
      </c>
      <c r="BL35" s="230">
        <v>342225</v>
      </c>
      <c r="BM35" s="230">
        <v>214175</v>
      </c>
      <c r="BN35" s="230">
        <v>128050</v>
      </c>
      <c r="BO35" s="229">
        <v>0.59789999999999999</v>
      </c>
      <c r="BP35" s="230">
        <v>1791075</v>
      </c>
      <c r="BQ35" s="230">
        <v>1265875</v>
      </c>
      <c r="BR35" s="230">
        <v>525200</v>
      </c>
      <c r="BS35" s="229">
        <v>0.41489999999999999</v>
      </c>
      <c r="BT35" s="230">
        <v>209311</v>
      </c>
      <c r="BU35" s="230">
        <v>334330</v>
      </c>
      <c r="BV35" s="230">
        <v>-125019</v>
      </c>
      <c r="BW35" s="229">
        <v>-0.37390000000000001</v>
      </c>
      <c r="BX35" s="230">
        <v>2422875</v>
      </c>
      <c r="BY35" s="230">
        <v>2332525</v>
      </c>
      <c r="BZ35" s="230">
        <v>90350</v>
      </c>
      <c r="CA35" s="229">
        <v>3.8699999999999998E-2</v>
      </c>
      <c r="CB35" s="230">
        <v>2405650</v>
      </c>
      <c r="CC35" s="230">
        <v>2316600</v>
      </c>
      <c r="CD35" s="230">
        <v>89050</v>
      </c>
      <c r="CE35" s="229">
        <v>3.8399999999999997E-2</v>
      </c>
      <c r="CF35" s="230">
        <v>17225</v>
      </c>
      <c r="CG35" s="230">
        <v>15925</v>
      </c>
      <c r="CH35" s="230">
        <v>1300</v>
      </c>
      <c r="CI35" s="229">
        <v>8.1600000000000006E-2</v>
      </c>
      <c r="CJ35" s="228">
        <v>0</v>
      </c>
      <c r="CK35" s="228">
        <v>0</v>
      </c>
      <c r="CL35" s="228">
        <v>0</v>
      </c>
      <c r="CM35" s="229">
        <v>0</v>
      </c>
      <c r="CN35" s="230">
        <v>204100</v>
      </c>
      <c r="CO35" s="230">
        <v>162175</v>
      </c>
      <c r="CP35" s="230">
        <v>41925</v>
      </c>
      <c r="CQ35" s="229">
        <v>0.25850000000000001</v>
      </c>
      <c r="CR35" s="230">
        <v>199550</v>
      </c>
      <c r="CS35" s="230">
        <v>139750</v>
      </c>
      <c r="CT35" s="230">
        <v>59800</v>
      </c>
      <c r="CU35" s="229">
        <v>0.4279</v>
      </c>
      <c r="CV35" s="230">
        <v>2826525</v>
      </c>
      <c r="CW35" s="230">
        <v>2634450</v>
      </c>
      <c r="CX35" s="230">
        <v>192075</v>
      </c>
      <c r="CY35" s="229">
        <v>7.2900000000000006E-2</v>
      </c>
      <c r="CZ35" s="228">
        <v>24.06</v>
      </c>
      <c r="DA35" s="228">
        <v>24.2</v>
      </c>
      <c r="DB35" s="228">
        <v>-0.14000000000000001</v>
      </c>
      <c r="DC35" s="228">
        <v>-0.14000000000000001</v>
      </c>
      <c r="DD35" s="228">
        <v>39.619999999999997</v>
      </c>
      <c r="DE35" s="228">
        <v>39.590000000000003</v>
      </c>
      <c r="DF35" s="228">
        <v>-15.56</v>
      </c>
      <c r="DG35" s="228">
        <v>0.03</v>
      </c>
      <c r="DH35" s="228">
        <v>24.14</v>
      </c>
      <c r="DI35" s="228">
        <v>24.01</v>
      </c>
      <c r="DJ35" s="228">
        <v>0.13</v>
      </c>
      <c r="DK35" s="228">
        <v>0.13</v>
      </c>
      <c r="DL35" s="228">
        <v>23.82</v>
      </c>
      <c r="DM35" s="228">
        <v>24.66</v>
      </c>
      <c r="DN35" s="228">
        <v>-0.84</v>
      </c>
      <c r="DO35" s="228">
        <v>-0.84</v>
      </c>
      <c r="DP35" s="228">
        <v>0.98</v>
      </c>
      <c r="DQ35" s="228">
        <v>0.86</v>
      </c>
      <c r="DR35" s="228">
        <v>0.12</v>
      </c>
      <c r="DS35" s="229">
        <v>0.13950000000000001</v>
      </c>
      <c r="DT35" s="231">
        <v>1800</v>
      </c>
      <c r="DU35" s="231">
        <v>1700</v>
      </c>
      <c r="DV35" s="228">
        <v>0.34</v>
      </c>
      <c r="DW35" s="228">
        <v>0.4</v>
      </c>
      <c r="DX35" s="228">
        <v>-0.06</v>
      </c>
      <c r="DY35" s="229">
        <v>-0.15</v>
      </c>
      <c r="DZ35" s="229">
        <v>7.1000000000000004E-3</v>
      </c>
      <c r="EA35" s="230">
        <v>15925</v>
      </c>
      <c r="EB35" s="229">
        <v>1.5E-3</v>
      </c>
      <c r="EC35" s="229">
        <v>7.1000000000000004E-3</v>
      </c>
      <c r="ED35" s="228">
        <v>-1.73</v>
      </c>
      <c r="EE35" s="229">
        <v>-1E-3</v>
      </c>
      <c r="EF35" s="230">
        <v>50485</v>
      </c>
      <c r="EG35" s="230">
        <v>207807</v>
      </c>
      <c r="EH35" s="229">
        <v>-0.7571</v>
      </c>
      <c r="EI35" s="229">
        <v>0.2412</v>
      </c>
      <c r="EJ35" s="231">
        <v>18349.939999999999</v>
      </c>
      <c r="EK35" s="231">
        <v>5944.13</v>
      </c>
      <c r="EL35" s="231">
        <v>7999.94</v>
      </c>
      <c r="EM35" s="231">
        <v>3979</v>
      </c>
      <c r="EN35" s="231">
        <v>32294.01</v>
      </c>
      <c r="EO35" s="231">
        <v>22149.18</v>
      </c>
      <c r="EP35" s="231">
        <v>10144.83</v>
      </c>
      <c r="EQ35" s="229">
        <v>0.45800000000000002</v>
      </c>
      <c r="ER35" s="231">
        <v>3670</v>
      </c>
      <c r="ES35" s="231">
        <v>3403</v>
      </c>
      <c r="ET35" s="231">
        <v>43120</v>
      </c>
      <c r="EU35" s="231">
        <v>17213286</v>
      </c>
      <c r="EV35" s="231">
        <v>50194</v>
      </c>
      <c r="EW35" s="231">
        <v>45856</v>
      </c>
      <c r="EX35" s="231">
        <v>4338</v>
      </c>
      <c r="EY35" s="229">
        <v>9.4600000000000004E-2</v>
      </c>
      <c r="EZ35" s="229">
        <v>0.16420000000000001</v>
      </c>
      <c r="FA35" s="227" t="s">
        <v>555</v>
      </c>
      <c r="FB35" s="161">
        <f t="shared" si="0"/>
        <v>17225</v>
      </c>
    </row>
    <row r="36" spans="1:158" ht="17.25" hidden="1" thickBot="1" x14ac:dyDescent="0.3">
      <c r="A36" s="226">
        <v>46023</v>
      </c>
      <c r="B36" s="227" t="s">
        <v>162</v>
      </c>
      <c r="C36" s="227" t="s">
        <v>192</v>
      </c>
      <c r="D36" s="228">
        <v>25</v>
      </c>
      <c r="E36" s="231">
        <v>36325</v>
      </c>
      <c r="F36" s="231">
        <v>36210</v>
      </c>
      <c r="G36" s="228">
        <v>115</v>
      </c>
      <c r="H36" s="229">
        <v>3.2000000000000002E-3</v>
      </c>
      <c r="I36" s="231">
        <v>36140</v>
      </c>
      <c r="J36" s="231">
        <v>36040</v>
      </c>
      <c r="K36" s="228">
        <v>100</v>
      </c>
      <c r="L36" s="229">
        <v>2.8E-3</v>
      </c>
      <c r="M36" s="231">
        <v>36325</v>
      </c>
      <c r="N36" s="231">
        <v>36210</v>
      </c>
      <c r="O36" s="228">
        <v>115</v>
      </c>
      <c r="P36" s="229">
        <v>3.2000000000000002E-3</v>
      </c>
      <c r="Q36" s="231">
        <v>36445</v>
      </c>
      <c r="R36" s="231">
        <v>36305</v>
      </c>
      <c r="S36" s="228">
        <v>140</v>
      </c>
      <c r="T36" s="229">
        <v>3.8999999999999998E-3</v>
      </c>
      <c r="U36" s="228">
        <v>0</v>
      </c>
      <c r="V36" s="228">
        <v>0</v>
      </c>
      <c r="W36" s="228">
        <v>0</v>
      </c>
      <c r="X36" s="229">
        <v>0</v>
      </c>
      <c r="Y36" s="228">
        <v>185</v>
      </c>
      <c r="Z36" s="228">
        <v>170</v>
      </c>
      <c r="AA36" s="228">
        <v>15</v>
      </c>
      <c r="AB36" s="229">
        <v>5.1000000000000004E-3</v>
      </c>
      <c r="AC36" s="228">
        <v>185</v>
      </c>
      <c r="AD36" s="228">
        <v>170</v>
      </c>
      <c r="AE36" s="228">
        <v>15</v>
      </c>
      <c r="AF36" s="229">
        <v>5.1000000000000004E-3</v>
      </c>
      <c r="AG36" s="228">
        <v>305</v>
      </c>
      <c r="AH36" s="228">
        <v>265</v>
      </c>
      <c r="AI36" s="228">
        <v>40</v>
      </c>
      <c r="AJ36" s="229">
        <v>8.3999999999999995E-3</v>
      </c>
      <c r="AK36" s="228">
        <v>0</v>
      </c>
      <c r="AL36" s="228">
        <v>0</v>
      </c>
      <c r="AM36" s="228">
        <v>0</v>
      </c>
      <c r="AN36" s="229">
        <v>0</v>
      </c>
      <c r="AO36" s="231">
        <v>36184.11</v>
      </c>
      <c r="AP36" s="231">
        <v>36360</v>
      </c>
      <c r="AQ36" s="228">
        <v>0</v>
      </c>
      <c r="AR36" s="230">
        <v>10875</v>
      </c>
      <c r="AS36" s="230">
        <v>27300</v>
      </c>
      <c r="AT36" s="230">
        <v>-16425</v>
      </c>
      <c r="AU36" s="229">
        <v>-0.60160000000000002</v>
      </c>
      <c r="AV36" s="230">
        <v>10450</v>
      </c>
      <c r="AW36" s="230">
        <v>26275</v>
      </c>
      <c r="AX36" s="230">
        <v>-15825</v>
      </c>
      <c r="AY36" s="229">
        <v>-0.60229999999999995</v>
      </c>
      <c r="AZ36" s="228">
        <v>425</v>
      </c>
      <c r="BA36" s="230">
        <v>1025</v>
      </c>
      <c r="BB36" s="228">
        <v>-600</v>
      </c>
      <c r="BC36" s="229">
        <v>-0.58540000000000003</v>
      </c>
      <c r="BD36" s="228">
        <v>0</v>
      </c>
      <c r="BE36" s="228">
        <v>0</v>
      </c>
      <c r="BF36" s="228">
        <v>0</v>
      </c>
      <c r="BG36" s="229">
        <v>0</v>
      </c>
      <c r="BH36" s="230">
        <v>24025</v>
      </c>
      <c r="BI36" s="230">
        <v>89900</v>
      </c>
      <c r="BJ36" s="230">
        <v>-65875</v>
      </c>
      <c r="BK36" s="229">
        <v>-0.73280000000000001</v>
      </c>
      <c r="BL36" s="230">
        <v>37725</v>
      </c>
      <c r="BM36" s="230">
        <v>42025</v>
      </c>
      <c r="BN36" s="230">
        <v>-4300</v>
      </c>
      <c r="BO36" s="229">
        <v>-0.1023</v>
      </c>
      <c r="BP36" s="230">
        <v>72625</v>
      </c>
      <c r="BQ36" s="230">
        <v>159225</v>
      </c>
      <c r="BR36" s="230">
        <v>-86600</v>
      </c>
      <c r="BS36" s="229">
        <v>-0.54390000000000005</v>
      </c>
      <c r="BT36" s="230">
        <v>6189</v>
      </c>
      <c r="BU36" s="230">
        <v>13853</v>
      </c>
      <c r="BV36" s="230">
        <v>-7664</v>
      </c>
      <c r="BW36" s="229">
        <v>-0.55320000000000003</v>
      </c>
      <c r="BX36" s="230">
        <v>192575</v>
      </c>
      <c r="BY36" s="230">
        <v>192025</v>
      </c>
      <c r="BZ36" s="228">
        <v>550</v>
      </c>
      <c r="CA36" s="229">
        <v>2.8999999999999998E-3</v>
      </c>
      <c r="CB36" s="230">
        <v>190250</v>
      </c>
      <c r="CC36" s="230">
        <v>189825</v>
      </c>
      <c r="CD36" s="228">
        <v>425</v>
      </c>
      <c r="CE36" s="229">
        <v>2.2000000000000001E-3</v>
      </c>
      <c r="CF36" s="230">
        <v>2325</v>
      </c>
      <c r="CG36" s="230">
        <v>2200</v>
      </c>
      <c r="CH36" s="228">
        <v>125</v>
      </c>
      <c r="CI36" s="229">
        <v>5.6800000000000003E-2</v>
      </c>
      <c r="CJ36" s="228">
        <v>0</v>
      </c>
      <c r="CK36" s="228">
        <v>0</v>
      </c>
      <c r="CL36" s="228">
        <v>0</v>
      </c>
      <c r="CM36" s="229">
        <v>0</v>
      </c>
      <c r="CN36" s="230">
        <v>31100</v>
      </c>
      <c r="CO36" s="230">
        <v>26325</v>
      </c>
      <c r="CP36" s="230">
        <v>4775</v>
      </c>
      <c r="CQ36" s="229">
        <v>0.18140000000000001</v>
      </c>
      <c r="CR36" s="230">
        <v>34150</v>
      </c>
      <c r="CS36" s="230">
        <v>25225</v>
      </c>
      <c r="CT36" s="230">
        <v>8925</v>
      </c>
      <c r="CU36" s="229">
        <v>0.3538</v>
      </c>
      <c r="CV36" s="230">
        <v>257825</v>
      </c>
      <c r="CW36" s="230">
        <v>243575</v>
      </c>
      <c r="CX36" s="230">
        <v>14250</v>
      </c>
      <c r="CY36" s="229">
        <v>5.8500000000000003E-2</v>
      </c>
      <c r="CZ36" s="228">
        <v>17</v>
      </c>
      <c r="DA36" s="228">
        <v>17.489999999999998</v>
      </c>
      <c r="DB36" s="228">
        <v>-0.49</v>
      </c>
      <c r="DC36" s="228">
        <v>-0.49</v>
      </c>
      <c r="DD36" s="228">
        <v>27.03</v>
      </c>
      <c r="DE36" s="228">
        <v>27.09</v>
      </c>
      <c r="DF36" s="228">
        <v>-10.029999999999999</v>
      </c>
      <c r="DG36" s="228">
        <v>-0.06</v>
      </c>
      <c r="DH36" s="228">
        <v>16.66</v>
      </c>
      <c r="DI36" s="228">
        <v>17.53</v>
      </c>
      <c r="DJ36" s="228">
        <v>-0.87</v>
      </c>
      <c r="DK36" s="228">
        <v>-0.87</v>
      </c>
      <c r="DL36" s="228">
        <v>17.21</v>
      </c>
      <c r="DM36" s="228">
        <v>17.420000000000002</v>
      </c>
      <c r="DN36" s="228">
        <v>-0.21</v>
      </c>
      <c r="DO36" s="228">
        <v>-0.21</v>
      </c>
      <c r="DP36" s="228">
        <v>1.1000000000000001</v>
      </c>
      <c r="DQ36" s="228">
        <v>0.96</v>
      </c>
      <c r="DR36" s="228">
        <v>0.14000000000000001</v>
      </c>
      <c r="DS36" s="229">
        <v>0.14580000000000001</v>
      </c>
      <c r="DT36" s="231">
        <v>36000</v>
      </c>
      <c r="DU36" s="231">
        <v>36000</v>
      </c>
      <c r="DV36" s="228">
        <v>1.57</v>
      </c>
      <c r="DW36" s="228">
        <v>0.47</v>
      </c>
      <c r="DX36" s="228">
        <v>1.1000000000000001</v>
      </c>
      <c r="DY36" s="229">
        <v>2.3403999999999998</v>
      </c>
      <c r="DZ36" s="229">
        <v>1.21E-2</v>
      </c>
      <c r="EA36" s="230">
        <v>2200</v>
      </c>
      <c r="EB36" s="229">
        <v>3.3E-3</v>
      </c>
      <c r="EC36" s="229">
        <v>1.21E-2</v>
      </c>
      <c r="ED36" s="228">
        <v>175.89</v>
      </c>
      <c r="EE36" s="229">
        <v>4.8999999999999998E-3</v>
      </c>
      <c r="EF36" s="230">
        <v>2142</v>
      </c>
      <c r="EG36" s="230">
        <v>5927</v>
      </c>
      <c r="EH36" s="229">
        <v>-0.63859999999999995</v>
      </c>
      <c r="EI36" s="229">
        <v>0.34610000000000002</v>
      </c>
      <c r="EJ36" s="231">
        <v>8978.43</v>
      </c>
      <c r="EK36" s="231">
        <v>13269.69</v>
      </c>
      <c r="EL36" s="231">
        <v>3935.77</v>
      </c>
      <c r="EM36" s="231">
        <v>4586</v>
      </c>
      <c r="EN36" s="231">
        <v>26183.89</v>
      </c>
      <c r="EO36" s="231">
        <v>58290.16</v>
      </c>
      <c r="EP36" s="231">
        <v>-32106.27</v>
      </c>
      <c r="EQ36" s="229">
        <v>-0.55079999999999996</v>
      </c>
      <c r="ER36" s="231">
        <v>11502</v>
      </c>
      <c r="ES36" s="231">
        <v>12011</v>
      </c>
      <c r="ET36" s="231">
        <v>69956</v>
      </c>
      <c r="EU36" s="231">
        <v>882048</v>
      </c>
      <c r="EV36" s="231">
        <v>93469</v>
      </c>
      <c r="EW36" s="231">
        <v>88225</v>
      </c>
      <c r="EX36" s="231">
        <v>5244</v>
      </c>
      <c r="EY36" s="229">
        <v>5.9400000000000001E-2</v>
      </c>
      <c r="EZ36" s="229">
        <v>0.2923</v>
      </c>
      <c r="FA36" s="227" t="s">
        <v>555</v>
      </c>
      <c r="FB36" s="161">
        <f t="shared" si="0"/>
        <v>2325</v>
      </c>
    </row>
    <row r="37" spans="1:158" ht="17.25" hidden="1" thickBot="1" x14ac:dyDescent="0.3">
      <c r="A37" s="226">
        <v>46023</v>
      </c>
      <c r="B37" s="227" t="s">
        <v>193</v>
      </c>
      <c r="C37" s="227" t="s">
        <v>194</v>
      </c>
      <c r="D37" s="228">
        <v>1975</v>
      </c>
      <c r="E37" s="228">
        <v>383.6</v>
      </c>
      <c r="F37" s="228">
        <v>386.35</v>
      </c>
      <c r="G37" s="228">
        <v>-2.75</v>
      </c>
      <c r="H37" s="229">
        <v>-7.1000000000000004E-3</v>
      </c>
      <c r="I37" s="228">
        <v>381.5</v>
      </c>
      <c r="J37" s="228">
        <v>384</v>
      </c>
      <c r="K37" s="228">
        <v>-2.5</v>
      </c>
      <c r="L37" s="229">
        <v>-6.4999999999999997E-3</v>
      </c>
      <c r="M37" s="228">
        <v>383.6</v>
      </c>
      <c r="N37" s="228">
        <v>386.35</v>
      </c>
      <c r="O37" s="228">
        <v>-2.75</v>
      </c>
      <c r="P37" s="229">
        <v>-7.1000000000000004E-3</v>
      </c>
      <c r="Q37" s="228">
        <v>382.45</v>
      </c>
      <c r="R37" s="228">
        <v>384.45</v>
      </c>
      <c r="S37" s="228">
        <v>-2</v>
      </c>
      <c r="T37" s="229">
        <v>-5.1999999999999998E-3</v>
      </c>
      <c r="U37" s="228">
        <v>384</v>
      </c>
      <c r="V37" s="228">
        <v>386.1</v>
      </c>
      <c r="W37" s="228">
        <v>-2.1</v>
      </c>
      <c r="X37" s="229">
        <v>-5.4000000000000003E-3</v>
      </c>
      <c r="Y37" s="228">
        <v>2.1</v>
      </c>
      <c r="Z37" s="228">
        <v>2.35</v>
      </c>
      <c r="AA37" s="228">
        <v>-0.25</v>
      </c>
      <c r="AB37" s="229">
        <v>5.4999999999999997E-3</v>
      </c>
      <c r="AC37" s="228">
        <v>2.1</v>
      </c>
      <c r="AD37" s="228">
        <v>2.35</v>
      </c>
      <c r="AE37" s="228">
        <v>-0.25</v>
      </c>
      <c r="AF37" s="229">
        <v>5.4999999999999997E-3</v>
      </c>
      <c r="AG37" s="228">
        <v>0.95</v>
      </c>
      <c r="AH37" s="228">
        <v>0.45</v>
      </c>
      <c r="AI37" s="228">
        <v>0.5</v>
      </c>
      <c r="AJ37" s="229">
        <v>2.5000000000000001E-3</v>
      </c>
      <c r="AK37" s="228">
        <v>2.5</v>
      </c>
      <c r="AL37" s="228">
        <v>2.1</v>
      </c>
      <c r="AM37" s="228">
        <v>0.4</v>
      </c>
      <c r="AN37" s="229">
        <v>6.6E-3</v>
      </c>
      <c r="AO37" s="228">
        <v>384.79</v>
      </c>
      <c r="AP37" s="228">
        <v>383.62</v>
      </c>
      <c r="AQ37" s="228">
        <v>0</v>
      </c>
      <c r="AR37" s="230">
        <v>6436525</v>
      </c>
      <c r="AS37" s="230">
        <v>12641975</v>
      </c>
      <c r="AT37" s="230">
        <v>-6205450</v>
      </c>
      <c r="AU37" s="229">
        <v>-0.4909</v>
      </c>
      <c r="AV37" s="230">
        <v>5911175</v>
      </c>
      <c r="AW37" s="230">
        <v>11960600</v>
      </c>
      <c r="AX37" s="230">
        <v>-6049425</v>
      </c>
      <c r="AY37" s="229">
        <v>-0.50580000000000003</v>
      </c>
      <c r="AZ37" s="230">
        <v>442400</v>
      </c>
      <c r="BA37" s="230">
        <v>637925</v>
      </c>
      <c r="BB37" s="230">
        <v>-195525</v>
      </c>
      <c r="BC37" s="229">
        <v>-0.30649999999999999</v>
      </c>
      <c r="BD37" s="230">
        <v>82950</v>
      </c>
      <c r="BE37" s="230">
        <v>43450</v>
      </c>
      <c r="BF37" s="230">
        <v>39500</v>
      </c>
      <c r="BG37" s="229">
        <v>0.90910000000000002</v>
      </c>
      <c r="BH37" s="230">
        <v>21420850</v>
      </c>
      <c r="BI37" s="230">
        <v>45112950</v>
      </c>
      <c r="BJ37" s="230">
        <v>-23692100</v>
      </c>
      <c r="BK37" s="229">
        <v>-0.5252</v>
      </c>
      <c r="BL37" s="230">
        <v>10469475</v>
      </c>
      <c r="BM37" s="230">
        <v>15979725</v>
      </c>
      <c r="BN37" s="230">
        <v>-5510250</v>
      </c>
      <c r="BO37" s="229">
        <v>-0.3448</v>
      </c>
      <c r="BP37" s="230">
        <v>38326850</v>
      </c>
      <c r="BQ37" s="230">
        <v>73734650</v>
      </c>
      <c r="BR37" s="230">
        <v>-35407800</v>
      </c>
      <c r="BS37" s="229">
        <v>-0.48020000000000002</v>
      </c>
      <c r="BT37" s="230">
        <v>7271124</v>
      </c>
      <c r="BU37" s="230">
        <v>12810417</v>
      </c>
      <c r="BV37" s="230">
        <v>-5539293</v>
      </c>
      <c r="BW37" s="229">
        <v>-0.43240000000000001</v>
      </c>
      <c r="BX37" s="230">
        <v>27608525</v>
      </c>
      <c r="BY37" s="230">
        <v>26611150</v>
      </c>
      <c r="BZ37" s="230">
        <v>997375</v>
      </c>
      <c r="CA37" s="229">
        <v>3.7499999999999999E-2</v>
      </c>
      <c r="CB37" s="230">
        <v>26540050</v>
      </c>
      <c r="CC37" s="230">
        <v>25682900</v>
      </c>
      <c r="CD37" s="230">
        <v>857150</v>
      </c>
      <c r="CE37" s="229">
        <v>3.3399999999999999E-2</v>
      </c>
      <c r="CF37" s="230">
        <v>991450</v>
      </c>
      <c r="CG37" s="230">
        <v>898625</v>
      </c>
      <c r="CH37" s="230">
        <v>92825</v>
      </c>
      <c r="CI37" s="229">
        <v>0.1033</v>
      </c>
      <c r="CJ37" s="230">
        <v>77025</v>
      </c>
      <c r="CK37" s="230">
        <v>29625</v>
      </c>
      <c r="CL37" s="230">
        <v>47400</v>
      </c>
      <c r="CM37" s="229">
        <v>1.6</v>
      </c>
      <c r="CN37" s="230">
        <v>10552425</v>
      </c>
      <c r="CO37" s="230">
        <v>8921075</v>
      </c>
      <c r="CP37" s="230">
        <v>1631350</v>
      </c>
      <c r="CQ37" s="229">
        <v>0.18290000000000001</v>
      </c>
      <c r="CR37" s="230">
        <v>6946075</v>
      </c>
      <c r="CS37" s="230">
        <v>7100125</v>
      </c>
      <c r="CT37" s="230">
        <v>-154050</v>
      </c>
      <c r="CU37" s="229">
        <v>-2.1700000000000001E-2</v>
      </c>
      <c r="CV37" s="230">
        <v>45107025</v>
      </c>
      <c r="CW37" s="230">
        <v>42632350</v>
      </c>
      <c r="CX37" s="230">
        <v>2474675</v>
      </c>
      <c r="CY37" s="229">
        <v>5.8000000000000003E-2</v>
      </c>
      <c r="CZ37" s="228">
        <v>24.92</v>
      </c>
      <c r="DA37" s="228">
        <v>25.35</v>
      </c>
      <c r="DB37" s="228">
        <v>-0.43</v>
      </c>
      <c r="DC37" s="228">
        <v>-0.43</v>
      </c>
      <c r="DD37" s="228">
        <v>32.340000000000003</v>
      </c>
      <c r="DE37" s="228">
        <v>32.409999999999997</v>
      </c>
      <c r="DF37" s="228">
        <v>-7.42</v>
      </c>
      <c r="DG37" s="228">
        <v>-7.0000000000000007E-2</v>
      </c>
      <c r="DH37" s="228">
        <v>24.79</v>
      </c>
      <c r="DI37" s="228">
        <v>25.01</v>
      </c>
      <c r="DJ37" s="228">
        <v>-0.22</v>
      </c>
      <c r="DK37" s="228">
        <v>-0.22</v>
      </c>
      <c r="DL37" s="228">
        <v>25.2</v>
      </c>
      <c r="DM37" s="228">
        <v>26.29</v>
      </c>
      <c r="DN37" s="228">
        <v>-1.0900000000000001</v>
      </c>
      <c r="DO37" s="228">
        <v>-1.0900000000000001</v>
      </c>
      <c r="DP37" s="228">
        <v>0.66</v>
      </c>
      <c r="DQ37" s="228">
        <v>0.8</v>
      </c>
      <c r="DR37" s="228">
        <v>-0.14000000000000001</v>
      </c>
      <c r="DS37" s="229">
        <v>-0.17499999999999999</v>
      </c>
      <c r="DT37" s="228">
        <v>390</v>
      </c>
      <c r="DU37" s="228">
        <v>370</v>
      </c>
      <c r="DV37" s="228">
        <v>0.49</v>
      </c>
      <c r="DW37" s="228">
        <v>0.35</v>
      </c>
      <c r="DX37" s="228">
        <v>0.14000000000000001</v>
      </c>
      <c r="DY37" s="229">
        <v>0.4</v>
      </c>
      <c r="DZ37" s="229">
        <v>3.8699999999999998E-2</v>
      </c>
      <c r="EA37" s="230">
        <v>928250</v>
      </c>
      <c r="EB37" s="229">
        <v>-3.0000000000000001E-3</v>
      </c>
      <c r="EC37" s="229">
        <v>3.8699999999999998E-2</v>
      </c>
      <c r="ED37" s="228">
        <v>-1.17</v>
      </c>
      <c r="EE37" s="229">
        <v>-3.0000000000000001E-3</v>
      </c>
      <c r="EF37" s="230">
        <v>3166409</v>
      </c>
      <c r="EG37" s="230">
        <v>7062910</v>
      </c>
      <c r="EH37" s="229">
        <v>-0.55169999999999997</v>
      </c>
      <c r="EI37" s="229">
        <v>0.4355</v>
      </c>
      <c r="EJ37" s="231">
        <v>86006.65</v>
      </c>
      <c r="EK37" s="231">
        <v>39495.67</v>
      </c>
      <c r="EL37" s="231">
        <v>24763.29</v>
      </c>
      <c r="EM37" s="231">
        <v>9489</v>
      </c>
      <c r="EN37" s="231">
        <v>150265.60999999999</v>
      </c>
      <c r="EO37" s="231">
        <v>287563.67</v>
      </c>
      <c r="EP37" s="231">
        <v>-137298.06</v>
      </c>
      <c r="EQ37" s="229">
        <v>-0.47749999999999998</v>
      </c>
      <c r="ER37" s="231">
        <v>40920</v>
      </c>
      <c r="ES37" s="231">
        <v>25136</v>
      </c>
      <c r="ET37" s="231">
        <v>105895</v>
      </c>
      <c r="EU37" s="231">
        <v>306020745</v>
      </c>
      <c r="EV37" s="231">
        <v>171951</v>
      </c>
      <c r="EW37" s="231">
        <v>162974</v>
      </c>
      <c r="EX37" s="231">
        <v>8977</v>
      </c>
      <c r="EY37" s="229">
        <v>5.5100000000000003E-2</v>
      </c>
      <c r="EZ37" s="229">
        <v>0.1474</v>
      </c>
      <c r="FA37" s="227" t="s">
        <v>567</v>
      </c>
      <c r="FB37" s="161">
        <f t="shared" si="0"/>
        <v>1068475</v>
      </c>
    </row>
    <row r="38" spans="1:158" ht="17.25" hidden="1" thickBot="1" x14ac:dyDescent="0.3">
      <c r="A38" s="226">
        <v>46023</v>
      </c>
      <c r="B38" s="227" t="s">
        <v>168</v>
      </c>
      <c r="C38" s="227" t="s">
        <v>195</v>
      </c>
      <c r="D38" s="228">
        <v>125</v>
      </c>
      <c r="E38" s="231">
        <v>6050</v>
      </c>
      <c r="F38" s="231">
        <v>6070</v>
      </c>
      <c r="G38" s="228">
        <v>-20</v>
      </c>
      <c r="H38" s="229">
        <v>-3.3E-3</v>
      </c>
      <c r="I38" s="231">
        <v>6009.5</v>
      </c>
      <c r="J38" s="231">
        <v>6031</v>
      </c>
      <c r="K38" s="228">
        <v>-21.5</v>
      </c>
      <c r="L38" s="229">
        <v>-3.5999999999999999E-3</v>
      </c>
      <c r="M38" s="231">
        <v>6050</v>
      </c>
      <c r="N38" s="231">
        <v>6070</v>
      </c>
      <c r="O38" s="228">
        <v>-20</v>
      </c>
      <c r="P38" s="229">
        <v>-3.3E-3</v>
      </c>
      <c r="Q38" s="231">
        <v>6081.5</v>
      </c>
      <c r="R38" s="231">
        <v>6107</v>
      </c>
      <c r="S38" s="228">
        <v>-25.5</v>
      </c>
      <c r="T38" s="229">
        <v>-4.1999999999999997E-3</v>
      </c>
      <c r="U38" s="228">
        <v>0</v>
      </c>
      <c r="V38" s="228">
        <v>0</v>
      </c>
      <c r="W38" s="228">
        <v>0</v>
      </c>
      <c r="X38" s="229">
        <v>0</v>
      </c>
      <c r="Y38" s="228">
        <v>40.5</v>
      </c>
      <c r="Z38" s="228">
        <v>39</v>
      </c>
      <c r="AA38" s="228">
        <v>1.5</v>
      </c>
      <c r="AB38" s="229">
        <v>6.7000000000000002E-3</v>
      </c>
      <c r="AC38" s="228">
        <v>40.5</v>
      </c>
      <c r="AD38" s="228">
        <v>39</v>
      </c>
      <c r="AE38" s="228">
        <v>1.5</v>
      </c>
      <c r="AF38" s="229">
        <v>6.7000000000000002E-3</v>
      </c>
      <c r="AG38" s="228">
        <v>72</v>
      </c>
      <c r="AH38" s="228">
        <v>76</v>
      </c>
      <c r="AI38" s="228">
        <v>-4</v>
      </c>
      <c r="AJ38" s="229">
        <v>1.2E-2</v>
      </c>
      <c r="AK38" s="228">
        <v>0</v>
      </c>
      <c r="AL38" s="228">
        <v>0</v>
      </c>
      <c r="AM38" s="228">
        <v>0</v>
      </c>
      <c r="AN38" s="229">
        <v>0</v>
      </c>
      <c r="AO38" s="231">
        <v>6054.99</v>
      </c>
      <c r="AP38" s="231">
        <v>6095.62</v>
      </c>
      <c r="AQ38" s="228">
        <v>0</v>
      </c>
      <c r="AR38" s="230">
        <v>181125</v>
      </c>
      <c r="AS38" s="230">
        <v>217625</v>
      </c>
      <c r="AT38" s="230">
        <v>-36500</v>
      </c>
      <c r="AU38" s="229">
        <v>-0.16769999999999999</v>
      </c>
      <c r="AV38" s="230">
        <v>178500</v>
      </c>
      <c r="AW38" s="230">
        <v>214500</v>
      </c>
      <c r="AX38" s="230">
        <v>-36000</v>
      </c>
      <c r="AY38" s="229">
        <v>-0.1678</v>
      </c>
      <c r="AZ38" s="230">
        <v>2625</v>
      </c>
      <c r="BA38" s="230">
        <v>3125</v>
      </c>
      <c r="BB38" s="228">
        <v>-500</v>
      </c>
      <c r="BC38" s="229">
        <v>-0.16</v>
      </c>
      <c r="BD38" s="228">
        <v>0</v>
      </c>
      <c r="BE38" s="228">
        <v>0</v>
      </c>
      <c r="BF38" s="228">
        <v>0</v>
      </c>
      <c r="BG38" s="229">
        <v>0</v>
      </c>
      <c r="BH38" s="230">
        <v>517250</v>
      </c>
      <c r="BI38" s="230">
        <v>457625</v>
      </c>
      <c r="BJ38" s="230">
        <v>59625</v>
      </c>
      <c r="BK38" s="229">
        <v>0.1303</v>
      </c>
      <c r="BL38" s="230">
        <v>234750</v>
      </c>
      <c r="BM38" s="230">
        <v>172750</v>
      </c>
      <c r="BN38" s="230">
        <v>62000</v>
      </c>
      <c r="BO38" s="229">
        <v>0.3589</v>
      </c>
      <c r="BP38" s="230">
        <v>933125</v>
      </c>
      <c r="BQ38" s="230">
        <v>848000</v>
      </c>
      <c r="BR38" s="230">
        <v>85125</v>
      </c>
      <c r="BS38" s="229">
        <v>0.1004</v>
      </c>
      <c r="BT38" s="230">
        <v>146868</v>
      </c>
      <c r="BU38" s="230">
        <v>180935</v>
      </c>
      <c r="BV38" s="230">
        <v>-34067</v>
      </c>
      <c r="BW38" s="229">
        <v>-0.1883</v>
      </c>
      <c r="BX38" s="230">
        <v>2865875</v>
      </c>
      <c r="BY38" s="230">
        <v>2847875</v>
      </c>
      <c r="BZ38" s="230">
        <v>18000</v>
      </c>
      <c r="CA38" s="229">
        <v>6.3E-3</v>
      </c>
      <c r="CB38" s="230">
        <v>2855625</v>
      </c>
      <c r="CC38" s="230">
        <v>2837625</v>
      </c>
      <c r="CD38" s="230">
        <v>18000</v>
      </c>
      <c r="CE38" s="229">
        <v>6.3E-3</v>
      </c>
      <c r="CF38" s="230">
        <v>10250</v>
      </c>
      <c r="CG38" s="230">
        <v>10250</v>
      </c>
      <c r="CH38" s="228">
        <v>0</v>
      </c>
      <c r="CI38" s="229">
        <v>0</v>
      </c>
      <c r="CJ38" s="228">
        <v>0</v>
      </c>
      <c r="CK38" s="228">
        <v>0</v>
      </c>
      <c r="CL38" s="228">
        <v>0</v>
      </c>
      <c r="CM38" s="229">
        <v>0</v>
      </c>
      <c r="CN38" s="230">
        <v>443750</v>
      </c>
      <c r="CO38" s="230">
        <v>288625</v>
      </c>
      <c r="CP38" s="230">
        <v>155125</v>
      </c>
      <c r="CQ38" s="229">
        <v>0.53749999999999998</v>
      </c>
      <c r="CR38" s="230">
        <v>193500</v>
      </c>
      <c r="CS38" s="230">
        <v>147000</v>
      </c>
      <c r="CT38" s="230">
        <v>46500</v>
      </c>
      <c r="CU38" s="229">
        <v>0.31630000000000003</v>
      </c>
      <c r="CV38" s="230">
        <v>3503125</v>
      </c>
      <c r="CW38" s="230">
        <v>3283500</v>
      </c>
      <c r="CX38" s="230">
        <v>219625</v>
      </c>
      <c r="CY38" s="229">
        <v>6.6900000000000001E-2</v>
      </c>
      <c r="CZ38" s="228">
        <v>17.440000000000001</v>
      </c>
      <c r="DA38" s="228">
        <v>17.25</v>
      </c>
      <c r="DB38" s="228">
        <v>0.19</v>
      </c>
      <c r="DC38" s="228">
        <v>0.19</v>
      </c>
      <c r="DD38" s="228">
        <v>23.67</v>
      </c>
      <c r="DE38" s="228">
        <v>23.73</v>
      </c>
      <c r="DF38" s="228">
        <v>-6.23</v>
      </c>
      <c r="DG38" s="228">
        <v>-0.06</v>
      </c>
      <c r="DH38" s="228">
        <v>17.18</v>
      </c>
      <c r="DI38" s="228">
        <v>17.32</v>
      </c>
      <c r="DJ38" s="228">
        <v>-0.14000000000000001</v>
      </c>
      <c r="DK38" s="228">
        <v>-0.14000000000000001</v>
      </c>
      <c r="DL38" s="228">
        <v>18.010000000000002</v>
      </c>
      <c r="DM38" s="228">
        <v>17.07</v>
      </c>
      <c r="DN38" s="228">
        <v>0.94</v>
      </c>
      <c r="DO38" s="228">
        <v>0.94</v>
      </c>
      <c r="DP38" s="228">
        <v>0.44</v>
      </c>
      <c r="DQ38" s="228">
        <v>0.51</v>
      </c>
      <c r="DR38" s="228">
        <v>-7.0000000000000007E-2</v>
      </c>
      <c r="DS38" s="229">
        <v>-0.13730000000000001</v>
      </c>
      <c r="DT38" s="231">
        <v>6550</v>
      </c>
      <c r="DU38" s="231">
        <v>6000</v>
      </c>
      <c r="DV38" s="228">
        <v>0.45</v>
      </c>
      <c r="DW38" s="228">
        <v>0.38</v>
      </c>
      <c r="DX38" s="228">
        <v>7.0000000000000007E-2</v>
      </c>
      <c r="DY38" s="229">
        <v>0.1842</v>
      </c>
      <c r="DZ38" s="229">
        <v>3.5999999999999999E-3</v>
      </c>
      <c r="EA38" s="230">
        <v>10250</v>
      </c>
      <c r="EB38" s="229">
        <v>5.1999999999999998E-3</v>
      </c>
      <c r="EC38" s="229">
        <v>3.5999999999999999E-3</v>
      </c>
      <c r="ED38" s="228">
        <v>40.630000000000003</v>
      </c>
      <c r="EE38" s="229">
        <v>6.7000000000000002E-3</v>
      </c>
      <c r="EF38" s="230">
        <v>85799</v>
      </c>
      <c r="EG38" s="230">
        <v>121606</v>
      </c>
      <c r="EH38" s="229">
        <v>-0.29449999999999998</v>
      </c>
      <c r="EI38" s="229">
        <v>0.58420000000000005</v>
      </c>
      <c r="EJ38" s="231">
        <v>32750.21</v>
      </c>
      <c r="EK38" s="231">
        <v>13769.11</v>
      </c>
      <c r="EL38" s="231">
        <v>10968.16</v>
      </c>
      <c r="EM38" s="231">
        <v>7809</v>
      </c>
      <c r="EN38" s="231">
        <v>57487.48</v>
      </c>
      <c r="EO38" s="231">
        <v>52494.11</v>
      </c>
      <c r="EP38" s="231">
        <v>4993.37</v>
      </c>
      <c r="EQ38" s="229">
        <v>9.5100000000000004E-2</v>
      </c>
      <c r="ER38" s="231">
        <v>28211</v>
      </c>
      <c r="ES38" s="231">
        <v>11302</v>
      </c>
      <c r="ET38" s="231">
        <v>173389</v>
      </c>
      <c r="EU38" s="231">
        <v>16370935</v>
      </c>
      <c r="EV38" s="231">
        <v>212902</v>
      </c>
      <c r="EW38" s="231">
        <v>199737</v>
      </c>
      <c r="EX38" s="231">
        <v>13165</v>
      </c>
      <c r="EY38" s="229">
        <v>6.59E-2</v>
      </c>
      <c r="EZ38" s="229">
        <v>0.214</v>
      </c>
      <c r="FA38" s="227" t="s">
        <v>567</v>
      </c>
      <c r="FB38" s="161">
        <f t="shared" si="0"/>
        <v>10250</v>
      </c>
    </row>
    <row r="39" spans="1:158" ht="17.25" hidden="1" thickBot="1" x14ac:dyDescent="0.3">
      <c r="A39" s="226">
        <v>46023</v>
      </c>
      <c r="B39" s="227" t="s">
        <v>175</v>
      </c>
      <c r="C39" s="227" t="s">
        <v>584</v>
      </c>
      <c r="D39" s="228">
        <v>375</v>
      </c>
      <c r="E39" s="231">
        <v>2644.6</v>
      </c>
      <c r="F39" s="231">
        <v>2649.2</v>
      </c>
      <c r="G39" s="228">
        <v>-4.5999999999999996</v>
      </c>
      <c r="H39" s="229">
        <v>-1.6999999999999999E-3</v>
      </c>
      <c r="I39" s="231">
        <v>2628</v>
      </c>
      <c r="J39" s="231">
        <v>2632.2</v>
      </c>
      <c r="K39" s="228">
        <v>-4.2</v>
      </c>
      <c r="L39" s="229">
        <v>-1.6000000000000001E-3</v>
      </c>
      <c r="M39" s="231">
        <v>2644.6</v>
      </c>
      <c r="N39" s="231">
        <v>2649.2</v>
      </c>
      <c r="O39" s="228">
        <v>-4.5999999999999996</v>
      </c>
      <c r="P39" s="229">
        <v>-1.6999999999999999E-3</v>
      </c>
      <c r="Q39" s="231">
        <v>2660.4</v>
      </c>
      <c r="R39" s="231">
        <v>2665.2</v>
      </c>
      <c r="S39" s="228">
        <v>-4.8</v>
      </c>
      <c r="T39" s="229">
        <v>-1.8E-3</v>
      </c>
      <c r="U39" s="231">
        <v>2675.4</v>
      </c>
      <c r="V39" s="231">
        <v>2680.5</v>
      </c>
      <c r="W39" s="228">
        <v>-5.0999999999999996</v>
      </c>
      <c r="X39" s="229">
        <v>-1.9E-3</v>
      </c>
      <c r="Y39" s="228">
        <v>16.600000000000001</v>
      </c>
      <c r="Z39" s="228">
        <v>17</v>
      </c>
      <c r="AA39" s="228">
        <v>-0.4</v>
      </c>
      <c r="AB39" s="229">
        <v>6.3E-3</v>
      </c>
      <c r="AC39" s="228">
        <v>16.600000000000001</v>
      </c>
      <c r="AD39" s="228">
        <v>17</v>
      </c>
      <c r="AE39" s="228">
        <v>-0.4</v>
      </c>
      <c r="AF39" s="229">
        <v>6.3E-3</v>
      </c>
      <c r="AG39" s="228">
        <v>32.4</v>
      </c>
      <c r="AH39" s="228">
        <v>33</v>
      </c>
      <c r="AI39" s="228">
        <v>-0.6</v>
      </c>
      <c r="AJ39" s="229">
        <v>1.23E-2</v>
      </c>
      <c r="AK39" s="228">
        <v>47.4</v>
      </c>
      <c r="AL39" s="228">
        <v>48.3</v>
      </c>
      <c r="AM39" s="228">
        <v>-0.9</v>
      </c>
      <c r="AN39" s="229">
        <v>1.7999999999999999E-2</v>
      </c>
      <c r="AO39" s="231">
        <v>2636.91</v>
      </c>
      <c r="AP39" s="231">
        <v>2651.11</v>
      </c>
      <c r="AQ39" s="228">
        <v>0</v>
      </c>
      <c r="AR39" s="230">
        <v>1507875</v>
      </c>
      <c r="AS39" s="230">
        <v>2216250</v>
      </c>
      <c r="AT39" s="230">
        <v>-708375</v>
      </c>
      <c r="AU39" s="229">
        <v>-0.3196</v>
      </c>
      <c r="AV39" s="230">
        <v>1405875</v>
      </c>
      <c r="AW39" s="230">
        <v>2092875</v>
      </c>
      <c r="AX39" s="230">
        <v>-687000</v>
      </c>
      <c r="AY39" s="229">
        <v>-0.32829999999999998</v>
      </c>
      <c r="AZ39" s="230">
        <v>82875</v>
      </c>
      <c r="BA39" s="230">
        <v>105000</v>
      </c>
      <c r="BB39" s="230">
        <v>-22125</v>
      </c>
      <c r="BC39" s="229">
        <v>-0.2107</v>
      </c>
      <c r="BD39" s="230">
        <v>19125</v>
      </c>
      <c r="BE39" s="230">
        <v>18375</v>
      </c>
      <c r="BF39" s="228">
        <v>750</v>
      </c>
      <c r="BG39" s="229">
        <v>4.0800000000000003E-2</v>
      </c>
      <c r="BH39" s="230">
        <v>5171250</v>
      </c>
      <c r="BI39" s="230">
        <v>10163625</v>
      </c>
      <c r="BJ39" s="230">
        <v>-4992375</v>
      </c>
      <c r="BK39" s="229">
        <v>-0.49120000000000003</v>
      </c>
      <c r="BL39" s="230">
        <v>3344250</v>
      </c>
      <c r="BM39" s="230">
        <v>4790250</v>
      </c>
      <c r="BN39" s="230">
        <v>-1446000</v>
      </c>
      <c r="BO39" s="229">
        <v>-0.3019</v>
      </c>
      <c r="BP39" s="230">
        <v>10023375</v>
      </c>
      <c r="BQ39" s="230">
        <v>17170125</v>
      </c>
      <c r="BR39" s="230">
        <v>-7146750</v>
      </c>
      <c r="BS39" s="229">
        <v>-0.41620000000000001</v>
      </c>
      <c r="BT39" s="230">
        <v>1665389</v>
      </c>
      <c r="BU39" s="230">
        <v>2415713</v>
      </c>
      <c r="BV39" s="230">
        <v>-750324</v>
      </c>
      <c r="BW39" s="229">
        <v>-0.31059999999999999</v>
      </c>
      <c r="BX39" s="230">
        <v>12046125</v>
      </c>
      <c r="BY39" s="230">
        <v>11922750</v>
      </c>
      <c r="BZ39" s="230">
        <v>123375</v>
      </c>
      <c r="CA39" s="229">
        <v>1.03E-2</v>
      </c>
      <c r="CB39" s="230">
        <v>11524500</v>
      </c>
      <c r="CC39" s="230">
        <v>11410500</v>
      </c>
      <c r="CD39" s="230">
        <v>114000</v>
      </c>
      <c r="CE39" s="229">
        <v>0.01</v>
      </c>
      <c r="CF39" s="230">
        <v>505500</v>
      </c>
      <c r="CG39" s="230">
        <v>504750</v>
      </c>
      <c r="CH39" s="228">
        <v>750</v>
      </c>
      <c r="CI39" s="229">
        <v>1.5E-3</v>
      </c>
      <c r="CJ39" s="230">
        <v>16125</v>
      </c>
      <c r="CK39" s="230">
        <v>7500</v>
      </c>
      <c r="CL39" s="230">
        <v>8625</v>
      </c>
      <c r="CM39" s="229">
        <v>1.1499999999999999</v>
      </c>
      <c r="CN39" s="230">
        <v>6651750</v>
      </c>
      <c r="CO39" s="230">
        <v>6172500</v>
      </c>
      <c r="CP39" s="230">
        <v>479250</v>
      </c>
      <c r="CQ39" s="229">
        <v>7.7600000000000002E-2</v>
      </c>
      <c r="CR39" s="230">
        <v>4364250</v>
      </c>
      <c r="CS39" s="230">
        <v>4216125</v>
      </c>
      <c r="CT39" s="230">
        <v>148125</v>
      </c>
      <c r="CU39" s="229">
        <v>3.5099999999999999E-2</v>
      </c>
      <c r="CV39" s="230">
        <v>23062125</v>
      </c>
      <c r="CW39" s="230">
        <v>22311375</v>
      </c>
      <c r="CX39" s="230">
        <v>750750</v>
      </c>
      <c r="CY39" s="229">
        <v>3.3599999999999998E-2</v>
      </c>
      <c r="CZ39" s="228">
        <v>37.119999999999997</v>
      </c>
      <c r="DA39" s="228">
        <v>37.39</v>
      </c>
      <c r="DB39" s="228">
        <v>-0.27</v>
      </c>
      <c r="DC39" s="228">
        <v>-0.27</v>
      </c>
      <c r="DD39" s="228">
        <v>59.59</v>
      </c>
      <c r="DE39" s="228">
        <v>59.74</v>
      </c>
      <c r="DF39" s="228">
        <v>-22.47</v>
      </c>
      <c r="DG39" s="228">
        <v>-0.15</v>
      </c>
      <c r="DH39" s="228">
        <v>36.909999999999997</v>
      </c>
      <c r="DI39" s="228">
        <v>37.07</v>
      </c>
      <c r="DJ39" s="228">
        <v>-0.16</v>
      </c>
      <c r="DK39" s="228">
        <v>-0.16</v>
      </c>
      <c r="DL39" s="228">
        <v>37.450000000000003</v>
      </c>
      <c r="DM39" s="228">
        <v>38.06</v>
      </c>
      <c r="DN39" s="228">
        <v>-0.61</v>
      </c>
      <c r="DO39" s="228">
        <v>-0.61</v>
      </c>
      <c r="DP39" s="228">
        <v>0.66</v>
      </c>
      <c r="DQ39" s="228">
        <v>0.68</v>
      </c>
      <c r="DR39" s="228">
        <v>-0.02</v>
      </c>
      <c r="DS39" s="229">
        <v>-2.9399999999999999E-2</v>
      </c>
      <c r="DT39" s="231">
        <v>3000</v>
      </c>
      <c r="DU39" s="231">
        <v>2600</v>
      </c>
      <c r="DV39" s="228">
        <v>0.65</v>
      </c>
      <c r="DW39" s="228">
        <v>0.47</v>
      </c>
      <c r="DX39" s="228">
        <v>0.18</v>
      </c>
      <c r="DY39" s="229">
        <v>0.38300000000000001</v>
      </c>
      <c r="DZ39" s="229">
        <v>4.3299999999999998E-2</v>
      </c>
      <c r="EA39" s="230">
        <v>512250</v>
      </c>
      <c r="EB39" s="229">
        <v>6.0000000000000001E-3</v>
      </c>
      <c r="EC39" s="229">
        <v>4.3299999999999998E-2</v>
      </c>
      <c r="ED39" s="228">
        <v>14.2</v>
      </c>
      <c r="EE39" s="229">
        <v>5.4000000000000003E-3</v>
      </c>
      <c r="EF39" s="230">
        <v>386693</v>
      </c>
      <c r="EG39" s="230">
        <v>742258</v>
      </c>
      <c r="EH39" s="229">
        <v>-0.47899999999999998</v>
      </c>
      <c r="EI39" s="229">
        <v>0.23219999999999999</v>
      </c>
      <c r="EJ39" s="231">
        <v>146554.25</v>
      </c>
      <c r="EK39" s="231">
        <v>86649.55</v>
      </c>
      <c r="EL39" s="231">
        <v>39778.949999999997</v>
      </c>
      <c r="EM39" s="231">
        <v>15530</v>
      </c>
      <c r="EN39" s="231">
        <v>272982.75</v>
      </c>
      <c r="EO39" s="231">
        <v>470412.97</v>
      </c>
      <c r="EP39" s="231">
        <v>-197430.22</v>
      </c>
      <c r="EQ39" s="229">
        <v>-0.41970000000000002</v>
      </c>
      <c r="ER39" s="231">
        <v>187081</v>
      </c>
      <c r="ES39" s="231">
        <v>111165</v>
      </c>
      <c r="ET39" s="231">
        <v>318657</v>
      </c>
      <c r="EU39" s="231">
        <v>61094861</v>
      </c>
      <c r="EV39" s="231">
        <v>616903</v>
      </c>
      <c r="EW39" s="231">
        <v>597046</v>
      </c>
      <c r="EX39" s="231">
        <v>19857</v>
      </c>
      <c r="EY39" s="229">
        <v>3.3300000000000003E-2</v>
      </c>
      <c r="EZ39" s="229">
        <v>0.3775</v>
      </c>
      <c r="FA39" s="227" t="s">
        <v>567</v>
      </c>
      <c r="FB39" s="161">
        <f t="shared" si="0"/>
        <v>521625</v>
      </c>
    </row>
    <row r="40" spans="1:158" ht="17.25" hidden="1" thickBot="1" x14ac:dyDescent="0.3">
      <c r="A40" s="226">
        <v>46023</v>
      </c>
      <c r="B40" s="227" t="s">
        <v>175</v>
      </c>
      <c r="C40" s="227" t="s">
        <v>611</v>
      </c>
      <c r="D40" s="228">
        <v>750</v>
      </c>
      <c r="E40" s="228">
        <v>739.95</v>
      </c>
      <c r="F40" s="228">
        <v>745.4</v>
      </c>
      <c r="G40" s="228">
        <v>-5.45</v>
      </c>
      <c r="H40" s="229">
        <v>-7.3000000000000001E-3</v>
      </c>
      <c r="I40" s="228">
        <v>735.1</v>
      </c>
      <c r="J40" s="228">
        <v>740.9</v>
      </c>
      <c r="K40" s="228">
        <v>-5.8</v>
      </c>
      <c r="L40" s="229">
        <v>-7.7999999999999996E-3</v>
      </c>
      <c r="M40" s="228">
        <v>739.95</v>
      </c>
      <c r="N40" s="228">
        <v>745.4</v>
      </c>
      <c r="O40" s="228">
        <v>-5.45</v>
      </c>
      <c r="P40" s="229">
        <v>-7.3000000000000001E-3</v>
      </c>
      <c r="Q40" s="228">
        <v>741.05</v>
      </c>
      <c r="R40" s="228">
        <v>746.9</v>
      </c>
      <c r="S40" s="228">
        <v>-5.85</v>
      </c>
      <c r="T40" s="229">
        <v>-7.7999999999999996E-3</v>
      </c>
      <c r="U40" s="228">
        <v>745.65</v>
      </c>
      <c r="V40" s="228">
        <v>752.8</v>
      </c>
      <c r="W40" s="228">
        <v>-7.15</v>
      </c>
      <c r="X40" s="229">
        <v>-9.4999999999999998E-3</v>
      </c>
      <c r="Y40" s="228">
        <v>4.8499999999999996</v>
      </c>
      <c r="Z40" s="228">
        <v>4.5</v>
      </c>
      <c r="AA40" s="228">
        <v>0.35</v>
      </c>
      <c r="AB40" s="229">
        <v>6.6E-3</v>
      </c>
      <c r="AC40" s="228">
        <v>4.8499999999999996</v>
      </c>
      <c r="AD40" s="228">
        <v>4.5</v>
      </c>
      <c r="AE40" s="228">
        <v>0.35</v>
      </c>
      <c r="AF40" s="229">
        <v>6.6E-3</v>
      </c>
      <c r="AG40" s="228">
        <v>5.95</v>
      </c>
      <c r="AH40" s="228">
        <v>6</v>
      </c>
      <c r="AI40" s="228">
        <v>-0.05</v>
      </c>
      <c r="AJ40" s="229">
        <v>8.0999999999999996E-3</v>
      </c>
      <c r="AK40" s="228">
        <v>10.55</v>
      </c>
      <c r="AL40" s="228">
        <v>11.9</v>
      </c>
      <c r="AM40" s="228">
        <v>-1.35</v>
      </c>
      <c r="AN40" s="229">
        <v>1.44E-2</v>
      </c>
      <c r="AO40" s="228">
        <v>742.38</v>
      </c>
      <c r="AP40" s="228">
        <v>743.27</v>
      </c>
      <c r="AQ40" s="228">
        <v>0</v>
      </c>
      <c r="AR40" s="230">
        <v>792000</v>
      </c>
      <c r="AS40" s="230">
        <v>1209000</v>
      </c>
      <c r="AT40" s="230">
        <v>-417000</v>
      </c>
      <c r="AU40" s="229">
        <v>-0.34489999999999998</v>
      </c>
      <c r="AV40" s="230">
        <v>721500</v>
      </c>
      <c r="AW40" s="230">
        <v>1101750</v>
      </c>
      <c r="AX40" s="230">
        <v>-380250</v>
      </c>
      <c r="AY40" s="229">
        <v>-0.34510000000000002</v>
      </c>
      <c r="AZ40" s="230">
        <v>66000</v>
      </c>
      <c r="BA40" s="230">
        <v>102000</v>
      </c>
      <c r="BB40" s="230">
        <v>-36000</v>
      </c>
      <c r="BC40" s="229">
        <v>-0.35289999999999999</v>
      </c>
      <c r="BD40" s="230">
        <v>4500</v>
      </c>
      <c r="BE40" s="230">
        <v>5250</v>
      </c>
      <c r="BF40" s="228">
        <v>-750</v>
      </c>
      <c r="BG40" s="229">
        <v>-0.1429</v>
      </c>
      <c r="BH40" s="230">
        <v>891000</v>
      </c>
      <c r="BI40" s="230">
        <v>1605750</v>
      </c>
      <c r="BJ40" s="230">
        <v>-714750</v>
      </c>
      <c r="BK40" s="229">
        <v>-0.4451</v>
      </c>
      <c r="BL40" s="230">
        <v>435000</v>
      </c>
      <c r="BM40" s="230">
        <v>819750</v>
      </c>
      <c r="BN40" s="230">
        <v>-384750</v>
      </c>
      <c r="BO40" s="229">
        <v>-0.46939999999999998</v>
      </c>
      <c r="BP40" s="230">
        <v>2118000</v>
      </c>
      <c r="BQ40" s="230">
        <v>3634500</v>
      </c>
      <c r="BR40" s="230">
        <v>-1516500</v>
      </c>
      <c r="BS40" s="229">
        <v>-0.4173</v>
      </c>
      <c r="BT40" s="230">
        <v>390334</v>
      </c>
      <c r="BU40" s="230">
        <v>769437</v>
      </c>
      <c r="BV40" s="230">
        <v>-379103</v>
      </c>
      <c r="BW40" s="229">
        <v>-0.49270000000000003</v>
      </c>
      <c r="BX40" s="230">
        <v>7763250</v>
      </c>
      <c r="BY40" s="230">
        <v>7784250</v>
      </c>
      <c r="BZ40" s="230">
        <v>-21000</v>
      </c>
      <c r="CA40" s="229">
        <v>-2.7000000000000001E-3</v>
      </c>
      <c r="CB40" s="230">
        <v>7354500</v>
      </c>
      <c r="CC40" s="230">
        <v>7407000</v>
      </c>
      <c r="CD40" s="230">
        <v>-52500</v>
      </c>
      <c r="CE40" s="229">
        <v>-7.1000000000000004E-3</v>
      </c>
      <c r="CF40" s="230">
        <v>402000</v>
      </c>
      <c r="CG40" s="230">
        <v>372000</v>
      </c>
      <c r="CH40" s="230">
        <v>30000</v>
      </c>
      <c r="CI40" s="229">
        <v>8.0600000000000005E-2</v>
      </c>
      <c r="CJ40" s="230">
        <v>6750</v>
      </c>
      <c r="CK40" s="230">
        <v>5250</v>
      </c>
      <c r="CL40" s="230">
        <v>1500</v>
      </c>
      <c r="CM40" s="229">
        <v>0.28570000000000001</v>
      </c>
      <c r="CN40" s="230">
        <v>2170500</v>
      </c>
      <c r="CO40" s="230">
        <v>2049750</v>
      </c>
      <c r="CP40" s="230">
        <v>120750</v>
      </c>
      <c r="CQ40" s="229">
        <v>5.8900000000000001E-2</v>
      </c>
      <c r="CR40" s="230">
        <v>2120250</v>
      </c>
      <c r="CS40" s="230">
        <v>2039250</v>
      </c>
      <c r="CT40" s="230">
        <v>81000</v>
      </c>
      <c r="CU40" s="229">
        <v>3.9699999999999999E-2</v>
      </c>
      <c r="CV40" s="230">
        <v>12054000</v>
      </c>
      <c r="CW40" s="230">
        <v>11873250</v>
      </c>
      <c r="CX40" s="230">
        <v>180750</v>
      </c>
      <c r="CY40" s="229">
        <v>1.52E-2</v>
      </c>
      <c r="CZ40" s="228">
        <v>25.53</v>
      </c>
      <c r="DA40" s="228">
        <v>25.25</v>
      </c>
      <c r="DB40" s="228">
        <v>0.28000000000000003</v>
      </c>
      <c r="DC40" s="228">
        <v>0.28000000000000003</v>
      </c>
      <c r="DD40" s="228">
        <v>39.92</v>
      </c>
      <c r="DE40" s="228">
        <v>40</v>
      </c>
      <c r="DF40" s="228">
        <v>-14.39</v>
      </c>
      <c r="DG40" s="228">
        <v>-0.08</v>
      </c>
      <c r="DH40" s="228">
        <v>25.66</v>
      </c>
      <c r="DI40" s="228">
        <v>25.12</v>
      </c>
      <c r="DJ40" s="228">
        <v>0.54</v>
      </c>
      <c r="DK40" s="228">
        <v>0.54</v>
      </c>
      <c r="DL40" s="228">
        <v>25.26</v>
      </c>
      <c r="DM40" s="228">
        <v>25.52</v>
      </c>
      <c r="DN40" s="228">
        <v>-0.26</v>
      </c>
      <c r="DO40" s="228">
        <v>-0.26</v>
      </c>
      <c r="DP40" s="228">
        <v>0.98</v>
      </c>
      <c r="DQ40" s="228">
        <v>0.99</v>
      </c>
      <c r="DR40" s="228">
        <v>-0.01</v>
      </c>
      <c r="DS40" s="229">
        <v>-1.01E-2</v>
      </c>
      <c r="DT40" s="228">
        <v>750</v>
      </c>
      <c r="DU40" s="228">
        <v>700</v>
      </c>
      <c r="DV40" s="228">
        <v>0.49</v>
      </c>
      <c r="DW40" s="228">
        <v>0.51</v>
      </c>
      <c r="DX40" s="228">
        <v>-0.02</v>
      </c>
      <c r="DY40" s="229">
        <v>-3.9199999999999999E-2</v>
      </c>
      <c r="DZ40" s="229">
        <v>5.2699999999999997E-2</v>
      </c>
      <c r="EA40" s="230">
        <v>377250</v>
      </c>
      <c r="EB40" s="229">
        <v>1.5E-3</v>
      </c>
      <c r="EC40" s="229">
        <v>5.2699999999999997E-2</v>
      </c>
      <c r="ED40" s="228">
        <v>0.89</v>
      </c>
      <c r="EE40" s="229">
        <v>1.1999999999999999E-3</v>
      </c>
      <c r="EF40" s="230">
        <v>202880</v>
      </c>
      <c r="EG40" s="230">
        <v>434403</v>
      </c>
      <c r="EH40" s="229">
        <v>-0.53300000000000003</v>
      </c>
      <c r="EI40" s="229">
        <v>0.51980000000000004</v>
      </c>
      <c r="EJ40" s="231">
        <v>6929.88</v>
      </c>
      <c r="EK40" s="231">
        <v>3255.06</v>
      </c>
      <c r="EL40" s="231">
        <v>5880.51</v>
      </c>
      <c r="EM40" s="231">
        <v>6126</v>
      </c>
      <c r="EN40" s="231">
        <v>16065.45</v>
      </c>
      <c r="EO40" s="231">
        <v>27618.93</v>
      </c>
      <c r="EP40" s="231">
        <v>-11553.48</v>
      </c>
      <c r="EQ40" s="229">
        <v>-0.41830000000000001</v>
      </c>
      <c r="ER40" s="231">
        <v>16915</v>
      </c>
      <c r="ES40" s="231">
        <v>15813</v>
      </c>
      <c r="ET40" s="231">
        <v>57449</v>
      </c>
      <c r="EU40" s="231">
        <v>37122288</v>
      </c>
      <c r="EV40" s="231">
        <v>90177</v>
      </c>
      <c r="EW40" s="231">
        <v>89279</v>
      </c>
      <c r="EX40" s="228">
        <v>898</v>
      </c>
      <c r="EY40" s="229">
        <v>1.01E-2</v>
      </c>
      <c r="EZ40" s="229">
        <v>0.32469999999999999</v>
      </c>
      <c r="FA40" s="227" t="s">
        <v>568</v>
      </c>
      <c r="FB40" s="161">
        <f t="shared" si="0"/>
        <v>408750</v>
      </c>
    </row>
    <row r="41" spans="1:158" ht="17.25" hidden="1" thickBot="1" x14ac:dyDescent="0.3">
      <c r="A41" s="226">
        <v>46023</v>
      </c>
      <c r="B41" s="227" t="s">
        <v>172</v>
      </c>
      <c r="C41" s="227" t="s">
        <v>196</v>
      </c>
      <c r="D41" s="228">
        <v>6750</v>
      </c>
      <c r="E41" s="228">
        <v>155.03</v>
      </c>
      <c r="F41" s="228">
        <v>155.13</v>
      </c>
      <c r="G41" s="228">
        <v>-0.1</v>
      </c>
      <c r="H41" s="229">
        <v>-5.9999999999999995E-4</v>
      </c>
      <c r="I41" s="228">
        <v>154.24</v>
      </c>
      <c r="J41" s="228">
        <v>154.91</v>
      </c>
      <c r="K41" s="228">
        <v>-0.67</v>
      </c>
      <c r="L41" s="229">
        <v>-4.3E-3</v>
      </c>
      <c r="M41" s="228">
        <v>155.03</v>
      </c>
      <c r="N41" s="228">
        <v>155.13</v>
      </c>
      <c r="O41" s="228">
        <v>-0.1</v>
      </c>
      <c r="P41" s="229">
        <v>-5.9999999999999995E-4</v>
      </c>
      <c r="Q41" s="228">
        <v>155.52000000000001</v>
      </c>
      <c r="R41" s="228">
        <v>155.72</v>
      </c>
      <c r="S41" s="228">
        <v>-0.2</v>
      </c>
      <c r="T41" s="229">
        <v>-1.2999999999999999E-3</v>
      </c>
      <c r="U41" s="228">
        <v>156.4</v>
      </c>
      <c r="V41" s="228">
        <v>156.62</v>
      </c>
      <c r="W41" s="228">
        <v>-0.22</v>
      </c>
      <c r="X41" s="229">
        <v>-1.4E-3</v>
      </c>
      <c r="Y41" s="228">
        <v>0.79</v>
      </c>
      <c r="Z41" s="228">
        <v>0.22</v>
      </c>
      <c r="AA41" s="228">
        <v>0.56999999999999995</v>
      </c>
      <c r="AB41" s="229">
        <v>5.1000000000000004E-3</v>
      </c>
      <c r="AC41" s="228">
        <v>0.79</v>
      </c>
      <c r="AD41" s="228">
        <v>0.22</v>
      </c>
      <c r="AE41" s="228">
        <v>0.56999999999999995</v>
      </c>
      <c r="AF41" s="229">
        <v>5.1000000000000004E-3</v>
      </c>
      <c r="AG41" s="228">
        <v>1.28</v>
      </c>
      <c r="AH41" s="228">
        <v>0.81</v>
      </c>
      <c r="AI41" s="228">
        <v>0.47</v>
      </c>
      <c r="AJ41" s="229">
        <v>8.3000000000000001E-3</v>
      </c>
      <c r="AK41" s="228">
        <v>2.16</v>
      </c>
      <c r="AL41" s="228">
        <v>1.71</v>
      </c>
      <c r="AM41" s="228">
        <v>0.45</v>
      </c>
      <c r="AN41" s="229">
        <v>1.4E-2</v>
      </c>
      <c r="AO41" s="228">
        <v>155.31</v>
      </c>
      <c r="AP41" s="228">
        <v>155.69</v>
      </c>
      <c r="AQ41" s="228">
        <v>0</v>
      </c>
      <c r="AR41" s="230">
        <v>42545250</v>
      </c>
      <c r="AS41" s="230">
        <v>66757500</v>
      </c>
      <c r="AT41" s="230">
        <v>-24212250</v>
      </c>
      <c r="AU41" s="229">
        <v>-0.36270000000000002</v>
      </c>
      <c r="AV41" s="230">
        <v>39460500</v>
      </c>
      <c r="AW41" s="230">
        <v>60426000</v>
      </c>
      <c r="AX41" s="230">
        <v>-20965500</v>
      </c>
      <c r="AY41" s="229">
        <v>-0.34699999999999998</v>
      </c>
      <c r="AZ41" s="230">
        <v>2787750</v>
      </c>
      <c r="BA41" s="230">
        <v>5386500</v>
      </c>
      <c r="BB41" s="230">
        <v>-2598750</v>
      </c>
      <c r="BC41" s="229">
        <v>-0.48249999999999998</v>
      </c>
      <c r="BD41" s="230">
        <v>297000</v>
      </c>
      <c r="BE41" s="230">
        <v>945000</v>
      </c>
      <c r="BF41" s="230">
        <v>-648000</v>
      </c>
      <c r="BG41" s="229">
        <v>-0.68569999999999998</v>
      </c>
      <c r="BH41" s="230">
        <v>76234500</v>
      </c>
      <c r="BI41" s="230">
        <v>163390500</v>
      </c>
      <c r="BJ41" s="230">
        <v>-87156000</v>
      </c>
      <c r="BK41" s="229">
        <v>-0.53339999999999999</v>
      </c>
      <c r="BL41" s="230">
        <v>41620500</v>
      </c>
      <c r="BM41" s="230">
        <v>86973750</v>
      </c>
      <c r="BN41" s="230">
        <v>-45353250</v>
      </c>
      <c r="BO41" s="229">
        <v>-0.52149999999999996</v>
      </c>
      <c r="BP41" s="230">
        <v>160400250</v>
      </c>
      <c r="BQ41" s="230">
        <v>317121750</v>
      </c>
      <c r="BR41" s="230">
        <v>-156721500</v>
      </c>
      <c r="BS41" s="229">
        <v>-0.49419999999999997</v>
      </c>
      <c r="BT41" s="230">
        <v>19390916</v>
      </c>
      <c r="BU41" s="230">
        <v>36859145</v>
      </c>
      <c r="BV41" s="230">
        <v>-17468229</v>
      </c>
      <c r="BW41" s="229">
        <v>-0.47389999999999999</v>
      </c>
      <c r="BX41" s="230">
        <v>145867500</v>
      </c>
      <c r="BY41" s="230">
        <v>136606500</v>
      </c>
      <c r="BZ41" s="230">
        <v>9261000</v>
      </c>
      <c r="CA41" s="229">
        <v>6.7799999999999999E-2</v>
      </c>
      <c r="CB41" s="230">
        <v>139941000</v>
      </c>
      <c r="CC41" s="230">
        <v>131807250</v>
      </c>
      <c r="CD41" s="230">
        <v>8133750</v>
      </c>
      <c r="CE41" s="229">
        <v>6.1699999999999998E-2</v>
      </c>
      <c r="CF41" s="230">
        <v>5157000</v>
      </c>
      <c r="CG41" s="230">
        <v>4171500</v>
      </c>
      <c r="CH41" s="230">
        <v>985500</v>
      </c>
      <c r="CI41" s="229">
        <v>0.23619999999999999</v>
      </c>
      <c r="CJ41" s="230">
        <v>769500</v>
      </c>
      <c r="CK41" s="230">
        <v>627750</v>
      </c>
      <c r="CL41" s="230">
        <v>141750</v>
      </c>
      <c r="CM41" s="229">
        <v>0.2258</v>
      </c>
      <c r="CN41" s="230">
        <v>67014000</v>
      </c>
      <c r="CO41" s="230">
        <v>60473250</v>
      </c>
      <c r="CP41" s="230">
        <v>6540750</v>
      </c>
      <c r="CQ41" s="229">
        <v>0.1082</v>
      </c>
      <c r="CR41" s="230">
        <v>60608250</v>
      </c>
      <c r="CS41" s="230">
        <v>57496500</v>
      </c>
      <c r="CT41" s="230">
        <v>3111750</v>
      </c>
      <c r="CU41" s="229">
        <v>5.4100000000000002E-2</v>
      </c>
      <c r="CV41" s="230">
        <v>273489750</v>
      </c>
      <c r="CW41" s="230">
        <v>254576250</v>
      </c>
      <c r="CX41" s="230">
        <v>18913500</v>
      </c>
      <c r="CY41" s="229">
        <v>7.4300000000000005E-2</v>
      </c>
      <c r="CZ41" s="228">
        <v>26.42</v>
      </c>
      <c r="DA41" s="228">
        <v>26.61</v>
      </c>
      <c r="DB41" s="228">
        <v>-0.19</v>
      </c>
      <c r="DC41" s="228">
        <v>-0.19</v>
      </c>
      <c r="DD41" s="228">
        <v>35.369999999999997</v>
      </c>
      <c r="DE41" s="228">
        <v>35.450000000000003</v>
      </c>
      <c r="DF41" s="228">
        <v>-8.9499999999999993</v>
      </c>
      <c r="DG41" s="228">
        <v>-0.08</v>
      </c>
      <c r="DH41" s="228">
        <v>26.43</v>
      </c>
      <c r="DI41" s="228">
        <v>26.52</v>
      </c>
      <c r="DJ41" s="228">
        <v>-0.09</v>
      </c>
      <c r="DK41" s="228">
        <v>-0.09</v>
      </c>
      <c r="DL41" s="228">
        <v>26.41</v>
      </c>
      <c r="DM41" s="228">
        <v>26.77</v>
      </c>
      <c r="DN41" s="228">
        <v>-0.36</v>
      </c>
      <c r="DO41" s="228">
        <v>-0.36</v>
      </c>
      <c r="DP41" s="228">
        <v>0.9</v>
      </c>
      <c r="DQ41" s="228">
        <v>0.95</v>
      </c>
      <c r="DR41" s="228">
        <v>-0.05</v>
      </c>
      <c r="DS41" s="229">
        <v>-5.2600000000000001E-2</v>
      </c>
      <c r="DT41" s="228">
        <v>155</v>
      </c>
      <c r="DU41" s="228">
        <v>150</v>
      </c>
      <c r="DV41" s="228">
        <v>0.55000000000000004</v>
      </c>
      <c r="DW41" s="228">
        <v>0.53</v>
      </c>
      <c r="DX41" s="228">
        <v>0.02</v>
      </c>
      <c r="DY41" s="229">
        <v>3.7699999999999997E-2</v>
      </c>
      <c r="DZ41" s="229">
        <v>4.0599999999999997E-2</v>
      </c>
      <c r="EA41" s="230">
        <v>4799250</v>
      </c>
      <c r="EB41" s="229">
        <v>3.2000000000000002E-3</v>
      </c>
      <c r="EC41" s="229">
        <v>4.0599999999999997E-2</v>
      </c>
      <c r="ED41" s="228">
        <v>0.38</v>
      </c>
      <c r="EE41" s="229">
        <v>2.3999999999999998E-3</v>
      </c>
      <c r="EF41" s="230">
        <v>7340036</v>
      </c>
      <c r="EG41" s="230">
        <v>15419102</v>
      </c>
      <c r="EH41" s="229">
        <v>-0.52400000000000002</v>
      </c>
      <c r="EI41" s="229">
        <v>0.3785</v>
      </c>
      <c r="EJ41" s="231">
        <v>123190.61</v>
      </c>
      <c r="EK41" s="231">
        <v>64107.81</v>
      </c>
      <c r="EL41" s="231">
        <v>66091.05</v>
      </c>
      <c r="EM41" s="231">
        <v>14917</v>
      </c>
      <c r="EN41" s="231">
        <v>253389.47</v>
      </c>
      <c r="EO41" s="231">
        <v>502460.02</v>
      </c>
      <c r="EP41" s="231">
        <v>-249070.55</v>
      </c>
      <c r="EQ41" s="229">
        <v>-0.49569999999999997</v>
      </c>
      <c r="ER41" s="231">
        <v>104949</v>
      </c>
      <c r="ES41" s="231">
        <v>89976</v>
      </c>
      <c r="ET41" s="231">
        <v>226174</v>
      </c>
      <c r="EU41" s="231">
        <v>504315430</v>
      </c>
      <c r="EV41" s="231">
        <v>421099</v>
      </c>
      <c r="EW41" s="231">
        <v>391957</v>
      </c>
      <c r="EX41" s="231">
        <v>29142</v>
      </c>
      <c r="EY41" s="229">
        <v>7.4300000000000005E-2</v>
      </c>
      <c r="EZ41" s="229">
        <v>0.5423</v>
      </c>
      <c r="FA41" s="227" t="s">
        <v>567</v>
      </c>
      <c r="FB41" s="161">
        <f t="shared" si="0"/>
        <v>5926500</v>
      </c>
    </row>
    <row r="42" spans="1:158" ht="17.25" hidden="1" thickBot="1" x14ac:dyDescent="0.3">
      <c r="A42" s="226">
        <v>46023</v>
      </c>
      <c r="B42" s="227" t="s">
        <v>175</v>
      </c>
      <c r="C42" s="227" t="s">
        <v>597</v>
      </c>
      <c r="D42" s="228">
        <v>475</v>
      </c>
      <c r="E42" s="231">
        <v>1455.2</v>
      </c>
      <c r="F42" s="231">
        <v>1452.7</v>
      </c>
      <c r="G42" s="228">
        <v>2.5</v>
      </c>
      <c r="H42" s="229">
        <v>1.6999999999999999E-3</v>
      </c>
      <c r="I42" s="231">
        <v>1446.2</v>
      </c>
      <c r="J42" s="231">
        <v>1443.6</v>
      </c>
      <c r="K42" s="228">
        <v>2.6</v>
      </c>
      <c r="L42" s="229">
        <v>1.8E-3</v>
      </c>
      <c r="M42" s="231">
        <v>1455.2</v>
      </c>
      <c r="N42" s="231">
        <v>1452.7</v>
      </c>
      <c r="O42" s="228">
        <v>2.5</v>
      </c>
      <c r="P42" s="229">
        <v>1.6999999999999999E-3</v>
      </c>
      <c r="Q42" s="231">
        <v>1462.1</v>
      </c>
      <c r="R42" s="231">
        <v>1460</v>
      </c>
      <c r="S42" s="228">
        <v>2.1</v>
      </c>
      <c r="T42" s="229">
        <v>1.4E-3</v>
      </c>
      <c r="U42" s="231">
        <v>1469.7</v>
      </c>
      <c r="V42" s="231">
        <v>1467</v>
      </c>
      <c r="W42" s="228">
        <v>2.7</v>
      </c>
      <c r="X42" s="229">
        <v>1.8E-3</v>
      </c>
      <c r="Y42" s="228">
        <v>9</v>
      </c>
      <c r="Z42" s="228">
        <v>9.1</v>
      </c>
      <c r="AA42" s="228">
        <v>-0.1</v>
      </c>
      <c r="AB42" s="229">
        <v>6.1999999999999998E-3</v>
      </c>
      <c r="AC42" s="228">
        <v>9</v>
      </c>
      <c r="AD42" s="228">
        <v>9.1</v>
      </c>
      <c r="AE42" s="228">
        <v>-0.1</v>
      </c>
      <c r="AF42" s="229">
        <v>6.1999999999999998E-3</v>
      </c>
      <c r="AG42" s="228">
        <v>15.9</v>
      </c>
      <c r="AH42" s="228">
        <v>16.399999999999999</v>
      </c>
      <c r="AI42" s="228">
        <v>-0.5</v>
      </c>
      <c r="AJ42" s="229">
        <v>1.0999999999999999E-2</v>
      </c>
      <c r="AK42" s="228">
        <v>23.5</v>
      </c>
      <c r="AL42" s="228">
        <v>23.4</v>
      </c>
      <c r="AM42" s="228">
        <v>0.1</v>
      </c>
      <c r="AN42" s="229">
        <v>1.6199999999999999E-2</v>
      </c>
      <c r="AO42" s="231">
        <v>1450.89</v>
      </c>
      <c r="AP42" s="231">
        <v>1458.38</v>
      </c>
      <c r="AQ42" s="228">
        <v>0</v>
      </c>
      <c r="AR42" s="230">
        <v>789925</v>
      </c>
      <c r="AS42" s="230">
        <v>1510500</v>
      </c>
      <c r="AT42" s="230">
        <v>-720575</v>
      </c>
      <c r="AU42" s="229">
        <v>-0.47699999999999998</v>
      </c>
      <c r="AV42" s="230">
        <v>725325</v>
      </c>
      <c r="AW42" s="230">
        <v>1377025</v>
      </c>
      <c r="AX42" s="230">
        <v>-651700</v>
      </c>
      <c r="AY42" s="229">
        <v>-0.4733</v>
      </c>
      <c r="AZ42" s="230">
        <v>56525</v>
      </c>
      <c r="BA42" s="230">
        <v>117800</v>
      </c>
      <c r="BB42" s="230">
        <v>-61275</v>
      </c>
      <c r="BC42" s="229">
        <v>-0.5202</v>
      </c>
      <c r="BD42" s="230">
        <v>8075</v>
      </c>
      <c r="BE42" s="230">
        <v>15675</v>
      </c>
      <c r="BF42" s="230">
        <v>-7600</v>
      </c>
      <c r="BG42" s="229">
        <v>-0.48480000000000001</v>
      </c>
      <c r="BH42" s="230">
        <v>2450050</v>
      </c>
      <c r="BI42" s="230">
        <v>4220850</v>
      </c>
      <c r="BJ42" s="230">
        <v>-1770800</v>
      </c>
      <c r="BK42" s="229">
        <v>-0.41949999999999998</v>
      </c>
      <c r="BL42" s="230">
        <v>721525</v>
      </c>
      <c r="BM42" s="230">
        <v>1938950</v>
      </c>
      <c r="BN42" s="230">
        <v>-1217425</v>
      </c>
      <c r="BO42" s="229">
        <v>-0.62790000000000001</v>
      </c>
      <c r="BP42" s="230">
        <v>3961500</v>
      </c>
      <c r="BQ42" s="230">
        <v>7670300</v>
      </c>
      <c r="BR42" s="230">
        <v>-3708800</v>
      </c>
      <c r="BS42" s="229">
        <v>-0.48349999999999999</v>
      </c>
      <c r="BT42" s="230">
        <v>681478</v>
      </c>
      <c r="BU42" s="230">
        <v>1144940</v>
      </c>
      <c r="BV42" s="230">
        <v>-463462</v>
      </c>
      <c r="BW42" s="229">
        <v>-0.40479999999999999</v>
      </c>
      <c r="BX42" s="230">
        <v>10451425</v>
      </c>
      <c r="BY42" s="230">
        <v>10344075</v>
      </c>
      <c r="BZ42" s="230">
        <v>107350</v>
      </c>
      <c r="CA42" s="229">
        <v>1.04E-2</v>
      </c>
      <c r="CB42" s="230">
        <v>9827750</v>
      </c>
      <c r="CC42" s="230">
        <v>9749375</v>
      </c>
      <c r="CD42" s="230">
        <v>78375</v>
      </c>
      <c r="CE42" s="229">
        <v>8.0000000000000002E-3</v>
      </c>
      <c r="CF42" s="230">
        <v>603250</v>
      </c>
      <c r="CG42" s="230">
        <v>582350</v>
      </c>
      <c r="CH42" s="230">
        <v>20900</v>
      </c>
      <c r="CI42" s="229">
        <v>3.5900000000000001E-2</v>
      </c>
      <c r="CJ42" s="230">
        <v>20425</v>
      </c>
      <c r="CK42" s="230">
        <v>12350</v>
      </c>
      <c r="CL42" s="230">
        <v>8075</v>
      </c>
      <c r="CM42" s="229">
        <v>0.65380000000000005</v>
      </c>
      <c r="CN42" s="230">
        <v>5184150</v>
      </c>
      <c r="CO42" s="230">
        <v>4910550</v>
      </c>
      <c r="CP42" s="230">
        <v>273600</v>
      </c>
      <c r="CQ42" s="229">
        <v>5.57E-2</v>
      </c>
      <c r="CR42" s="230">
        <v>3933000</v>
      </c>
      <c r="CS42" s="230">
        <v>3851300</v>
      </c>
      <c r="CT42" s="230">
        <v>81700</v>
      </c>
      <c r="CU42" s="229">
        <v>2.12E-2</v>
      </c>
      <c r="CV42" s="230">
        <v>19568575</v>
      </c>
      <c r="CW42" s="230">
        <v>19105925</v>
      </c>
      <c r="CX42" s="230">
        <v>462650</v>
      </c>
      <c r="CY42" s="229">
        <v>2.4199999999999999E-2</v>
      </c>
      <c r="CZ42" s="228">
        <v>27.26</v>
      </c>
      <c r="DA42" s="228">
        <v>27.42</v>
      </c>
      <c r="DB42" s="228">
        <v>-0.16</v>
      </c>
      <c r="DC42" s="228">
        <v>-0.16</v>
      </c>
      <c r="DD42" s="228">
        <v>44.15</v>
      </c>
      <c r="DE42" s="228">
        <v>44.26</v>
      </c>
      <c r="DF42" s="228">
        <v>-16.89</v>
      </c>
      <c r="DG42" s="228">
        <v>-0.11</v>
      </c>
      <c r="DH42" s="228">
        <v>27.22</v>
      </c>
      <c r="DI42" s="228">
        <v>27.38</v>
      </c>
      <c r="DJ42" s="228">
        <v>-0.16</v>
      </c>
      <c r="DK42" s="228">
        <v>-0.16</v>
      </c>
      <c r="DL42" s="228">
        <v>27.4</v>
      </c>
      <c r="DM42" s="228">
        <v>27.51</v>
      </c>
      <c r="DN42" s="228">
        <v>-0.11</v>
      </c>
      <c r="DO42" s="228">
        <v>-0.11</v>
      </c>
      <c r="DP42" s="228">
        <v>0.76</v>
      </c>
      <c r="DQ42" s="228">
        <v>0.78</v>
      </c>
      <c r="DR42" s="228">
        <v>-0.02</v>
      </c>
      <c r="DS42" s="229">
        <v>-2.5600000000000001E-2</v>
      </c>
      <c r="DT42" s="231">
        <v>1600</v>
      </c>
      <c r="DU42" s="231">
        <v>1500</v>
      </c>
      <c r="DV42" s="228">
        <v>0.28999999999999998</v>
      </c>
      <c r="DW42" s="228">
        <v>0.46</v>
      </c>
      <c r="DX42" s="228">
        <v>-0.17</v>
      </c>
      <c r="DY42" s="229">
        <v>-0.36959999999999998</v>
      </c>
      <c r="DZ42" s="229">
        <v>5.9700000000000003E-2</v>
      </c>
      <c r="EA42" s="230">
        <v>594700</v>
      </c>
      <c r="EB42" s="229">
        <v>4.7000000000000002E-3</v>
      </c>
      <c r="EC42" s="229">
        <v>5.9700000000000003E-2</v>
      </c>
      <c r="ED42" s="228">
        <v>7.49</v>
      </c>
      <c r="EE42" s="229">
        <v>5.1999999999999998E-3</v>
      </c>
      <c r="EF42" s="230">
        <v>249176</v>
      </c>
      <c r="EG42" s="230">
        <v>508985</v>
      </c>
      <c r="EH42" s="229">
        <v>-0.51039999999999996</v>
      </c>
      <c r="EI42" s="229">
        <v>0.36559999999999998</v>
      </c>
      <c r="EJ42" s="231">
        <v>37547.980000000003</v>
      </c>
      <c r="EK42" s="231">
        <v>10417.450000000001</v>
      </c>
      <c r="EL42" s="231">
        <v>11466.22</v>
      </c>
      <c r="EM42" s="231">
        <v>12586</v>
      </c>
      <c r="EN42" s="231">
        <v>59431.65</v>
      </c>
      <c r="EO42" s="231">
        <v>114509.28</v>
      </c>
      <c r="EP42" s="231">
        <v>-55077.63</v>
      </c>
      <c r="EQ42" s="229">
        <v>-0.48099999999999998</v>
      </c>
      <c r="ER42" s="231">
        <v>79994</v>
      </c>
      <c r="ES42" s="231">
        <v>57913</v>
      </c>
      <c r="ET42" s="231">
        <v>152134</v>
      </c>
      <c r="EU42" s="231">
        <v>26647500</v>
      </c>
      <c r="EV42" s="231">
        <v>290041</v>
      </c>
      <c r="EW42" s="231">
        <v>282933</v>
      </c>
      <c r="EX42" s="231">
        <v>7108</v>
      </c>
      <c r="EY42" s="229">
        <v>2.5100000000000001E-2</v>
      </c>
      <c r="EZ42" s="229">
        <v>0.73429999999999995</v>
      </c>
      <c r="FA42" s="227" t="s">
        <v>555</v>
      </c>
      <c r="FB42" s="161">
        <f t="shared" si="0"/>
        <v>623675</v>
      </c>
    </row>
    <row r="43" spans="1:158" ht="17.25" hidden="1" thickBot="1" x14ac:dyDescent="0.3">
      <c r="A43" s="226">
        <v>46023</v>
      </c>
      <c r="B43" s="227" t="s">
        <v>161</v>
      </c>
      <c r="C43" s="227" t="s">
        <v>612</v>
      </c>
      <c r="D43" s="228">
        <v>850</v>
      </c>
      <c r="E43" s="228">
        <v>641.85</v>
      </c>
      <c r="F43" s="228">
        <v>650.29999999999995</v>
      </c>
      <c r="G43" s="228">
        <v>-8.4499999999999993</v>
      </c>
      <c r="H43" s="229">
        <v>-1.2999999999999999E-2</v>
      </c>
      <c r="I43" s="228">
        <v>637.9</v>
      </c>
      <c r="J43" s="228">
        <v>647.9</v>
      </c>
      <c r="K43" s="228">
        <v>-10</v>
      </c>
      <c r="L43" s="229">
        <v>-1.54E-2</v>
      </c>
      <c r="M43" s="228">
        <v>641.85</v>
      </c>
      <c r="N43" s="228">
        <v>650.29999999999995</v>
      </c>
      <c r="O43" s="228">
        <v>-8.4499999999999993</v>
      </c>
      <c r="P43" s="229">
        <v>-1.2999999999999999E-2</v>
      </c>
      <c r="Q43" s="228">
        <v>645.35</v>
      </c>
      <c r="R43" s="228">
        <v>654.1</v>
      </c>
      <c r="S43" s="228">
        <v>-8.75</v>
      </c>
      <c r="T43" s="229">
        <v>-1.34E-2</v>
      </c>
      <c r="U43" s="228">
        <v>649.75</v>
      </c>
      <c r="V43" s="228">
        <v>657.35</v>
      </c>
      <c r="W43" s="228">
        <v>-7.6</v>
      </c>
      <c r="X43" s="229">
        <v>-1.1599999999999999E-2</v>
      </c>
      <c r="Y43" s="228">
        <v>3.95</v>
      </c>
      <c r="Z43" s="228">
        <v>2.4</v>
      </c>
      <c r="AA43" s="228">
        <v>1.55</v>
      </c>
      <c r="AB43" s="229">
        <v>6.1999999999999998E-3</v>
      </c>
      <c r="AC43" s="228">
        <v>3.95</v>
      </c>
      <c r="AD43" s="228">
        <v>2.4</v>
      </c>
      <c r="AE43" s="228">
        <v>1.55</v>
      </c>
      <c r="AF43" s="229">
        <v>6.1999999999999998E-3</v>
      </c>
      <c r="AG43" s="228">
        <v>7.45</v>
      </c>
      <c r="AH43" s="228">
        <v>6.2</v>
      </c>
      <c r="AI43" s="228">
        <v>1.25</v>
      </c>
      <c r="AJ43" s="229">
        <v>1.17E-2</v>
      </c>
      <c r="AK43" s="228">
        <v>11.85</v>
      </c>
      <c r="AL43" s="228">
        <v>9.4499999999999993</v>
      </c>
      <c r="AM43" s="228">
        <v>2.4</v>
      </c>
      <c r="AN43" s="229">
        <v>1.8599999999999998E-2</v>
      </c>
      <c r="AO43" s="228">
        <v>643.79</v>
      </c>
      <c r="AP43" s="228">
        <v>648.66999999999996</v>
      </c>
      <c r="AQ43" s="228">
        <v>0</v>
      </c>
      <c r="AR43" s="230">
        <v>1806250</v>
      </c>
      <c r="AS43" s="230">
        <v>2297550</v>
      </c>
      <c r="AT43" s="230">
        <v>-491300</v>
      </c>
      <c r="AU43" s="229">
        <v>-0.21379999999999999</v>
      </c>
      <c r="AV43" s="230">
        <v>1749300</v>
      </c>
      <c r="AW43" s="230">
        <v>2201500</v>
      </c>
      <c r="AX43" s="230">
        <v>-452200</v>
      </c>
      <c r="AY43" s="229">
        <v>-0.2054</v>
      </c>
      <c r="AZ43" s="230">
        <v>48450</v>
      </c>
      <c r="BA43" s="230">
        <v>86700</v>
      </c>
      <c r="BB43" s="230">
        <v>-38250</v>
      </c>
      <c r="BC43" s="229">
        <v>-0.44119999999999998</v>
      </c>
      <c r="BD43" s="230">
        <v>8500</v>
      </c>
      <c r="BE43" s="230">
        <v>9350</v>
      </c>
      <c r="BF43" s="228">
        <v>-850</v>
      </c>
      <c r="BG43" s="229">
        <v>-9.0899999999999995E-2</v>
      </c>
      <c r="BH43" s="230">
        <v>3292900</v>
      </c>
      <c r="BI43" s="230">
        <v>4047700</v>
      </c>
      <c r="BJ43" s="230">
        <v>-754800</v>
      </c>
      <c r="BK43" s="229">
        <v>-0.1865</v>
      </c>
      <c r="BL43" s="230">
        <v>1272450</v>
      </c>
      <c r="BM43" s="230">
        <v>1701700</v>
      </c>
      <c r="BN43" s="230">
        <v>-429250</v>
      </c>
      <c r="BO43" s="229">
        <v>-0.25219999999999998</v>
      </c>
      <c r="BP43" s="230">
        <v>6371600</v>
      </c>
      <c r="BQ43" s="230">
        <v>8046950</v>
      </c>
      <c r="BR43" s="230">
        <v>-1675350</v>
      </c>
      <c r="BS43" s="229">
        <v>-0.2082</v>
      </c>
      <c r="BT43" s="230">
        <v>2863521</v>
      </c>
      <c r="BU43" s="230">
        <v>1722183</v>
      </c>
      <c r="BV43" s="230">
        <v>1141338</v>
      </c>
      <c r="BW43" s="229">
        <v>0.66269999999999996</v>
      </c>
      <c r="BX43" s="230">
        <v>14682050</v>
      </c>
      <c r="BY43" s="230">
        <v>14245150</v>
      </c>
      <c r="BZ43" s="230">
        <v>436900</v>
      </c>
      <c r="CA43" s="229">
        <v>3.0700000000000002E-2</v>
      </c>
      <c r="CB43" s="230">
        <v>14284250</v>
      </c>
      <c r="CC43" s="230">
        <v>13863500</v>
      </c>
      <c r="CD43" s="230">
        <v>420750</v>
      </c>
      <c r="CE43" s="229">
        <v>3.0300000000000001E-2</v>
      </c>
      <c r="CF43" s="230">
        <v>385900</v>
      </c>
      <c r="CG43" s="230">
        <v>376550</v>
      </c>
      <c r="CH43" s="230">
        <v>9350</v>
      </c>
      <c r="CI43" s="229">
        <v>2.4799999999999999E-2</v>
      </c>
      <c r="CJ43" s="230">
        <v>11900</v>
      </c>
      <c r="CK43" s="230">
        <v>5100</v>
      </c>
      <c r="CL43" s="230">
        <v>6800</v>
      </c>
      <c r="CM43" s="229">
        <v>1.3332999999999999</v>
      </c>
      <c r="CN43" s="230">
        <v>3587850</v>
      </c>
      <c r="CO43" s="230">
        <v>3029400</v>
      </c>
      <c r="CP43" s="230">
        <v>558450</v>
      </c>
      <c r="CQ43" s="229">
        <v>0.18429999999999999</v>
      </c>
      <c r="CR43" s="230">
        <v>2479450</v>
      </c>
      <c r="CS43" s="230">
        <v>2278000</v>
      </c>
      <c r="CT43" s="230">
        <v>201450</v>
      </c>
      <c r="CU43" s="229">
        <v>8.8400000000000006E-2</v>
      </c>
      <c r="CV43" s="230">
        <v>20749350</v>
      </c>
      <c r="CW43" s="230">
        <v>19552550</v>
      </c>
      <c r="CX43" s="230">
        <v>1196800</v>
      </c>
      <c r="CY43" s="229">
        <v>6.1199999999999997E-2</v>
      </c>
      <c r="CZ43" s="228">
        <v>27.41</v>
      </c>
      <c r="DA43" s="228">
        <v>27.17</v>
      </c>
      <c r="DB43" s="228">
        <v>0.24</v>
      </c>
      <c r="DC43" s="228">
        <v>0.24</v>
      </c>
      <c r="DD43" s="228">
        <v>38.54</v>
      </c>
      <c r="DE43" s="228">
        <v>38.6</v>
      </c>
      <c r="DF43" s="228">
        <v>-11.13</v>
      </c>
      <c r="DG43" s="228">
        <v>-0.06</v>
      </c>
      <c r="DH43" s="228">
        <v>27.57</v>
      </c>
      <c r="DI43" s="228">
        <v>27.23</v>
      </c>
      <c r="DJ43" s="228">
        <v>0.34</v>
      </c>
      <c r="DK43" s="228">
        <v>0.34</v>
      </c>
      <c r="DL43" s="228">
        <v>26.99</v>
      </c>
      <c r="DM43" s="228">
        <v>27.05</v>
      </c>
      <c r="DN43" s="228">
        <v>-0.06</v>
      </c>
      <c r="DO43" s="228">
        <v>-0.06</v>
      </c>
      <c r="DP43" s="228">
        <v>0.69</v>
      </c>
      <c r="DQ43" s="228">
        <v>0.75</v>
      </c>
      <c r="DR43" s="228">
        <v>-0.06</v>
      </c>
      <c r="DS43" s="229">
        <v>-0.08</v>
      </c>
      <c r="DT43" s="228">
        <v>700</v>
      </c>
      <c r="DU43" s="228">
        <v>650</v>
      </c>
      <c r="DV43" s="228">
        <v>0.39</v>
      </c>
      <c r="DW43" s="228">
        <v>0.42</v>
      </c>
      <c r="DX43" s="228">
        <v>-0.03</v>
      </c>
      <c r="DY43" s="229">
        <v>-7.1400000000000005E-2</v>
      </c>
      <c r="DZ43" s="229">
        <v>2.7099999999999999E-2</v>
      </c>
      <c r="EA43" s="230">
        <v>381650</v>
      </c>
      <c r="EB43" s="229">
        <v>5.4999999999999997E-3</v>
      </c>
      <c r="EC43" s="229">
        <v>2.7099999999999999E-2</v>
      </c>
      <c r="ED43" s="228">
        <v>4.88</v>
      </c>
      <c r="EE43" s="229">
        <v>7.6E-3</v>
      </c>
      <c r="EF43" s="230">
        <v>1840934</v>
      </c>
      <c r="EG43" s="230">
        <v>983486</v>
      </c>
      <c r="EH43" s="229">
        <v>0.87180000000000002</v>
      </c>
      <c r="EI43" s="229">
        <v>0.64290000000000003</v>
      </c>
      <c r="EJ43" s="231">
        <v>22329.02</v>
      </c>
      <c r="EK43" s="231">
        <v>8171.02</v>
      </c>
      <c r="EL43" s="231">
        <v>11631.56</v>
      </c>
      <c r="EM43" s="231">
        <v>7875</v>
      </c>
      <c r="EN43" s="231">
        <v>42131.6</v>
      </c>
      <c r="EO43" s="231">
        <v>53467.64</v>
      </c>
      <c r="EP43" s="231">
        <v>-11336.04</v>
      </c>
      <c r="EQ43" s="229">
        <v>-0.21199999999999999</v>
      </c>
      <c r="ER43" s="231">
        <v>24434</v>
      </c>
      <c r="ES43" s="231">
        <v>16161</v>
      </c>
      <c r="ET43" s="231">
        <v>94251</v>
      </c>
      <c r="EU43" s="231">
        <v>103060454</v>
      </c>
      <c r="EV43" s="231">
        <v>134847</v>
      </c>
      <c r="EW43" s="231">
        <v>128244</v>
      </c>
      <c r="EX43" s="231">
        <v>6603</v>
      </c>
      <c r="EY43" s="229">
        <v>5.1499999999999997E-2</v>
      </c>
      <c r="EZ43" s="229">
        <v>0.20130000000000001</v>
      </c>
      <c r="FA43" s="227" t="s">
        <v>567</v>
      </c>
      <c r="FB43" s="161">
        <f t="shared" si="0"/>
        <v>397800</v>
      </c>
    </row>
    <row r="44" spans="1:158" ht="17.25" hidden="1" thickBot="1" x14ac:dyDescent="0.3">
      <c r="A44" s="226">
        <v>46023</v>
      </c>
      <c r="B44" s="227" t="s">
        <v>175</v>
      </c>
      <c r="C44" s="227" t="s">
        <v>198</v>
      </c>
      <c r="D44" s="228">
        <v>625</v>
      </c>
      <c r="E44" s="231">
        <v>1735.1</v>
      </c>
      <c r="F44" s="231">
        <v>1712.8</v>
      </c>
      <c r="G44" s="228">
        <v>22.3</v>
      </c>
      <c r="H44" s="229">
        <v>1.2999999999999999E-2</v>
      </c>
      <c r="I44" s="231">
        <v>1724</v>
      </c>
      <c r="J44" s="231">
        <v>1702.2</v>
      </c>
      <c r="K44" s="228">
        <v>21.8</v>
      </c>
      <c r="L44" s="229">
        <v>1.2800000000000001E-2</v>
      </c>
      <c r="M44" s="231">
        <v>1735.1</v>
      </c>
      <c r="N44" s="231">
        <v>1712.8</v>
      </c>
      <c r="O44" s="228">
        <v>22.3</v>
      </c>
      <c r="P44" s="229">
        <v>1.2999999999999999E-2</v>
      </c>
      <c r="Q44" s="231">
        <v>1734</v>
      </c>
      <c r="R44" s="231">
        <v>1712.5</v>
      </c>
      <c r="S44" s="228">
        <v>21.5</v>
      </c>
      <c r="T44" s="229">
        <v>1.26E-2</v>
      </c>
      <c r="U44" s="231">
        <v>1725</v>
      </c>
      <c r="V44" s="231">
        <v>1710</v>
      </c>
      <c r="W44" s="228">
        <v>15</v>
      </c>
      <c r="X44" s="229">
        <v>8.8000000000000005E-3</v>
      </c>
      <c r="Y44" s="228">
        <v>11.1</v>
      </c>
      <c r="Z44" s="228">
        <v>10.6</v>
      </c>
      <c r="AA44" s="228">
        <v>0.5</v>
      </c>
      <c r="AB44" s="229">
        <v>6.4000000000000003E-3</v>
      </c>
      <c r="AC44" s="228">
        <v>11.1</v>
      </c>
      <c r="AD44" s="228">
        <v>10.6</v>
      </c>
      <c r="AE44" s="228">
        <v>0.5</v>
      </c>
      <c r="AF44" s="229">
        <v>6.4000000000000003E-3</v>
      </c>
      <c r="AG44" s="228">
        <v>10</v>
      </c>
      <c r="AH44" s="228">
        <v>10.3</v>
      </c>
      <c r="AI44" s="228">
        <v>-0.3</v>
      </c>
      <c r="AJ44" s="229">
        <v>5.7999999999999996E-3</v>
      </c>
      <c r="AK44" s="228">
        <v>1</v>
      </c>
      <c r="AL44" s="228">
        <v>7.8</v>
      </c>
      <c r="AM44" s="228">
        <v>-6.8</v>
      </c>
      <c r="AN44" s="229">
        <v>5.9999999999999995E-4</v>
      </c>
      <c r="AO44" s="231">
        <v>1726.96</v>
      </c>
      <c r="AP44" s="231">
        <v>1726.01</v>
      </c>
      <c r="AQ44" s="228">
        <v>0</v>
      </c>
      <c r="AR44" s="230">
        <v>1441875</v>
      </c>
      <c r="AS44" s="230">
        <v>1623125</v>
      </c>
      <c r="AT44" s="230">
        <v>-181250</v>
      </c>
      <c r="AU44" s="229">
        <v>-0.11169999999999999</v>
      </c>
      <c r="AV44" s="230">
        <v>1375625</v>
      </c>
      <c r="AW44" s="230">
        <v>1588750</v>
      </c>
      <c r="AX44" s="230">
        <v>-213125</v>
      </c>
      <c r="AY44" s="229">
        <v>-0.1341</v>
      </c>
      <c r="AZ44" s="230">
        <v>59375</v>
      </c>
      <c r="BA44" s="230">
        <v>33750</v>
      </c>
      <c r="BB44" s="230">
        <v>25625</v>
      </c>
      <c r="BC44" s="229">
        <v>0.75929999999999997</v>
      </c>
      <c r="BD44" s="230">
        <v>6875</v>
      </c>
      <c r="BE44" s="228">
        <v>625</v>
      </c>
      <c r="BF44" s="230">
        <v>6250</v>
      </c>
      <c r="BG44" s="229">
        <v>10</v>
      </c>
      <c r="BH44" s="230">
        <v>4980625</v>
      </c>
      <c r="BI44" s="230">
        <v>2970000</v>
      </c>
      <c r="BJ44" s="230">
        <v>2010625</v>
      </c>
      <c r="BK44" s="229">
        <v>0.67700000000000005</v>
      </c>
      <c r="BL44" s="230">
        <v>2430000</v>
      </c>
      <c r="BM44" s="230">
        <v>1979375</v>
      </c>
      <c r="BN44" s="230">
        <v>450625</v>
      </c>
      <c r="BO44" s="229">
        <v>0.22770000000000001</v>
      </c>
      <c r="BP44" s="230">
        <v>8852500</v>
      </c>
      <c r="BQ44" s="230">
        <v>6572500</v>
      </c>
      <c r="BR44" s="230">
        <v>2280000</v>
      </c>
      <c r="BS44" s="229">
        <v>0.34689999999999999</v>
      </c>
      <c r="BT44" s="230">
        <v>411570</v>
      </c>
      <c r="BU44" s="230">
        <v>722659</v>
      </c>
      <c r="BV44" s="230">
        <v>-311089</v>
      </c>
      <c r="BW44" s="229">
        <v>-0.43049999999999999</v>
      </c>
      <c r="BX44" s="230">
        <v>12083125</v>
      </c>
      <c r="BY44" s="230">
        <v>12059375</v>
      </c>
      <c r="BZ44" s="230">
        <v>23750</v>
      </c>
      <c r="CA44" s="229">
        <v>2E-3</v>
      </c>
      <c r="CB44" s="230">
        <v>11928750</v>
      </c>
      <c r="CC44" s="230">
        <v>11918125</v>
      </c>
      <c r="CD44" s="230">
        <v>10625</v>
      </c>
      <c r="CE44" s="229">
        <v>8.9999999999999998E-4</v>
      </c>
      <c r="CF44" s="230">
        <v>150000</v>
      </c>
      <c r="CG44" s="230">
        <v>140625</v>
      </c>
      <c r="CH44" s="230">
        <v>9375</v>
      </c>
      <c r="CI44" s="229">
        <v>6.6699999999999995E-2</v>
      </c>
      <c r="CJ44" s="230">
        <v>4375</v>
      </c>
      <c r="CK44" s="228">
        <v>625</v>
      </c>
      <c r="CL44" s="230">
        <v>3750</v>
      </c>
      <c r="CM44" s="229">
        <v>6</v>
      </c>
      <c r="CN44" s="230">
        <v>3416875</v>
      </c>
      <c r="CO44" s="230">
        <v>3326875</v>
      </c>
      <c r="CP44" s="230">
        <v>90000</v>
      </c>
      <c r="CQ44" s="229">
        <v>2.7099999999999999E-2</v>
      </c>
      <c r="CR44" s="230">
        <v>3489375</v>
      </c>
      <c r="CS44" s="230">
        <v>3263125</v>
      </c>
      <c r="CT44" s="230">
        <v>226250</v>
      </c>
      <c r="CU44" s="229">
        <v>6.93E-2</v>
      </c>
      <c r="CV44" s="230">
        <v>18989375</v>
      </c>
      <c r="CW44" s="230">
        <v>18649375</v>
      </c>
      <c r="CX44" s="230">
        <v>340000</v>
      </c>
      <c r="CY44" s="229">
        <v>1.8200000000000001E-2</v>
      </c>
      <c r="CZ44" s="228">
        <v>23.84</v>
      </c>
      <c r="DA44" s="228">
        <v>23.98</v>
      </c>
      <c r="DB44" s="228">
        <v>-0.14000000000000001</v>
      </c>
      <c r="DC44" s="228">
        <v>-0.14000000000000001</v>
      </c>
      <c r="DD44" s="228">
        <v>37.380000000000003</v>
      </c>
      <c r="DE44" s="228">
        <v>37.44</v>
      </c>
      <c r="DF44" s="228">
        <v>-13.54</v>
      </c>
      <c r="DG44" s="228">
        <v>-0.06</v>
      </c>
      <c r="DH44" s="228">
        <v>22.98</v>
      </c>
      <c r="DI44" s="228">
        <v>22.55</v>
      </c>
      <c r="DJ44" s="228">
        <v>0.43</v>
      </c>
      <c r="DK44" s="228">
        <v>0.43</v>
      </c>
      <c r="DL44" s="228">
        <v>25.61</v>
      </c>
      <c r="DM44" s="228">
        <v>26.13</v>
      </c>
      <c r="DN44" s="228">
        <v>-0.52</v>
      </c>
      <c r="DO44" s="228">
        <v>-0.52</v>
      </c>
      <c r="DP44" s="228">
        <v>1.02</v>
      </c>
      <c r="DQ44" s="228">
        <v>0.98</v>
      </c>
      <c r="DR44" s="228">
        <v>0.04</v>
      </c>
      <c r="DS44" s="229">
        <v>4.0800000000000003E-2</v>
      </c>
      <c r="DT44" s="231">
        <v>1720</v>
      </c>
      <c r="DU44" s="231">
        <v>1500</v>
      </c>
      <c r="DV44" s="228">
        <v>0.49</v>
      </c>
      <c r="DW44" s="228">
        <v>0.67</v>
      </c>
      <c r="DX44" s="228">
        <v>-0.18</v>
      </c>
      <c r="DY44" s="229">
        <v>-0.26869999999999999</v>
      </c>
      <c r="DZ44" s="229">
        <v>1.2800000000000001E-2</v>
      </c>
      <c r="EA44" s="230">
        <v>141250</v>
      </c>
      <c r="EB44" s="229">
        <v>-5.9999999999999995E-4</v>
      </c>
      <c r="EC44" s="229">
        <v>1.2800000000000001E-2</v>
      </c>
      <c r="ED44" s="228">
        <v>-0.95</v>
      </c>
      <c r="EE44" s="229">
        <v>-5.9999999999999995E-4</v>
      </c>
      <c r="EF44" s="230">
        <v>165307</v>
      </c>
      <c r="EG44" s="230">
        <v>384383</v>
      </c>
      <c r="EH44" s="229">
        <v>-0.56989999999999996</v>
      </c>
      <c r="EI44" s="229">
        <v>0.40160000000000001</v>
      </c>
      <c r="EJ44" s="231">
        <v>89020.34</v>
      </c>
      <c r="EK44" s="231">
        <v>40550.639999999999</v>
      </c>
      <c r="EL44" s="231">
        <v>24899.78</v>
      </c>
      <c r="EM44" s="231">
        <v>10727</v>
      </c>
      <c r="EN44" s="231">
        <v>154470.76</v>
      </c>
      <c r="EO44" s="231">
        <v>113146.22</v>
      </c>
      <c r="EP44" s="231">
        <v>41324.54</v>
      </c>
      <c r="EQ44" s="229">
        <v>0.36520000000000002</v>
      </c>
      <c r="ER44" s="231">
        <v>59638</v>
      </c>
      <c r="ES44" s="231">
        <v>55459</v>
      </c>
      <c r="ET44" s="231">
        <v>209652</v>
      </c>
      <c r="EU44" s="231">
        <v>63257923</v>
      </c>
      <c r="EV44" s="231">
        <v>324749</v>
      </c>
      <c r="EW44" s="231">
        <v>316116</v>
      </c>
      <c r="EX44" s="231">
        <v>8633</v>
      </c>
      <c r="EY44" s="229">
        <v>2.7300000000000001E-2</v>
      </c>
      <c r="EZ44" s="229">
        <v>0.30020000000000002</v>
      </c>
      <c r="FA44" s="227" t="s">
        <v>555</v>
      </c>
      <c r="FB44" s="161">
        <f t="shared" si="0"/>
        <v>154375</v>
      </c>
    </row>
    <row r="45" spans="1:158" ht="17.25" hidden="1" thickBot="1" x14ac:dyDescent="0.3">
      <c r="A45" s="226">
        <v>46023</v>
      </c>
      <c r="B45" s="227" t="s">
        <v>170</v>
      </c>
      <c r="C45" s="227" t="s">
        <v>199</v>
      </c>
      <c r="D45" s="228">
        <v>375</v>
      </c>
      <c r="E45" s="231">
        <v>1510.2</v>
      </c>
      <c r="F45" s="231">
        <v>1516.4</v>
      </c>
      <c r="G45" s="228">
        <v>-6.2</v>
      </c>
      <c r="H45" s="229">
        <v>-4.1000000000000003E-3</v>
      </c>
      <c r="I45" s="231">
        <v>1500.9</v>
      </c>
      <c r="J45" s="231">
        <v>1511.3</v>
      </c>
      <c r="K45" s="228">
        <v>-10.4</v>
      </c>
      <c r="L45" s="229">
        <v>-6.8999999999999999E-3</v>
      </c>
      <c r="M45" s="231">
        <v>1510.2</v>
      </c>
      <c r="N45" s="231">
        <v>1516.4</v>
      </c>
      <c r="O45" s="228">
        <v>-6.2</v>
      </c>
      <c r="P45" s="229">
        <v>-4.1000000000000003E-3</v>
      </c>
      <c r="Q45" s="231">
        <v>1518.7</v>
      </c>
      <c r="R45" s="231">
        <v>1525.4</v>
      </c>
      <c r="S45" s="228">
        <v>-6.7</v>
      </c>
      <c r="T45" s="229">
        <v>-4.4000000000000003E-3</v>
      </c>
      <c r="U45" s="231">
        <v>1529.9</v>
      </c>
      <c r="V45" s="231">
        <v>1535.4</v>
      </c>
      <c r="W45" s="228">
        <v>-5.5</v>
      </c>
      <c r="X45" s="229">
        <v>-3.5999999999999999E-3</v>
      </c>
      <c r="Y45" s="228">
        <v>9.3000000000000007</v>
      </c>
      <c r="Z45" s="228">
        <v>5.0999999999999996</v>
      </c>
      <c r="AA45" s="228">
        <v>4.2</v>
      </c>
      <c r="AB45" s="229">
        <v>6.1999999999999998E-3</v>
      </c>
      <c r="AC45" s="228">
        <v>9.3000000000000007</v>
      </c>
      <c r="AD45" s="228">
        <v>5.0999999999999996</v>
      </c>
      <c r="AE45" s="228">
        <v>4.2</v>
      </c>
      <c r="AF45" s="229">
        <v>6.1999999999999998E-3</v>
      </c>
      <c r="AG45" s="228">
        <v>17.8</v>
      </c>
      <c r="AH45" s="228">
        <v>14.1</v>
      </c>
      <c r="AI45" s="228">
        <v>3.7</v>
      </c>
      <c r="AJ45" s="229">
        <v>1.1900000000000001E-2</v>
      </c>
      <c r="AK45" s="228">
        <v>29</v>
      </c>
      <c r="AL45" s="228">
        <v>24.1</v>
      </c>
      <c r="AM45" s="228">
        <v>4.9000000000000004</v>
      </c>
      <c r="AN45" s="229">
        <v>1.9300000000000001E-2</v>
      </c>
      <c r="AO45" s="231">
        <v>1508.79</v>
      </c>
      <c r="AP45" s="231">
        <v>1518.15</v>
      </c>
      <c r="AQ45" s="228">
        <v>0</v>
      </c>
      <c r="AR45" s="230">
        <v>404625</v>
      </c>
      <c r="AS45" s="230">
        <v>1127250</v>
      </c>
      <c r="AT45" s="230">
        <v>-722625</v>
      </c>
      <c r="AU45" s="229">
        <v>-0.6411</v>
      </c>
      <c r="AV45" s="230">
        <v>380250</v>
      </c>
      <c r="AW45" s="230">
        <v>1067625</v>
      </c>
      <c r="AX45" s="230">
        <v>-687375</v>
      </c>
      <c r="AY45" s="229">
        <v>-0.64380000000000004</v>
      </c>
      <c r="AZ45" s="230">
        <v>13500</v>
      </c>
      <c r="BA45" s="230">
        <v>51750</v>
      </c>
      <c r="BB45" s="230">
        <v>-38250</v>
      </c>
      <c r="BC45" s="229">
        <v>-0.73909999999999998</v>
      </c>
      <c r="BD45" s="230">
        <v>10875</v>
      </c>
      <c r="BE45" s="230">
        <v>7875</v>
      </c>
      <c r="BF45" s="230">
        <v>3000</v>
      </c>
      <c r="BG45" s="229">
        <v>0.38100000000000001</v>
      </c>
      <c r="BH45" s="230">
        <v>1782750</v>
      </c>
      <c r="BI45" s="230">
        <v>2980125</v>
      </c>
      <c r="BJ45" s="230">
        <v>-1197375</v>
      </c>
      <c r="BK45" s="229">
        <v>-0.40179999999999999</v>
      </c>
      <c r="BL45" s="230">
        <v>1300125</v>
      </c>
      <c r="BM45" s="230">
        <v>1563000</v>
      </c>
      <c r="BN45" s="230">
        <v>-262875</v>
      </c>
      <c r="BO45" s="229">
        <v>-0.16819999999999999</v>
      </c>
      <c r="BP45" s="230">
        <v>3487500</v>
      </c>
      <c r="BQ45" s="230">
        <v>5670375</v>
      </c>
      <c r="BR45" s="230">
        <v>-2182875</v>
      </c>
      <c r="BS45" s="229">
        <v>-0.38500000000000001</v>
      </c>
      <c r="BT45" s="230">
        <v>235299</v>
      </c>
      <c r="BU45" s="230">
        <v>893926</v>
      </c>
      <c r="BV45" s="230">
        <v>-658627</v>
      </c>
      <c r="BW45" s="229">
        <v>-0.73680000000000001</v>
      </c>
      <c r="BX45" s="230">
        <v>12344250</v>
      </c>
      <c r="BY45" s="230">
        <v>12395625</v>
      </c>
      <c r="BZ45" s="230">
        <v>-51375</v>
      </c>
      <c r="CA45" s="229">
        <v>-4.1000000000000003E-3</v>
      </c>
      <c r="CB45" s="230">
        <v>12198000</v>
      </c>
      <c r="CC45" s="230">
        <v>12259500</v>
      </c>
      <c r="CD45" s="230">
        <v>-61500</v>
      </c>
      <c r="CE45" s="229">
        <v>-5.0000000000000001E-3</v>
      </c>
      <c r="CF45" s="230">
        <v>129000</v>
      </c>
      <c r="CG45" s="230">
        <v>128250</v>
      </c>
      <c r="CH45" s="228">
        <v>750</v>
      </c>
      <c r="CI45" s="229">
        <v>5.7999999999999996E-3</v>
      </c>
      <c r="CJ45" s="230">
        <v>17250</v>
      </c>
      <c r="CK45" s="230">
        <v>7875</v>
      </c>
      <c r="CL45" s="230">
        <v>9375</v>
      </c>
      <c r="CM45" s="229">
        <v>1.1904999999999999</v>
      </c>
      <c r="CN45" s="230">
        <v>2703750</v>
      </c>
      <c r="CO45" s="230">
        <v>2476125</v>
      </c>
      <c r="CP45" s="230">
        <v>227625</v>
      </c>
      <c r="CQ45" s="229">
        <v>9.1899999999999996E-2</v>
      </c>
      <c r="CR45" s="230">
        <v>2302125</v>
      </c>
      <c r="CS45" s="230">
        <v>2038875</v>
      </c>
      <c r="CT45" s="230">
        <v>263250</v>
      </c>
      <c r="CU45" s="229">
        <v>0.12909999999999999</v>
      </c>
      <c r="CV45" s="230">
        <v>17350125</v>
      </c>
      <c r="CW45" s="230">
        <v>16910625</v>
      </c>
      <c r="CX45" s="230">
        <v>439500</v>
      </c>
      <c r="CY45" s="229">
        <v>2.5999999999999999E-2</v>
      </c>
      <c r="CZ45" s="228">
        <v>16.670000000000002</v>
      </c>
      <c r="DA45" s="228">
        <v>17.11</v>
      </c>
      <c r="DB45" s="228">
        <v>-0.44</v>
      </c>
      <c r="DC45" s="228">
        <v>-0.44</v>
      </c>
      <c r="DD45" s="228">
        <v>25.22</v>
      </c>
      <c r="DE45" s="228">
        <v>25.28</v>
      </c>
      <c r="DF45" s="228">
        <v>-8.5500000000000007</v>
      </c>
      <c r="DG45" s="228">
        <v>-0.06</v>
      </c>
      <c r="DH45" s="228">
        <v>16.260000000000002</v>
      </c>
      <c r="DI45" s="228">
        <v>16.829999999999998</v>
      </c>
      <c r="DJ45" s="228">
        <v>-0.56999999999999995</v>
      </c>
      <c r="DK45" s="228">
        <v>-0.56999999999999995</v>
      </c>
      <c r="DL45" s="228">
        <v>17.239999999999998</v>
      </c>
      <c r="DM45" s="228">
        <v>17.649999999999999</v>
      </c>
      <c r="DN45" s="228">
        <v>-0.41</v>
      </c>
      <c r="DO45" s="228">
        <v>-0.41</v>
      </c>
      <c r="DP45" s="228">
        <v>0.85</v>
      </c>
      <c r="DQ45" s="228">
        <v>0.82</v>
      </c>
      <c r="DR45" s="228">
        <v>0.03</v>
      </c>
      <c r="DS45" s="229">
        <v>3.6600000000000001E-2</v>
      </c>
      <c r="DT45" s="231">
        <v>1500</v>
      </c>
      <c r="DU45" s="231">
        <v>1500</v>
      </c>
      <c r="DV45" s="228">
        <v>0.73</v>
      </c>
      <c r="DW45" s="228">
        <v>0.52</v>
      </c>
      <c r="DX45" s="228">
        <v>0.21</v>
      </c>
      <c r="DY45" s="229">
        <v>0.40379999999999999</v>
      </c>
      <c r="DZ45" s="229">
        <v>1.18E-2</v>
      </c>
      <c r="EA45" s="230">
        <v>136125</v>
      </c>
      <c r="EB45" s="229">
        <v>5.5999999999999999E-3</v>
      </c>
      <c r="EC45" s="229">
        <v>1.18E-2</v>
      </c>
      <c r="ED45" s="228">
        <v>9.36</v>
      </c>
      <c r="EE45" s="229">
        <v>6.1999999999999998E-3</v>
      </c>
      <c r="EF45" s="230">
        <v>100302</v>
      </c>
      <c r="EG45" s="230">
        <v>564725</v>
      </c>
      <c r="EH45" s="229">
        <v>-0.82240000000000002</v>
      </c>
      <c r="EI45" s="229">
        <v>0.42630000000000001</v>
      </c>
      <c r="EJ45" s="231">
        <v>27955.61</v>
      </c>
      <c r="EK45" s="231">
        <v>19246.55</v>
      </c>
      <c r="EL45" s="231">
        <v>6108.21</v>
      </c>
      <c r="EM45" s="231">
        <v>11702</v>
      </c>
      <c r="EN45" s="231">
        <v>53310.37</v>
      </c>
      <c r="EO45" s="231">
        <v>86812.43</v>
      </c>
      <c r="EP45" s="231">
        <v>-33502.06</v>
      </c>
      <c r="EQ45" s="229">
        <v>-0.38590000000000002</v>
      </c>
      <c r="ER45" s="231">
        <v>42050</v>
      </c>
      <c r="ES45" s="231">
        <v>33740</v>
      </c>
      <c r="ET45" s="231">
        <v>186437</v>
      </c>
      <c r="EU45" s="231">
        <v>59297360</v>
      </c>
      <c r="EV45" s="231">
        <v>262227</v>
      </c>
      <c r="EW45" s="231">
        <v>256290</v>
      </c>
      <c r="EX45" s="231">
        <v>5937</v>
      </c>
      <c r="EY45" s="229">
        <v>2.3199999999999998E-2</v>
      </c>
      <c r="EZ45" s="229">
        <v>0.29260000000000003</v>
      </c>
      <c r="FA45" s="227" t="s">
        <v>568</v>
      </c>
      <c r="FB45" s="161">
        <f t="shared" si="0"/>
        <v>146250</v>
      </c>
    </row>
    <row r="46" spans="1:158" ht="17.25" hidden="1" thickBot="1" x14ac:dyDescent="0.3">
      <c r="A46" s="226">
        <v>46023</v>
      </c>
      <c r="B46" s="227" t="s">
        <v>227</v>
      </c>
      <c r="C46" s="227" t="s">
        <v>200</v>
      </c>
      <c r="D46" s="228">
        <v>1350</v>
      </c>
      <c r="E46" s="228">
        <v>402.4</v>
      </c>
      <c r="F46" s="228">
        <v>400.45</v>
      </c>
      <c r="G46" s="228">
        <v>1.95</v>
      </c>
      <c r="H46" s="229">
        <v>4.8999999999999998E-3</v>
      </c>
      <c r="I46" s="228">
        <v>400.45</v>
      </c>
      <c r="J46" s="228">
        <v>399</v>
      </c>
      <c r="K46" s="228">
        <v>1.45</v>
      </c>
      <c r="L46" s="229">
        <v>3.5999999999999999E-3</v>
      </c>
      <c r="M46" s="228">
        <v>402.4</v>
      </c>
      <c r="N46" s="228">
        <v>400.45</v>
      </c>
      <c r="O46" s="228">
        <v>1.95</v>
      </c>
      <c r="P46" s="229">
        <v>4.8999999999999998E-3</v>
      </c>
      <c r="Q46" s="228">
        <v>400.35</v>
      </c>
      <c r="R46" s="228">
        <v>398.65</v>
      </c>
      <c r="S46" s="228">
        <v>1.7</v>
      </c>
      <c r="T46" s="229">
        <v>4.3E-3</v>
      </c>
      <c r="U46" s="228">
        <v>402.9</v>
      </c>
      <c r="V46" s="228">
        <v>400.6</v>
      </c>
      <c r="W46" s="228">
        <v>2.2999999999999998</v>
      </c>
      <c r="X46" s="229">
        <v>5.7000000000000002E-3</v>
      </c>
      <c r="Y46" s="228">
        <v>1.95</v>
      </c>
      <c r="Z46" s="228">
        <v>1.45</v>
      </c>
      <c r="AA46" s="228">
        <v>0.5</v>
      </c>
      <c r="AB46" s="229">
        <v>4.8999999999999998E-3</v>
      </c>
      <c r="AC46" s="228">
        <v>1.95</v>
      </c>
      <c r="AD46" s="228">
        <v>1.45</v>
      </c>
      <c r="AE46" s="228">
        <v>0.5</v>
      </c>
      <c r="AF46" s="229">
        <v>4.8999999999999998E-3</v>
      </c>
      <c r="AG46" s="228">
        <v>-0.1</v>
      </c>
      <c r="AH46" s="228">
        <v>-0.35</v>
      </c>
      <c r="AI46" s="228">
        <v>0.25</v>
      </c>
      <c r="AJ46" s="229">
        <v>-2.0000000000000001E-4</v>
      </c>
      <c r="AK46" s="228">
        <v>2.4500000000000002</v>
      </c>
      <c r="AL46" s="228">
        <v>1.6</v>
      </c>
      <c r="AM46" s="228">
        <v>0.85</v>
      </c>
      <c r="AN46" s="229">
        <v>6.1000000000000004E-3</v>
      </c>
      <c r="AO46" s="228">
        <v>402.03</v>
      </c>
      <c r="AP46" s="228">
        <v>399.84</v>
      </c>
      <c r="AQ46" s="228">
        <v>0</v>
      </c>
      <c r="AR46" s="230">
        <v>7345350</v>
      </c>
      <c r="AS46" s="230">
        <v>10945800</v>
      </c>
      <c r="AT46" s="230">
        <v>-3600450</v>
      </c>
      <c r="AU46" s="229">
        <v>-0.32890000000000003</v>
      </c>
      <c r="AV46" s="230">
        <v>6613650</v>
      </c>
      <c r="AW46" s="230">
        <v>10049400</v>
      </c>
      <c r="AX46" s="230">
        <v>-3435750</v>
      </c>
      <c r="AY46" s="229">
        <v>-0.34189999999999998</v>
      </c>
      <c r="AZ46" s="230">
        <v>675000</v>
      </c>
      <c r="BA46" s="230">
        <v>869400</v>
      </c>
      <c r="BB46" s="230">
        <v>-194400</v>
      </c>
      <c r="BC46" s="229">
        <v>-0.22359999999999999</v>
      </c>
      <c r="BD46" s="230">
        <v>56700</v>
      </c>
      <c r="BE46" s="230">
        <v>27000</v>
      </c>
      <c r="BF46" s="230">
        <v>29700</v>
      </c>
      <c r="BG46" s="229">
        <v>1.1000000000000001</v>
      </c>
      <c r="BH46" s="230">
        <v>20059650</v>
      </c>
      <c r="BI46" s="230">
        <v>39792600</v>
      </c>
      <c r="BJ46" s="230">
        <v>-19732950</v>
      </c>
      <c r="BK46" s="229">
        <v>-0.49590000000000001</v>
      </c>
      <c r="BL46" s="230">
        <v>7230600</v>
      </c>
      <c r="BM46" s="230">
        <v>14239800</v>
      </c>
      <c r="BN46" s="230">
        <v>-7009200</v>
      </c>
      <c r="BO46" s="229">
        <v>-0.49220000000000003</v>
      </c>
      <c r="BP46" s="230">
        <v>34635600</v>
      </c>
      <c r="BQ46" s="230">
        <v>64978200</v>
      </c>
      <c r="BR46" s="230">
        <v>-30342600</v>
      </c>
      <c r="BS46" s="229">
        <v>-0.46700000000000003</v>
      </c>
      <c r="BT46" s="230">
        <v>3434661</v>
      </c>
      <c r="BU46" s="230">
        <v>4847089</v>
      </c>
      <c r="BV46" s="230">
        <v>-1412428</v>
      </c>
      <c r="BW46" s="229">
        <v>-0.29139999999999999</v>
      </c>
      <c r="BX46" s="230">
        <v>58338900</v>
      </c>
      <c r="BY46" s="230">
        <v>58278150</v>
      </c>
      <c r="BZ46" s="230">
        <v>60750</v>
      </c>
      <c r="CA46" s="229">
        <v>1E-3</v>
      </c>
      <c r="CB46" s="230">
        <v>55601100</v>
      </c>
      <c r="CC46" s="230">
        <v>55869750</v>
      </c>
      <c r="CD46" s="230">
        <v>-268650</v>
      </c>
      <c r="CE46" s="229">
        <v>-4.7999999999999996E-3</v>
      </c>
      <c r="CF46" s="230">
        <v>2670300</v>
      </c>
      <c r="CG46" s="230">
        <v>2381400</v>
      </c>
      <c r="CH46" s="230">
        <v>288900</v>
      </c>
      <c r="CI46" s="229">
        <v>0.12130000000000001</v>
      </c>
      <c r="CJ46" s="230">
        <v>67500</v>
      </c>
      <c r="CK46" s="230">
        <v>27000</v>
      </c>
      <c r="CL46" s="230">
        <v>40500</v>
      </c>
      <c r="CM46" s="229">
        <v>1.5</v>
      </c>
      <c r="CN46" s="230">
        <v>32269050</v>
      </c>
      <c r="CO46" s="230">
        <v>31224150</v>
      </c>
      <c r="CP46" s="230">
        <v>1044900</v>
      </c>
      <c r="CQ46" s="229">
        <v>3.3500000000000002E-2</v>
      </c>
      <c r="CR46" s="230">
        <v>18065700</v>
      </c>
      <c r="CS46" s="230">
        <v>16769700</v>
      </c>
      <c r="CT46" s="230">
        <v>1296000</v>
      </c>
      <c r="CU46" s="229">
        <v>7.7299999999999994E-2</v>
      </c>
      <c r="CV46" s="230">
        <v>108673650</v>
      </c>
      <c r="CW46" s="230">
        <v>106272000</v>
      </c>
      <c r="CX46" s="230">
        <v>2401650</v>
      </c>
      <c r="CY46" s="229">
        <v>2.2599999999999999E-2</v>
      </c>
      <c r="CZ46" s="228">
        <v>19.98</v>
      </c>
      <c r="DA46" s="228">
        <v>21.12</v>
      </c>
      <c r="DB46" s="228">
        <v>-1.1399999999999999</v>
      </c>
      <c r="DC46" s="228">
        <v>-1.1399999999999999</v>
      </c>
      <c r="DD46" s="228">
        <v>26.65</v>
      </c>
      <c r="DE46" s="228">
        <v>26.71</v>
      </c>
      <c r="DF46" s="228">
        <v>-6.67</v>
      </c>
      <c r="DG46" s="228">
        <v>-0.06</v>
      </c>
      <c r="DH46" s="228">
        <v>19.97</v>
      </c>
      <c r="DI46" s="228">
        <v>21.29</v>
      </c>
      <c r="DJ46" s="228">
        <v>-1.32</v>
      </c>
      <c r="DK46" s="228">
        <v>-1.32</v>
      </c>
      <c r="DL46" s="228">
        <v>20.010000000000002</v>
      </c>
      <c r="DM46" s="228">
        <v>20.62</v>
      </c>
      <c r="DN46" s="228">
        <v>-0.61</v>
      </c>
      <c r="DO46" s="228">
        <v>-0.61</v>
      </c>
      <c r="DP46" s="228">
        <v>0.56000000000000005</v>
      </c>
      <c r="DQ46" s="228">
        <v>0.54</v>
      </c>
      <c r="DR46" s="228">
        <v>0.02</v>
      </c>
      <c r="DS46" s="229">
        <v>3.6999999999999998E-2</v>
      </c>
      <c r="DT46" s="228">
        <v>410</v>
      </c>
      <c r="DU46" s="228">
        <v>400</v>
      </c>
      <c r="DV46" s="228">
        <v>0.36</v>
      </c>
      <c r="DW46" s="228">
        <v>0.36</v>
      </c>
      <c r="DX46" s="228">
        <v>0</v>
      </c>
      <c r="DY46" s="229">
        <v>0</v>
      </c>
      <c r="DZ46" s="229">
        <v>4.6899999999999997E-2</v>
      </c>
      <c r="EA46" s="230">
        <v>2408400</v>
      </c>
      <c r="EB46" s="229">
        <v>-5.1000000000000004E-3</v>
      </c>
      <c r="EC46" s="229">
        <v>4.6899999999999997E-2</v>
      </c>
      <c r="ED46" s="228">
        <v>-2.19</v>
      </c>
      <c r="EE46" s="229">
        <v>-5.4000000000000003E-3</v>
      </c>
      <c r="EF46" s="230">
        <v>1726190</v>
      </c>
      <c r="EG46" s="230">
        <v>1761195</v>
      </c>
      <c r="EH46" s="229">
        <v>-1.9900000000000001E-2</v>
      </c>
      <c r="EI46" s="229">
        <v>0.50260000000000005</v>
      </c>
      <c r="EJ46" s="231">
        <v>83919.67</v>
      </c>
      <c r="EK46" s="231">
        <v>28666.01</v>
      </c>
      <c r="EL46" s="231">
        <v>29515.72</v>
      </c>
      <c r="EM46" s="231">
        <v>19698</v>
      </c>
      <c r="EN46" s="231">
        <v>142101.4</v>
      </c>
      <c r="EO46" s="231">
        <v>267492.52</v>
      </c>
      <c r="EP46" s="231">
        <v>-125391.12</v>
      </c>
      <c r="EQ46" s="229">
        <v>-0.46879999999999999</v>
      </c>
      <c r="ER46" s="231">
        <v>134827</v>
      </c>
      <c r="ES46" s="231">
        <v>71408</v>
      </c>
      <c r="ET46" s="231">
        <v>234701</v>
      </c>
      <c r="EU46" s="231">
        <v>278206904</v>
      </c>
      <c r="EV46" s="231">
        <v>440937</v>
      </c>
      <c r="EW46" s="231">
        <v>430294</v>
      </c>
      <c r="EX46" s="231">
        <v>10643</v>
      </c>
      <c r="EY46" s="229">
        <v>2.47E-2</v>
      </c>
      <c r="EZ46" s="229">
        <v>0.3906</v>
      </c>
      <c r="FA46" s="227" t="s">
        <v>555</v>
      </c>
      <c r="FB46" s="161">
        <f t="shared" si="0"/>
        <v>2737800</v>
      </c>
    </row>
    <row r="47" spans="1:158" ht="17.25" hidden="1" thickBot="1" x14ac:dyDescent="0.3">
      <c r="A47" s="226">
        <v>46023</v>
      </c>
      <c r="B47" s="227" t="s">
        <v>221</v>
      </c>
      <c r="C47" s="227" t="s">
        <v>470</v>
      </c>
      <c r="D47" s="228">
        <v>375</v>
      </c>
      <c r="E47" s="231">
        <v>1667.2</v>
      </c>
      <c r="F47" s="231">
        <v>1669</v>
      </c>
      <c r="G47" s="228">
        <v>-1.8</v>
      </c>
      <c r="H47" s="229">
        <v>-1.1000000000000001E-3</v>
      </c>
      <c r="I47" s="231">
        <v>1655.8</v>
      </c>
      <c r="J47" s="231">
        <v>1663</v>
      </c>
      <c r="K47" s="228">
        <v>-7.2</v>
      </c>
      <c r="L47" s="229">
        <v>-4.3E-3</v>
      </c>
      <c r="M47" s="231">
        <v>1667.2</v>
      </c>
      <c r="N47" s="231">
        <v>1669</v>
      </c>
      <c r="O47" s="228">
        <v>-1.8</v>
      </c>
      <c r="P47" s="229">
        <v>-1.1000000000000001E-3</v>
      </c>
      <c r="Q47" s="231">
        <v>1673.9</v>
      </c>
      <c r="R47" s="231">
        <v>1675.8</v>
      </c>
      <c r="S47" s="228">
        <v>-1.9</v>
      </c>
      <c r="T47" s="229">
        <v>-1.1000000000000001E-3</v>
      </c>
      <c r="U47" s="231">
        <v>1681.4</v>
      </c>
      <c r="V47" s="231">
        <v>1680.8</v>
      </c>
      <c r="W47" s="228">
        <v>0.6</v>
      </c>
      <c r="X47" s="229">
        <v>4.0000000000000002E-4</v>
      </c>
      <c r="Y47" s="228">
        <v>11.4</v>
      </c>
      <c r="Z47" s="228">
        <v>6</v>
      </c>
      <c r="AA47" s="228">
        <v>5.4</v>
      </c>
      <c r="AB47" s="229">
        <v>6.8999999999999999E-3</v>
      </c>
      <c r="AC47" s="228">
        <v>11.4</v>
      </c>
      <c r="AD47" s="228">
        <v>6</v>
      </c>
      <c r="AE47" s="228">
        <v>5.4</v>
      </c>
      <c r="AF47" s="229">
        <v>6.8999999999999999E-3</v>
      </c>
      <c r="AG47" s="228">
        <v>18.100000000000001</v>
      </c>
      <c r="AH47" s="228">
        <v>12.8</v>
      </c>
      <c r="AI47" s="228">
        <v>5.3</v>
      </c>
      <c r="AJ47" s="229">
        <v>1.09E-2</v>
      </c>
      <c r="AK47" s="228">
        <v>25.6</v>
      </c>
      <c r="AL47" s="228">
        <v>17.8</v>
      </c>
      <c r="AM47" s="228">
        <v>7.8</v>
      </c>
      <c r="AN47" s="229">
        <v>1.55E-2</v>
      </c>
      <c r="AO47" s="231">
        <v>1668.7</v>
      </c>
      <c r="AP47" s="231">
        <v>1674.85</v>
      </c>
      <c r="AQ47" s="228">
        <v>0</v>
      </c>
      <c r="AR47" s="230">
        <v>1276125</v>
      </c>
      <c r="AS47" s="230">
        <v>2868375</v>
      </c>
      <c r="AT47" s="230">
        <v>-1592250</v>
      </c>
      <c r="AU47" s="229">
        <v>-0.55510000000000004</v>
      </c>
      <c r="AV47" s="230">
        <v>1200750</v>
      </c>
      <c r="AW47" s="230">
        <v>2729625</v>
      </c>
      <c r="AX47" s="230">
        <v>-1528875</v>
      </c>
      <c r="AY47" s="229">
        <v>-0.56010000000000004</v>
      </c>
      <c r="AZ47" s="230">
        <v>54000</v>
      </c>
      <c r="BA47" s="230">
        <v>111375</v>
      </c>
      <c r="BB47" s="230">
        <v>-57375</v>
      </c>
      <c r="BC47" s="229">
        <v>-0.51519999999999999</v>
      </c>
      <c r="BD47" s="230">
        <v>21375</v>
      </c>
      <c r="BE47" s="230">
        <v>27375</v>
      </c>
      <c r="BF47" s="230">
        <v>-6000</v>
      </c>
      <c r="BG47" s="229">
        <v>-0.21920000000000001</v>
      </c>
      <c r="BH47" s="230">
        <v>4477875</v>
      </c>
      <c r="BI47" s="230">
        <v>8153625</v>
      </c>
      <c r="BJ47" s="230">
        <v>-3675750</v>
      </c>
      <c r="BK47" s="229">
        <v>-0.45079999999999998</v>
      </c>
      <c r="BL47" s="230">
        <v>1742250</v>
      </c>
      <c r="BM47" s="230">
        <v>3592500</v>
      </c>
      <c r="BN47" s="230">
        <v>-1850250</v>
      </c>
      <c r="BO47" s="229">
        <v>-0.51500000000000001</v>
      </c>
      <c r="BP47" s="230">
        <v>7496250</v>
      </c>
      <c r="BQ47" s="230">
        <v>14614500</v>
      </c>
      <c r="BR47" s="230">
        <v>-7118250</v>
      </c>
      <c r="BS47" s="229">
        <v>-0.48709999999999998</v>
      </c>
      <c r="BT47" s="230">
        <v>1217208</v>
      </c>
      <c r="BU47" s="230">
        <v>2746815</v>
      </c>
      <c r="BV47" s="230">
        <v>-1529607</v>
      </c>
      <c r="BW47" s="229">
        <v>-0.55689999999999995</v>
      </c>
      <c r="BX47" s="230">
        <v>17448750</v>
      </c>
      <c r="BY47" s="230">
        <v>17338875</v>
      </c>
      <c r="BZ47" s="230">
        <v>109875</v>
      </c>
      <c r="CA47" s="229">
        <v>6.3E-3</v>
      </c>
      <c r="CB47" s="230">
        <v>16963875</v>
      </c>
      <c r="CC47" s="230">
        <v>16877250</v>
      </c>
      <c r="CD47" s="230">
        <v>86625</v>
      </c>
      <c r="CE47" s="229">
        <v>5.1000000000000004E-3</v>
      </c>
      <c r="CF47" s="230">
        <v>467250</v>
      </c>
      <c r="CG47" s="230">
        <v>454125</v>
      </c>
      <c r="CH47" s="230">
        <v>13125</v>
      </c>
      <c r="CI47" s="229">
        <v>2.8899999999999999E-2</v>
      </c>
      <c r="CJ47" s="230">
        <v>17625</v>
      </c>
      <c r="CK47" s="230">
        <v>7500</v>
      </c>
      <c r="CL47" s="230">
        <v>10125</v>
      </c>
      <c r="CM47" s="229">
        <v>1.35</v>
      </c>
      <c r="CN47" s="230">
        <v>9793500</v>
      </c>
      <c r="CO47" s="230">
        <v>9462375</v>
      </c>
      <c r="CP47" s="230">
        <v>331125</v>
      </c>
      <c r="CQ47" s="229">
        <v>3.5000000000000003E-2</v>
      </c>
      <c r="CR47" s="230">
        <v>4868625</v>
      </c>
      <c r="CS47" s="230">
        <v>4824000</v>
      </c>
      <c r="CT47" s="230">
        <v>44625</v>
      </c>
      <c r="CU47" s="229">
        <v>9.2999999999999992E-3</v>
      </c>
      <c r="CV47" s="230">
        <v>32110875</v>
      </c>
      <c r="CW47" s="230">
        <v>31625250</v>
      </c>
      <c r="CX47" s="230">
        <v>485625</v>
      </c>
      <c r="CY47" s="229">
        <v>1.54E-2</v>
      </c>
      <c r="CZ47" s="228">
        <v>34.19</v>
      </c>
      <c r="DA47" s="228">
        <v>34.869999999999997</v>
      </c>
      <c r="DB47" s="228">
        <v>-0.68</v>
      </c>
      <c r="DC47" s="228">
        <v>-0.68</v>
      </c>
      <c r="DD47" s="228">
        <v>41.18</v>
      </c>
      <c r="DE47" s="228">
        <v>41.28</v>
      </c>
      <c r="DF47" s="228">
        <v>-6.99</v>
      </c>
      <c r="DG47" s="228">
        <v>-0.1</v>
      </c>
      <c r="DH47" s="228">
        <v>34.340000000000003</v>
      </c>
      <c r="DI47" s="228">
        <v>34.96</v>
      </c>
      <c r="DJ47" s="228">
        <v>-0.62</v>
      </c>
      <c r="DK47" s="228">
        <v>-0.62</v>
      </c>
      <c r="DL47" s="228">
        <v>33.82</v>
      </c>
      <c r="DM47" s="228">
        <v>34.65</v>
      </c>
      <c r="DN47" s="228">
        <v>-0.83</v>
      </c>
      <c r="DO47" s="228">
        <v>-0.83</v>
      </c>
      <c r="DP47" s="228">
        <v>0.5</v>
      </c>
      <c r="DQ47" s="228">
        <v>0.51</v>
      </c>
      <c r="DR47" s="228">
        <v>-0.01</v>
      </c>
      <c r="DS47" s="229">
        <v>-1.9599999999999999E-2</v>
      </c>
      <c r="DT47" s="231">
        <v>1700</v>
      </c>
      <c r="DU47" s="231">
        <v>1700</v>
      </c>
      <c r="DV47" s="228">
        <v>0.39</v>
      </c>
      <c r="DW47" s="228">
        <v>0.44</v>
      </c>
      <c r="DX47" s="228">
        <v>-0.05</v>
      </c>
      <c r="DY47" s="229">
        <v>-0.11360000000000001</v>
      </c>
      <c r="DZ47" s="229">
        <v>2.7799999999999998E-2</v>
      </c>
      <c r="EA47" s="230">
        <v>461625</v>
      </c>
      <c r="EB47" s="229">
        <v>4.0000000000000001E-3</v>
      </c>
      <c r="EC47" s="229">
        <v>2.7799999999999998E-2</v>
      </c>
      <c r="ED47" s="228">
        <v>6.15</v>
      </c>
      <c r="EE47" s="229">
        <v>3.7000000000000002E-3</v>
      </c>
      <c r="EF47" s="230">
        <v>656883</v>
      </c>
      <c r="EG47" s="230">
        <v>1669510</v>
      </c>
      <c r="EH47" s="229">
        <v>-0.60650000000000004</v>
      </c>
      <c r="EI47" s="229">
        <v>0.53969999999999996</v>
      </c>
      <c r="EJ47" s="231">
        <v>80423.81</v>
      </c>
      <c r="EK47" s="231">
        <v>28749.71</v>
      </c>
      <c r="EL47" s="231">
        <v>21300.67</v>
      </c>
      <c r="EM47" s="231">
        <v>30859</v>
      </c>
      <c r="EN47" s="231">
        <v>130474.19</v>
      </c>
      <c r="EO47" s="231">
        <v>253727.02</v>
      </c>
      <c r="EP47" s="231">
        <v>-123252.83</v>
      </c>
      <c r="EQ47" s="229">
        <v>-0.48580000000000001</v>
      </c>
      <c r="ER47" s="231">
        <v>174413</v>
      </c>
      <c r="ES47" s="231">
        <v>79793</v>
      </c>
      <c r="ET47" s="231">
        <v>290939</v>
      </c>
      <c r="EU47" s="231">
        <v>50189409</v>
      </c>
      <c r="EV47" s="231">
        <v>545145</v>
      </c>
      <c r="EW47" s="231">
        <v>537034</v>
      </c>
      <c r="EX47" s="231">
        <v>8111</v>
      </c>
      <c r="EY47" s="229">
        <v>1.5100000000000001E-2</v>
      </c>
      <c r="EZ47" s="229">
        <v>0.63980000000000004</v>
      </c>
      <c r="FA47" s="227" t="s">
        <v>567</v>
      </c>
      <c r="FB47" s="161">
        <f t="shared" si="0"/>
        <v>484875</v>
      </c>
    </row>
    <row r="48" spans="1:158" ht="17.25" hidden="1" thickBot="1" x14ac:dyDescent="0.3">
      <c r="A48" s="226">
        <v>46023</v>
      </c>
      <c r="B48" s="227" t="s">
        <v>168</v>
      </c>
      <c r="C48" s="227" t="s">
        <v>201</v>
      </c>
      <c r="D48" s="228">
        <v>225</v>
      </c>
      <c r="E48" s="231">
        <v>2098.6999999999998</v>
      </c>
      <c r="F48" s="231">
        <v>2089.3000000000002</v>
      </c>
      <c r="G48" s="228">
        <v>9.4</v>
      </c>
      <c r="H48" s="229">
        <v>4.4999999999999997E-3</v>
      </c>
      <c r="I48" s="231">
        <v>2093.8000000000002</v>
      </c>
      <c r="J48" s="231">
        <v>2075.6999999999998</v>
      </c>
      <c r="K48" s="228">
        <v>18.100000000000001</v>
      </c>
      <c r="L48" s="229">
        <v>8.6999999999999994E-3</v>
      </c>
      <c r="M48" s="231">
        <v>2098.6999999999998</v>
      </c>
      <c r="N48" s="231">
        <v>2089.3000000000002</v>
      </c>
      <c r="O48" s="228">
        <v>9.4</v>
      </c>
      <c r="P48" s="229">
        <v>4.4999999999999997E-3</v>
      </c>
      <c r="Q48" s="231">
        <v>2107.4</v>
      </c>
      <c r="R48" s="231">
        <v>2099.1999999999998</v>
      </c>
      <c r="S48" s="228">
        <v>8.1999999999999993</v>
      </c>
      <c r="T48" s="229">
        <v>3.8999999999999998E-3</v>
      </c>
      <c r="U48" s="231">
        <v>2120.9</v>
      </c>
      <c r="V48" s="231">
        <v>2111</v>
      </c>
      <c r="W48" s="228">
        <v>9.9</v>
      </c>
      <c r="X48" s="229">
        <v>4.7000000000000002E-3</v>
      </c>
      <c r="Y48" s="228">
        <v>4.9000000000000004</v>
      </c>
      <c r="Z48" s="228">
        <v>13.6</v>
      </c>
      <c r="AA48" s="228">
        <v>-8.6999999999999993</v>
      </c>
      <c r="AB48" s="229">
        <v>2.3E-3</v>
      </c>
      <c r="AC48" s="228">
        <v>4.9000000000000004</v>
      </c>
      <c r="AD48" s="228">
        <v>13.6</v>
      </c>
      <c r="AE48" s="228">
        <v>-8.6999999999999993</v>
      </c>
      <c r="AF48" s="229">
        <v>2.3E-3</v>
      </c>
      <c r="AG48" s="228">
        <v>13.6</v>
      </c>
      <c r="AH48" s="228">
        <v>23.5</v>
      </c>
      <c r="AI48" s="228">
        <v>-9.9</v>
      </c>
      <c r="AJ48" s="229">
        <v>6.4999999999999997E-3</v>
      </c>
      <c r="AK48" s="228">
        <v>27.1</v>
      </c>
      <c r="AL48" s="228">
        <v>35.299999999999997</v>
      </c>
      <c r="AM48" s="228">
        <v>-8.1999999999999993</v>
      </c>
      <c r="AN48" s="229">
        <v>1.29E-2</v>
      </c>
      <c r="AO48" s="231">
        <v>2095.88</v>
      </c>
      <c r="AP48" s="231">
        <v>2105.65</v>
      </c>
      <c r="AQ48" s="228">
        <v>0</v>
      </c>
      <c r="AR48" s="230">
        <v>474525</v>
      </c>
      <c r="AS48" s="230">
        <v>770400</v>
      </c>
      <c r="AT48" s="230">
        <v>-295875</v>
      </c>
      <c r="AU48" s="229">
        <v>-0.3841</v>
      </c>
      <c r="AV48" s="230">
        <v>438300</v>
      </c>
      <c r="AW48" s="230">
        <v>729450</v>
      </c>
      <c r="AX48" s="230">
        <v>-291150</v>
      </c>
      <c r="AY48" s="229">
        <v>-0.39910000000000001</v>
      </c>
      <c r="AZ48" s="230">
        <v>30600</v>
      </c>
      <c r="BA48" s="230">
        <v>37125</v>
      </c>
      <c r="BB48" s="230">
        <v>-6525</v>
      </c>
      <c r="BC48" s="229">
        <v>-0.17580000000000001</v>
      </c>
      <c r="BD48" s="230">
        <v>5625</v>
      </c>
      <c r="BE48" s="230">
        <v>3825</v>
      </c>
      <c r="BF48" s="230">
        <v>1800</v>
      </c>
      <c r="BG48" s="229">
        <v>0.47060000000000002</v>
      </c>
      <c r="BH48" s="230">
        <v>994950</v>
      </c>
      <c r="BI48" s="230">
        <v>1110825</v>
      </c>
      <c r="BJ48" s="230">
        <v>-115875</v>
      </c>
      <c r="BK48" s="229">
        <v>-0.1043</v>
      </c>
      <c r="BL48" s="230">
        <v>452700</v>
      </c>
      <c r="BM48" s="230">
        <v>504225</v>
      </c>
      <c r="BN48" s="230">
        <v>-51525</v>
      </c>
      <c r="BO48" s="229">
        <v>-0.1022</v>
      </c>
      <c r="BP48" s="230">
        <v>1922175</v>
      </c>
      <c r="BQ48" s="230">
        <v>2385450</v>
      </c>
      <c r="BR48" s="230">
        <v>-463275</v>
      </c>
      <c r="BS48" s="229">
        <v>-0.19420000000000001</v>
      </c>
      <c r="BT48" s="230">
        <v>358630</v>
      </c>
      <c r="BU48" s="230">
        <v>685211</v>
      </c>
      <c r="BV48" s="230">
        <v>-326581</v>
      </c>
      <c r="BW48" s="229">
        <v>-0.47660000000000002</v>
      </c>
      <c r="BX48" s="230">
        <v>6478425</v>
      </c>
      <c r="BY48" s="230">
        <v>6460875</v>
      </c>
      <c r="BZ48" s="230">
        <v>17550</v>
      </c>
      <c r="CA48" s="229">
        <v>2.7000000000000001E-3</v>
      </c>
      <c r="CB48" s="230">
        <v>6231600</v>
      </c>
      <c r="CC48" s="230">
        <v>6213150</v>
      </c>
      <c r="CD48" s="230">
        <v>18450</v>
      </c>
      <c r="CE48" s="229">
        <v>3.0000000000000001E-3</v>
      </c>
      <c r="CF48" s="230">
        <v>238950</v>
      </c>
      <c r="CG48" s="230">
        <v>244575</v>
      </c>
      <c r="CH48" s="230">
        <v>-5625</v>
      </c>
      <c r="CI48" s="229">
        <v>-2.3E-2</v>
      </c>
      <c r="CJ48" s="230">
        <v>7875</v>
      </c>
      <c r="CK48" s="230">
        <v>3150</v>
      </c>
      <c r="CL48" s="230">
        <v>4725</v>
      </c>
      <c r="CM48" s="229">
        <v>1.5</v>
      </c>
      <c r="CN48" s="230">
        <v>1347300</v>
      </c>
      <c r="CO48" s="230">
        <v>1242225</v>
      </c>
      <c r="CP48" s="230">
        <v>105075</v>
      </c>
      <c r="CQ48" s="229">
        <v>8.4599999999999995E-2</v>
      </c>
      <c r="CR48" s="230">
        <v>1374300</v>
      </c>
      <c r="CS48" s="230">
        <v>1338525</v>
      </c>
      <c r="CT48" s="230">
        <v>35775</v>
      </c>
      <c r="CU48" s="229">
        <v>2.6700000000000002E-2</v>
      </c>
      <c r="CV48" s="230">
        <v>9200025</v>
      </c>
      <c r="CW48" s="230">
        <v>9041625</v>
      </c>
      <c r="CX48" s="230">
        <v>158400</v>
      </c>
      <c r="CY48" s="229">
        <v>1.7500000000000002E-2</v>
      </c>
      <c r="CZ48" s="228">
        <v>18.149999999999999</v>
      </c>
      <c r="DA48" s="228">
        <v>18.57</v>
      </c>
      <c r="DB48" s="228">
        <v>-0.42</v>
      </c>
      <c r="DC48" s="228">
        <v>-0.42</v>
      </c>
      <c r="DD48" s="228">
        <v>26.62</v>
      </c>
      <c r="DE48" s="228">
        <v>26.68</v>
      </c>
      <c r="DF48" s="228">
        <v>-8.4700000000000006</v>
      </c>
      <c r="DG48" s="228">
        <v>-0.06</v>
      </c>
      <c r="DH48" s="228">
        <v>18.079999999999998</v>
      </c>
      <c r="DI48" s="228">
        <v>18.45</v>
      </c>
      <c r="DJ48" s="228">
        <v>-0.37</v>
      </c>
      <c r="DK48" s="228">
        <v>-0.37</v>
      </c>
      <c r="DL48" s="228">
        <v>18.3</v>
      </c>
      <c r="DM48" s="228">
        <v>18.84</v>
      </c>
      <c r="DN48" s="228">
        <v>-0.54</v>
      </c>
      <c r="DO48" s="228">
        <v>-0.54</v>
      </c>
      <c r="DP48" s="228">
        <v>1.02</v>
      </c>
      <c r="DQ48" s="228">
        <v>1.08</v>
      </c>
      <c r="DR48" s="228">
        <v>-0.06</v>
      </c>
      <c r="DS48" s="229">
        <v>-5.5599999999999997E-2</v>
      </c>
      <c r="DT48" s="231">
        <v>2100</v>
      </c>
      <c r="DU48" s="231">
        <v>2100</v>
      </c>
      <c r="DV48" s="228">
        <v>0.45</v>
      </c>
      <c r="DW48" s="228">
        <v>0.45</v>
      </c>
      <c r="DX48" s="228">
        <v>0</v>
      </c>
      <c r="DY48" s="229">
        <v>0</v>
      </c>
      <c r="DZ48" s="229">
        <v>3.8100000000000002E-2</v>
      </c>
      <c r="EA48" s="230">
        <v>247725</v>
      </c>
      <c r="EB48" s="229">
        <v>4.1000000000000003E-3</v>
      </c>
      <c r="EC48" s="229">
        <v>3.8100000000000002E-2</v>
      </c>
      <c r="ED48" s="228">
        <v>9.77</v>
      </c>
      <c r="EE48" s="229">
        <v>4.7000000000000002E-3</v>
      </c>
      <c r="EF48" s="230">
        <v>191872</v>
      </c>
      <c r="EG48" s="230">
        <v>561067</v>
      </c>
      <c r="EH48" s="229">
        <v>-0.65800000000000003</v>
      </c>
      <c r="EI48" s="229">
        <v>0.53500000000000003</v>
      </c>
      <c r="EJ48" s="231">
        <v>21591.49</v>
      </c>
      <c r="EK48" s="231">
        <v>9335.9599999999991</v>
      </c>
      <c r="EL48" s="231">
        <v>9949.74</v>
      </c>
      <c r="EM48" s="231">
        <v>12827</v>
      </c>
      <c r="EN48" s="231">
        <v>40877.19</v>
      </c>
      <c r="EO48" s="231">
        <v>50350.64</v>
      </c>
      <c r="EP48" s="231">
        <v>-9473.4500000000007</v>
      </c>
      <c r="EQ48" s="229">
        <v>-0.18809999999999999</v>
      </c>
      <c r="ER48" s="231">
        <v>29112</v>
      </c>
      <c r="ES48" s="231">
        <v>28724</v>
      </c>
      <c r="ET48" s="231">
        <v>135985</v>
      </c>
      <c r="EU48" s="231">
        <v>19546143</v>
      </c>
      <c r="EV48" s="231">
        <v>193822</v>
      </c>
      <c r="EW48" s="231">
        <v>189757</v>
      </c>
      <c r="EX48" s="231">
        <v>4065</v>
      </c>
      <c r="EY48" s="229">
        <v>2.1399999999999999E-2</v>
      </c>
      <c r="EZ48" s="229">
        <v>0.47070000000000001</v>
      </c>
      <c r="FA48" s="227" t="s">
        <v>555</v>
      </c>
      <c r="FB48" s="161">
        <f t="shared" si="0"/>
        <v>246825</v>
      </c>
    </row>
    <row r="49" spans="1:158" ht="17.25" hidden="1" thickBot="1" x14ac:dyDescent="0.3">
      <c r="A49" s="226">
        <v>46023</v>
      </c>
      <c r="B49" s="227" t="s">
        <v>215</v>
      </c>
      <c r="C49" s="227" t="s">
        <v>202</v>
      </c>
      <c r="D49" s="228">
        <v>1250</v>
      </c>
      <c r="E49" s="228">
        <v>527</v>
      </c>
      <c r="F49" s="228">
        <v>526.85</v>
      </c>
      <c r="G49" s="228">
        <v>0.15</v>
      </c>
      <c r="H49" s="229">
        <v>2.9999999999999997E-4</v>
      </c>
      <c r="I49" s="228">
        <v>524.25</v>
      </c>
      <c r="J49" s="228">
        <v>524.95000000000005</v>
      </c>
      <c r="K49" s="228">
        <v>-0.7</v>
      </c>
      <c r="L49" s="229">
        <v>-1.2999999999999999E-3</v>
      </c>
      <c r="M49" s="228">
        <v>527</v>
      </c>
      <c r="N49" s="228">
        <v>526.85</v>
      </c>
      <c r="O49" s="228">
        <v>0.15</v>
      </c>
      <c r="P49" s="229">
        <v>2.9999999999999997E-4</v>
      </c>
      <c r="Q49" s="228">
        <v>527.4</v>
      </c>
      <c r="R49" s="228">
        <v>527.29999999999995</v>
      </c>
      <c r="S49" s="228">
        <v>0.1</v>
      </c>
      <c r="T49" s="229">
        <v>2.0000000000000001E-4</v>
      </c>
      <c r="U49" s="228">
        <v>531.35</v>
      </c>
      <c r="V49" s="228">
        <v>531.15</v>
      </c>
      <c r="W49" s="228">
        <v>0.2</v>
      </c>
      <c r="X49" s="229">
        <v>4.0000000000000002E-4</v>
      </c>
      <c r="Y49" s="228">
        <v>2.75</v>
      </c>
      <c r="Z49" s="228">
        <v>1.9</v>
      </c>
      <c r="AA49" s="228">
        <v>0.85</v>
      </c>
      <c r="AB49" s="229">
        <v>5.1999999999999998E-3</v>
      </c>
      <c r="AC49" s="228">
        <v>2.75</v>
      </c>
      <c r="AD49" s="228">
        <v>1.9</v>
      </c>
      <c r="AE49" s="228">
        <v>0.85</v>
      </c>
      <c r="AF49" s="229">
        <v>5.1999999999999998E-3</v>
      </c>
      <c r="AG49" s="228">
        <v>3.15</v>
      </c>
      <c r="AH49" s="228">
        <v>2.35</v>
      </c>
      <c r="AI49" s="228">
        <v>0.8</v>
      </c>
      <c r="AJ49" s="229">
        <v>6.0000000000000001E-3</v>
      </c>
      <c r="AK49" s="228">
        <v>7.1</v>
      </c>
      <c r="AL49" s="228">
        <v>6.2</v>
      </c>
      <c r="AM49" s="228">
        <v>0.9</v>
      </c>
      <c r="AN49" s="229">
        <v>1.35E-2</v>
      </c>
      <c r="AO49" s="228">
        <v>526.78</v>
      </c>
      <c r="AP49" s="228">
        <v>527.33000000000004</v>
      </c>
      <c r="AQ49" s="228">
        <v>0</v>
      </c>
      <c r="AR49" s="230">
        <v>1830000</v>
      </c>
      <c r="AS49" s="230">
        <v>4077500</v>
      </c>
      <c r="AT49" s="230">
        <v>-2247500</v>
      </c>
      <c r="AU49" s="229">
        <v>-0.55120000000000002</v>
      </c>
      <c r="AV49" s="230">
        <v>1633750</v>
      </c>
      <c r="AW49" s="230">
        <v>3487500</v>
      </c>
      <c r="AX49" s="230">
        <v>-1853750</v>
      </c>
      <c r="AY49" s="229">
        <v>-0.53149999999999997</v>
      </c>
      <c r="AZ49" s="230">
        <v>182500</v>
      </c>
      <c r="BA49" s="230">
        <v>570000</v>
      </c>
      <c r="BB49" s="230">
        <v>-387500</v>
      </c>
      <c r="BC49" s="229">
        <v>-0.67979999999999996</v>
      </c>
      <c r="BD49" s="230">
        <v>13750</v>
      </c>
      <c r="BE49" s="230">
        <v>20000</v>
      </c>
      <c r="BF49" s="230">
        <v>-6250</v>
      </c>
      <c r="BG49" s="229">
        <v>-0.3125</v>
      </c>
      <c r="BH49" s="230">
        <v>5437500</v>
      </c>
      <c r="BI49" s="230">
        <v>13501250</v>
      </c>
      <c r="BJ49" s="230">
        <v>-8063750</v>
      </c>
      <c r="BK49" s="229">
        <v>-0.59730000000000005</v>
      </c>
      <c r="BL49" s="230">
        <v>1376250</v>
      </c>
      <c r="BM49" s="230">
        <v>3206250</v>
      </c>
      <c r="BN49" s="230">
        <v>-1830000</v>
      </c>
      <c r="BO49" s="229">
        <v>-0.57079999999999997</v>
      </c>
      <c r="BP49" s="230">
        <v>8643750</v>
      </c>
      <c r="BQ49" s="230">
        <v>20785000</v>
      </c>
      <c r="BR49" s="230">
        <v>-12141250</v>
      </c>
      <c r="BS49" s="229">
        <v>-0.58409999999999995</v>
      </c>
      <c r="BT49" s="230">
        <v>536662</v>
      </c>
      <c r="BU49" s="230">
        <v>1207052</v>
      </c>
      <c r="BV49" s="230">
        <v>-670390</v>
      </c>
      <c r="BW49" s="229">
        <v>-0.5554</v>
      </c>
      <c r="BX49" s="230">
        <v>36321250</v>
      </c>
      <c r="BY49" s="230">
        <v>36181250</v>
      </c>
      <c r="BZ49" s="230">
        <v>140000</v>
      </c>
      <c r="CA49" s="229">
        <v>3.8999999999999998E-3</v>
      </c>
      <c r="CB49" s="230">
        <v>34091250</v>
      </c>
      <c r="CC49" s="230">
        <v>34001250</v>
      </c>
      <c r="CD49" s="230">
        <v>90000</v>
      </c>
      <c r="CE49" s="229">
        <v>2.5999999999999999E-3</v>
      </c>
      <c r="CF49" s="230">
        <v>2198750</v>
      </c>
      <c r="CG49" s="230">
        <v>2161250</v>
      </c>
      <c r="CH49" s="230">
        <v>37500</v>
      </c>
      <c r="CI49" s="229">
        <v>1.7399999999999999E-2</v>
      </c>
      <c r="CJ49" s="230">
        <v>31250</v>
      </c>
      <c r="CK49" s="230">
        <v>18750</v>
      </c>
      <c r="CL49" s="230">
        <v>12500</v>
      </c>
      <c r="CM49" s="229">
        <v>0.66669999999999996</v>
      </c>
      <c r="CN49" s="230">
        <v>11392500</v>
      </c>
      <c r="CO49" s="230">
        <v>11097500</v>
      </c>
      <c r="CP49" s="230">
        <v>295000</v>
      </c>
      <c r="CQ49" s="229">
        <v>2.6599999999999999E-2</v>
      </c>
      <c r="CR49" s="230">
        <v>7986250</v>
      </c>
      <c r="CS49" s="230">
        <v>7790000</v>
      </c>
      <c r="CT49" s="230">
        <v>196250</v>
      </c>
      <c r="CU49" s="229">
        <v>2.52E-2</v>
      </c>
      <c r="CV49" s="230">
        <v>55700000</v>
      </c>
      <c r="CW49" s="230">
        <v>55068750</v>
      </c>
      <c r="CX49" s="230">
        <v>631250</v>
      </c>
      <c r="CY49" s="229">
        <v>1.15E-2</v>
      </c>
      <c r="CZ49" s="228">
        <v>23.93</v>
      </c>
      <c r="DA49" s="228">
        <v>23.82</v>
      </c>
      <c r="DB49" s="228">
        <v>0.11</v>
      </c>
      <c r="DC49" s="228">
        <v>0.11</v>
      </c>
      <c r="DD49" s="228">
        <v>33.51</v>
      </c>
      <c r="DE49" s="228">
        <v>33.590000000000003</v>
      </c>
      <c r="DF49" s="228">
        <v>-9.58</v>
      </c>
      <c r="DG49" s="228">
        <v>-0.08</v>
      </c>
      <c r="DH49" s="228">
        <v>23.96</v>
      </c>
      <c r="DI49" s="228">
        <v>23.83</v>
      </c>
      <c r="DJ49" s="228">
        <v>0.13</v>
      </c>
      <c r="DK49" s="228">
        <v>0.13</v>
      </c>
      <c r="DL49" s="228">
        <v>23.81</v>
      </c>
      <c r="DM49" s="228">
        <v>23.76</v>
      </c>
      <c r="DN49" s="228">
        <v>0.05</v>
      </c>
      <c r="DO49" s="228">
        <v>0.05</v>
      </c>
      <c r="DP49" s="228">
        <v>0.7</v>
      </c>
      <c r="DQ49" s="228">
        <v>0.7</v>
      </c>
      <c r="DR49" s="228">
        <v>0</v>
      </c>
      <c r="DS49" s="229">
        <v>0</v>
      </c>
      <c r="DT49" s="228">
        <v>520</v>
      </c>
      <c r="DU49" s="228">
        <v>520</v>
      </c>
      <c r="DV49" s="228">
        <v>0.25</v>
      </c>
      <c r="DW49" s="228">
        <v>0.24</v>
      </c>
      <c r="DX49" s="228">
        <v>0.01</v>
      </c>
      <c r="DY49" s="229">
        <v>4.1700000000000001E-2</v>
      </c>
      <c r="DZ49" s="229">
        <v>6.1400000000000003E-2</v>
      </c>
      <c r="EA49" s="230">
        <v>2180000</v>
      </c>
      <c r="EB49" s="229">
        <v>8.0000000000000004E-4</v>
      </c>
      <c r="EC49" s="229">
        <v>6.1400000000000003E-2</v>
      </c>
      <c r="ED49" s="228">
        <v>0.55000000000000004</v>
      </c>
      <c r="EE49" s="229">
        <v>1E-3</v>
      </c>
      <c r="EF49" s="230">
        <v>231235</v>
      </c>
      <c r="EG49" s="230">
        <v>660508</v>
      </c>
      <c r="EH49" s="229">
        <v>-0.64990000000000003</v>
      </c>
      <c r="EI49" s="229">
        <v>0.43090000000000001</v>
      </c>
      <c r="EJ49" s="231">
        <v>30191.14</v>
      </c>
      <c r="EK49" s="231">
        <v>7049.54</v>
      </c>
      <c r="EL49" s="231">
        <v>9641.6</v>
      </c>
      <c r="EM49" s="231">
        <v>15744</v>
      </c>
      <c r="EN49" s="231">
        <v>46882.28</v>
      </c>
      <c r="EO49" s="231">
        <v>112279.94</v>
      </c>
      <c r="EP49" s="231">
        <v>-65397.66</v>
      </c>
      <c r="EQ49" s="229">
        <v>-0.58250000000000002</v>
      </c>
      <c r="ER49" s="231">
        <v>62326</v>
      </c>
      <c r="ES49" s="231">
        <v>41701</v>
      </c>
      <c r="ET49" s="231">
        <v>191423</v>
      </c>
      <c r="EU49" s="231">
        <v>51639257</v>
      </c>
      <c r="EV49" s="231">
        <v>295450</v>
      </c>
      <c r="EW49" s="231">
        <v>292015</v>
      </c>
      <c r="EX49" s="231">
        <v>3435</v>
      </c>
      <c r="EY49" s="229">
        <v>1.18E-2</v>
      </c>
      <c r="EZ49" s="229">
        <v>1.0786</v>
      </c>
      <c r="FA49" s="227" t="s">
        <v>555</v>
      </c>
      <c r="FB49" s="161">
        <f t="shared" si="0"/>
        <v>2230000</v>
      </c>
    </row>
    <row r="50" spans="1:158" ht="17.25" hidden="1" thickBot="1" x14ac:dyDescent="0.3">
      <c r="A50" s="226">
        <v>46023</v>
      </c>
      <c r="B50" s="227" t="s">
        <v>184</v>
      </c>
      <c r="C50" s="227" t="s">
        <v>523</v>
      </c>
      <c r="D50" s="228">
        <v>1800</v>
      </c>
      <c r="E50" s="228">
        <v>250.85</v>
      </c>
      <c r="F50" s="228">
        <v>254.05</v>
      </c>
      <c r="G50" s="228">
        <v>-3.2</v>
      </c>
      <c r="H50" s="229">
        <v>-1.26E-2</v>
      </c>
      <c r="I50" s="228">
        <v>249.25</v>
      </c>
      <c r="J50" s="228">
        <v>252.25</v>
      </c>
      <c r="K50" s="228">
        <v>-3</v>
      </c>
      <c r="L50" s="229">
        <v>-1.1900000000000001E-2</v>
      </c>
      <c r="M50" s="228">
        <v>250.85</v>
      </c>
      <c r="N50" s="228">
        <v>254.05</v>
      </c>
      <c r="O50" s="228">
        <v>-3.2</v>
      </c>
      <c r="P50" s="229">
        <v>-1.26E-2</v>
      </c>
      <c r="Q50" s="228">
        <v>252.25</v>
      </c>
      <c r="R50" s="228">
        <v>255.8</v>
      </c>
      <c r="S50" s="228">
        <v>-3.55</v>
      </c>
      <c r="T50" s="229">
        <v>-1.3899999999999999E-2</v>
      </c>
      <c r="U50" s="228">
        <v>254.25</v>
      </c>
      <c r="V50" s="228">
        <v>257.35000000000002</v>
      </c>
      <c r="W50" s="228">
        <v>-3.1</v>
      </c>
      <c r="X50" s="229">
        <v>-1.2E-2</v>
      </c>
      <c r="Y50" s="228">
        <v>1.6</v>
      </c>
      <c r="Z50" s="228">
        <v>1.8</v>
      </c>
      <c r="AA50" s="228">
        <v>-0.2</v>
      </c>
      <c r="AB50" s="229">
        <v>6.4000000000000003E-3</v>
      </c>
      <c r="AC50" s="228">
        <v>1.6</v>
      </c>
      <c r="AD50" s="228">
        <v>1.8</v>
      </c>
      <c r="AE50" s="228">
        <v>-0.2</v>
      </c>
      <c r="AF50" s="229">
        <v>6.4000000000000003E-3</v>
      </c>
      <c r="AG50" s="228">
        <v>3</v>
      </c>
      <c r="AH50" s="228">
        <v>3.55</v>
      </c>
      <c r="AI50" s="228">
        <v>-0.55000000000000004</v>
      </c>
      <c r="AJ50" s="229">
        <v>1.2E-2</v>
      </c>
      <c r="AK50" s="228">
        <v>5</v>
      </c>
      <c r="AL50" s="228">
        <v>5.0999999999999996</v>
      </c>
      <c r="AM50" s="228">
        <v>-0.1</v>
      </c>
      <c r="AN50" s="229">
        <v>2.01E-2</v>
      </c>
      <c r="AO50" s="228">
        <v>251.68</v>
      </c>
      <c r="AP50" s="228">
        <v>253.29</v>
      </c>
      <c r="AQ50" s="228">
        <v>0</v>
      </c>
      <c r="AR50" s="230">
        <v>2037600</v>
      </c>
      <c r="AS50" s="230">
        <v>6816600</v>
      </c>
      <c r="AT50" s="230">
        <v>-4779000</v>
      </c>
      <c r="AU50" s="229">
        <v>-0.70109999999999995</v>
      </c>
      <c r="AV50" s="230">
        <v>1830600</v>
      </c>
      <c r="AW50" s="230">
        <v>6199200</v>
      </c>
      <c r="AX50" s="230">
        <v>-4368600</v>
      </c>
      <c r="AY50" s="229">
        <v>-0.70469999999999999</v>
      </c>
      <c r="AZ50" s="230">
        <v>149400</v>
      </c>
      <c r="BA50" s="230">
        <v>585000</v>
      </c>
      <c r="BB50" s="230">
        <v>-435600</v>
      </c>
      <c r="BC50" s="229">
        <v>-0.74460000000000004</v>
      </c>
      <c r="BD50" s="230">
        <v>57600</v>
      </c>
      <c r="BE50" s="230">
        <v>32400</v>
      </c>
      <c r="BF50" s="230">
        <v>25200</v>
      </c>
      <c r="BG50" s="229">
        <v>0.77780000000000005</v>
      </c>
      <c r="BH50" s="230">
        <v>5085000</v>
      </c>
      <c r="BI50" s="230">
        <v>14004000</v>
      </c>
      <c r="BJ50" s="230">
        <v>-8919000</v>
      </c>
      <c r="BK50" s="229">
        <v>-0.63690000000000002</v>
      </c>
      <c r="BL50" s="230">
        <v>1494000</v>
      </c>
      <c r="BM50" s="230">
        <v>6660000</v>
      </c>
      <c r="BN50" s="230">
        <v>-5166000</v>
      </c>
      <c r="BO50" s="229">
        <v>-0.77569999999999995</v>
      </c>
      <c r="BP50" s="230">
        <v>8616600</v>
      </c>
      <c r="BQ50" s="230">
        <v>27480600</v>
      </c>
      <c r="BR50" s="230">
        <v>-18864000</v>
      </c>
      <c r="BS50" s="229">
        <v>-0.68640000000000001</v>
      </c>
      <c r="BT50" s="230">
        <v>1789341</v>
      </c>
      <c r="BU50" s="230">
        <v>3559555</v>
      </c>
      <c r="BV50" s="230">
        <v>-1770214</v>
      </c>
      <c r="BW50" s="229">
        <v>-0.49730000000000002</v>
      </c>
      <c r="BX50" s="230">
        <v>54453600</v>
      </c>
      <c r="BY50" s="230">
        <v>54424800</v>
      </c>
      <c r="BZ50" s="230">
        <v>28800</v>
      </c>
      <c r="CA50" s="229">
        <v>5.0000000000000001E-4</v>
      </c>
      <c r="CB50" s="230">
        <v>51973200</v>
      </c>
      <c r="CC50" s="230">
        <v>52034400</v>
      </c>
      <c r="CD50" s="230">
        <v>-61200</v>
      </c>
      <c r="CE50" s="229">
        <v>-1.1999999999999999E-3</v>
      </c>
      <c r="CF50" s="230">
        <v>2406600</v>
      </c>
      <c r="CG50" s="230">
        <v>2365200</v>
      </c>
      <c r="CH50" s="230">
        <v>41400</v>
      </c>
      <c r="CI50" s="229">
        <v>1.7500000000000002E-2</v>
      </c>
      <c r="CJ50" s="230">
        <v>73800</v>
      </c>
      <c r="CK50" s="230">
        <v>25200</v>
      </c>
      <c r="CL50" s="230">
        <v>48600</v>
      </c>
      <c r="CM50" s="229">
        <v>1.9286000000000001</v>
      </c>
      <c r="CN50" s="230">
        <v>13516200</v>
      </c>
      <c r="CO50" s="230">
        <v>12729600</v>
      </c>
      <c r="CP50" s="230">
        <v>786600</v>
      </c>
      <c r="CQ50" s="229">
        <v>6.1800000000000001E-2</v>
      </c>
      <c r="CR50" s="230">
        <v>9068400</v>
      </c>
      <c r="CS50" s="230">
        <v>9147600</v>
      </c>
      <c r="CT50" s="230">
        <v>-79200</v>
      </c>
      <c r="CU50" s="229">
        <v>-8.6999999999999994E-3</v>
      </c>
      <c r="CV50" s="230">
        <v>77038200</v>
      </c>
      <c r="CW50" s="230">
        <v>76302000</v>
      </c>
      <c r="CX50" s="230">
        <v>736200</v>
      </c>
      <c r="CY50" s="229">
        <v>9.5999999999999992E-3</v>
      </c>
      <c r="CZ50" s="228">
        <v>25.33</v>
      </c>
      <c r="DA50" s="228">
        <v>25.19</v>
      </c>
      <c r="DB50" s="228">
        <v>0.14000000000000001</v>
      </c>
      <c r="DC50" s="228">
        <v>0.14000000000000001</v>
      </c>
      <c r="DD50" s="228">
        <v>30.43</v>
      </c>
      <c r="DE50" s="228">
        <v>30.46</v>
      </c>
      <c r="DF50" s="228">
        <v>-5.0999999999999996</v>
      </c>
      <c r="DG50" s="228">
        <v>-0.03</v>
      </c>
      <c r="DH50" s="228">
        <v>25.65</v>
      </c>
      <c r="DI50" s="228">
        <v>25.27</v>
      </c>
      <c r="DJ50" s="228">
        <v>0.38</v>
      </c>
      <c r="DK50" s="228">
        <v>0.38</v>
      </c>
      <c r="DL50" s="228">
        <v>24.25</v>
      </c>
      <c r="DM50" s="228">
        <v>25.02</v>
      </c>
      <c r="DN50" s="228">
        <v>-0.77</v>
      </c>
      <c r="DO50" s="228">
        <v>-0.77</v>
      </c>
      <c r="DP50" s="228">
        <v>0.67</v>
      </c>
      <c r="DQ50" s="228">
        <v>0.72</v>
      </c>
      <c r="DR50" s="228">
        <v>-0.05</v>
      </c>
      <c r="DS50" s="229">
        <v>-6.9400000000000003E-2</v>
      </c>
      <c r="DT50" s="228">
        <v>260</v>
      </c>
      <c r="DU50" s="228">
        <v>250</v>
      </c>
      <c r="DV50" s="228">
        <v>0.28999999999999998</v>
      </c>
      <c r="DW50" s="228">
        <v>0.48</v>
      </c>
      <c r="DX50" s="228">
        <v>-0.19</v>
      </c>
      <c r="DY50" s="229">
        <v>-0.39579999999999999</v>
      </c>
      <c r="DZ50" s="229">
        <v>4.5600000000000002E-2</v>
      </c>
      <c r="EA50" s="230">
        <v>2390400</v>
      </c>
      <c r="EB50" s="229">
        <v>5.5999999999999999E-3</v>
      </c>
      <c r="EC50" s="229">
        <v>4.5600000000000002E-2</v>
      </c>
      <c r="ED50" s="228">
        <v>1.61</v>
      </c>
      <c r="EE50" s="229">
        <v>6.4000000000000003E-3</v>
      </c>
      <c r="EF50" s="230">
        <v>1068970</v>
      </c>
      <c r="EG50" s="230">
        <v>1211434</v>
      </c>
      <c r="EH50" s="229">
        <v>-0.1176</v>
      </c>
      <c r="EI50" s="229">
        <v>0.59740000000000004</v>
      </c>
      <c r="EJ50" s="231">
        <v>13602.7</v>
      </c>
      <c r="EK50" s="231">
        <v>3737.78</v>
      </c>
      <c r="EL50" s="231">
        <v>5132.4399999999996</v>
      </c>
      <c r="EM50" s="231">
        <v>11785</v>
      </c>
      <c r="EN50" s="231">
        <v>22472.92</v>
      </c>
      <c r="EO50" s="231">
        <v>71321.36</v>
      </c>
      <c r="EP50" s="231">
        <v>-48848.44</v>
      </c>
      <c r="EQ50" s="229">
        <v>-0.68489999999999995</v>
      </c>
      <c r="ER50" s="231">
        <v>36609</v>
      </c>
      <c r="ES50" s="231">
        <v>23353</v>
      </c>
      <c r="ET50" s="231">
        <v>136633</v>
      </c>
      <c r="EU50" s="231">
        <v>96587231</v>
      </c>
      <c r="EV50" s="231">
        <v>196595</v>
      </c>
      <c r="EW50" s="231">
        <v>196440</v>
      </c>
      <c r="EX50" s="228">
        <v>155</v>
      </c>
      <c r="EY50" s="229">
        <v>8.0000000000000004E-4</v>
      </c>
      <c r="EZ50" s="229">
        <v>0.79759999999999998</v>
      </c>
      <c r="FA50" s="227" t="s">
        <v>567</v>
      </c>
      <c r="FB50" s="161">
        <f t="shared" si="0"/>
        <v>2480400</v>
      </c>
    </row>
    <row r="51" spans="1:158" ht="17.25" hidden="1" thickBot="1" x14ac:dyDescent="0.3">
      <c r="A51" s="226">
        <v>46023</v>
      </c>
      <c r="B51" s="227" t="s">
        <v>184</v>
      </c>
      <c r="C51" s="227" t="s">
        <v>203</v>
      </c>
      <c r="D51" s="228">
        <v>200</v>
      </c>
      <c r="E51" s="231">
        <v>4495.3</v>
      </c>
      <c r="F51" s="231">
        <v>4444.6000000000004</v>
      </c>
      <c r="G51" s="228">
        <v>50.7</v>
      </c>
      <c r="H51" s="229">
        <v>1.14E-2</v>
      </c>
      <c r="I51" s="231">
        <v>4470.6000000000004</v>
      </c>
      <c r="J51" s="231">
        <v>4434.3999999999996</v>
      </c>
      <c r="K51" s="228">
        <v>36.200000000000003</v>
      </c>
      <c r="L51" s="229">
        <v>8.2000000000000007E-3</v>
      </c>
      <c r="M51" s="231">
        <v>4495.3</v>
      </c>
      <c r="N51" s="231">
        <v>4444.6000000000004</v>
      </c>
      <c r="O51" s="228">
        <v>50.7</v>
      </c>
      <c r="P51" s="229">
        <v>1.14E-2</v>
      </c>
      <c r="Q51" s="231">
        <v>4500.7</v>
      </c>
      <c r="R51" s="231">
        <v>4448.8</v>
      </c>
      <c r="S51" s="228">
        <v>51.9</v>
      </c>
      <c r="T51" s="229">
        <v>1.17E-2</v>
      </c>
      <c r="U51" s="231">
        <v>4529</v>
      </c>
      <c r="V51" s="228">
        <v>0</v>
      </c>
      <c r="W51" s="231">
        <v>4529</v>
      </c>
      <c r="X51" s="229">
        <v>0</v>
      </c>
      <c r="Y51" s="228">
        <v>24.7</v>
      </c>
      <c r="Z51" s="228">
        <v>10.199999999999999</v>
      </c>
      <c r="AA51" s="228">
        <v>14.5</v>
      </c>
      <c r="AB51" s="229">
        <v>5.4999999999999997E-3</v>
      </c>
      <c r="AC51" s="228">
        <v>24.7</v>
      </c>
      <c r="AD51" s="228">
        <v>10.199999999999999</v>
      </c>
      <c r="AE51" s="228">
        <v>14.5</v>
      </c>
      <c r="AF51" s="229">
        <v>5.4999999999999997E-3</v>
      </c>
      <c r="AG51" s="228">
        <v>30.1</v>
      </c>
      <c r="AH51" s="228">
        <v>14.4</v>
      </c>
      <c r="AI51" s="228">
        <v>15.7</v>
      </c>
      <c r="AJ51" s="229">
        <v>6.7000000000000002E-3</v>
      </c>
      <c r="AK51" s="228">
        <v>58.4</v>
      </c>
      <c r="AL51" s="228">
        <v>0</v>
      </c>
      <c r="AM51" s="228">
        <v>58.4</v>
      </c>
      <c r="AN51" s="229">
        <v>1.3100000000000001E-2</v>
      </c>
      <c r="AO51" s="231">
        <v>4493.72</v>
      </c>
      <c r="AP51" s="231">
        <v>4507.05</v>
      </c>
      <c r="AQ51" s="228">
        <v>0</v>
      </c>
      <c r="AR51" s="230">
        <v>419000</v>
      </c>
      <c r="AS51" s="230">
        <v>496400</v>
      </c>
      <c r="AT51" s="230">
        <v>-77400</v>
      </c>
      <c r="AU51" s="229">
        <v>-0.15590000000000001</v>
      </c>
      <c r="AV51" s="230">
        <v>405600</v>
      </c>
      <c r="AW51" s="230">
        <v>485400</v>
      </c>
      <c r="AX51" s="230">
        <v>-79800</v>
      </c>
      <c r="AY51" s="229">
        <v>-0.16439999999999999</v>
      </c>
      <c r="AZ51" s="230">
        <v>13200</v>
      </c>
      <c r="BA51" s="230">
        <v>11000</v>
      </c>
      <c r="BB51" s="230">
        <v>2200</v>
      </c>
      <c r="BC51" s="229">
        <v>0.2</v>
      </c>
      <c r="BD51" s="228">
        <v>200</v>
      </c>
      <c r="BE51" s="228">
        <v>0</v>
      </c>
      <c r="BF51" s="228">
        <v>200</v>
      </c>
      <c r="BG51" s="229">
        <v>0</v>
      </c>
      <c r="BH51" s="230">
        <v>1326200</v>
      </c>
      <c r="BI51" s="230">
        <v>1068600</v>
      </c>
      <c r="BJ51" s="230">
        <v>257600</v>
      </c>
      <c r="BK51" s="229">
        <v>0.24110000000000001</v>
      </c>
      <c r="BL51" s="230">
        <v>492200</v>
      </c>
      <c r="BM51" s="230">
        <v>739400</v>
      </c>
      <c r="BN51" s="230">
        <v>-247200</v>
      </c>
      <c r="BO51" s="229">
        <v>-0.33429999999999999</v>
      </c>
      <c r="BP51" s="230">
        <v>2237400</v>
      </c>
      <c r="BQ51" s="230">
        <v>2304400</v>
      </c>
      <c r="BR51" s="230">
        <v>-67000</v>
      </c>
      <c r="BS51" s="229">
        <v>-2.9100000000000001E-2</v>
      </c>
      <c r="BT51" s="230">
        <v>324815</v>
      </c>
      <c r="BU51" s="230">
        <v>294381</v>
      </c>
      <c r="BV51" s="230">
        <v>30434</v>
      </c>
      <c r="BW51" s="229">
        <v>0.10340000000000001</v>
      </c>
      <c r="BX51" s="230">
        <v>3276400</v>
      </c>
      <c r="BY51" s="230">
        <v>3279200</v>
      </c>
      <c r="BZ51" s="230">
        <v>-2800</v>
      </c>
      <c r="CA51" s="229">
        <v>-8.9999999999999998E-4</v>
      </c>
      <c r="CB51" s="230">
        <v>3251400</v>
      </c>
      <c r="CC51" s="230">
        <v>3256600</v>
      </c>
      <c r="CD51" s="230">
        <v>-5200</v>
      </c>
      <c r="CE51" s="229">
        <v>-1.6000000000000001E-3</v>
      </c>
      <c r="CF51" s="230">
        <v>24800</v>
      </c>
      <c r="CG51" s="230">
        <v>22600</v>
      </c>
      <c r="CH51" s="230">
        <v>2200</v>
      </c>
      <c r="CI51" s="229">
        <v>9.7299999999999998E-2</v>
      </c>
      <c r="CJ51" s="228">
        <v>200</v>
      </c>
      <c r="CK51" s="228">
        <v>0</v>
      </c>
      <c r="CL51" s="228">
        <v>200</v>
      </c>
      <c r="CM51" s="229">
        <v>0</v>
      </c>
      <c r="CN51" s="230">
        <v>560600</v>
      </c>
      <c r="CO51" s="230">
        <v>470400</v>
      </c>
      <c r="CP51" s="230">
        <v>90200</v>
      </c>
      <c r="CQ51" s="229">
        <v>0.1918</v>
      </c>
      <c r="CR51" s="230">
        <v>439200</v>
      </c>
      <c r="CS51" s="230">
        <v>383600</v>
      </c>
      <c r="CT51" s="230">
        <v>55600</v>
      </c>
      <c r="CU51" s="229">
        <v>0.1449</v>
      </c>
      <c r="CV51" s="230">
        <v>4276200</v>
      </c>
      <c r="CW51" s="230">
        <v>4133200</v>
      </c>
      <c r="CX51" s="230">
        <v>143000</v>
      </c>
      <c r="CY51" s="229">
        <v>3.4599999999999999E-2</v>
      </c>
      <c r="CZ51" s="228">
        <v>21.87</v>
      </c>
      <c r="DA51" s="228">
        <v>23.28</v>
      </c>
      <c r="DB51" s="228">
        <v>-1.41</v>
      </c>
      <c r="DC51" s="228">
        <v>-1.41</v>
      </c>
      <c r="DD51" s="228">
        <v>33.29</v>
      </c>
      <c r="DE51" s="228">
        <v>33.36</v>
      </c>
      <c r="DF51" s="228">
        <v>-11.42</v>
      </c>
      <c r="DG51" s="228">
        <v>-7.0000000000000007E-2</v>
      </c>
      <c r="DH51" s="228">
        <v>21.83</v>
      </c>
      <c r="DI51" s="228">
        <v>23.07</v>
      </c>
      <c r="DJ51" s="228">
        <v>-1.24</v>
      </c>
      <c r="DK51" s="228">
        <v>-1.24</v>
      </c>
      <c r="DL51" s="228">
        <v>21.97</v>
      </c>
      <c r="DM51" s="228">
        <v>23.58</v>
      </c>
      <c r="DN51" s="228">
        <v>-1.61</v>
      </c>
      <c r="DO51" s="228">
        <v>-1.61</v>
      </c>
      <c r="DP51" s="228">
        <v>0.78</v>
      </c>
      <c r="DQ51" s="228">
        <v>0.82</v>
      </c>
      <c r="DR51" s="228">
        <v>-0.04</v>
      </c>
      <c r="DS51" s="229">
        <v>-4.8800000000000003E-2</v>
      </c>
      <c r="DT51" s="231">
        <v>4500</v>
      </c>
      <c r="DU51" s="231">
        <v>4400</v>
      </c>
      <c r="DV51" s="228">
        <v>0.37</v>
      </c>
      <c r="DW51" s="228">
        <v>0.69</v>
      </c>
      <c r="DX51" s="228">
        <v>-0.32</v>
      </c>
      <c r="DY51" s="229">
        <v>-0.46379999999999999</v>
      </c>
      <c r="DZ51" s="229">
        <v>7.6E-3</v>
      </c>
      <c r="EA51" s="230">
        <v>22600</v>
      </c>
      <c r="EB51" s="229">
        <v>1.1999999999999999E-3</v>
      </c>
      <c r="EC51" s="229">
        <v>7.6E-3</v>
      </c>
      <c r="ED51" s="228">
        <v>13.33</v>
      </c>
      <c r="EE51" s="229">
        <v>3.0000000000000001E-3</v>
      </c>
      <c r="EF51" s="230">
        <v>199696</v>
      </c>
      <c r="EG51" s="230">
        <v>177488</v>
      </c>
      <c r="EH51" s="229">
        <v>0.12509999999999999</v>
      </c>
      <c r="EI51" s="229">
        <v>0.61480000000000001</v>
      </c>
      <c r="EJ51" s="231">
        <v>61692.04</v>
      </c>
      <c r="EK51" s="231">
        <v>21776.19</v>
      </c>
      <c r="EL51" s="231">
        <v>18830.5</v>
      </c>
      <c r="EM51" s="231">
        <v>9595</v>
      </c>
      <c r="EN51" s="231">
        <v>102298.73</v>
      </c>
      <c r="EO51" s="231">
        <v>104004.44</v>
      </c>
      <c r="EP51" s="231">
        <v>-1705.71</v>
      </c>
      <c r="EQ51" s="229">
        <v>-1.6400000000000001E-2</v>
      </c>
      <c r="ER51" s="231">
        <v>25751</v>
      </c>
      <c r="ES51" s="231">
        <v>18855</v>
      </c>
      <c r="ET51" s="231">
        <v>147285</v>
      </c>
      <c r="EU51" s="231">
        <v>19131188</v>
      </c>
      <c r="EV51" s="231">
        <v>191891</v>
      </c>
      <c r="EW51" s="231">
        <v>183633</v>
      </c>
      <c r="EX51" s="231">
        <v>8258</v>
      </c>
      <c r="EY51" s="229">
        <v>4.4999999999999998E-2</v>
      </c>
      <c r="EZ51" s="229">
        <v>0.2235</v>
      </c>
      <c r="FA51" s="227" t="s">
        <v>556</v>
      </c>
      <c r="FB51" s="161">
        <f t="shared" si="0"/>
        <v>25000</v>
      </c>
    </row>
    <row r="52" spans="1:158" ht="17.25" hidden="1" thickBot="1" x14ac:dyDescent="0.3">
      <c r="A52" s="226">
        <v>46023</v>
      </c>
      <c r="B52" s="227" t="s">
        <v>168</v>
      </c>
      <c r="C52" s="227" t="s">
        <v>204</v>
      </c>
      <c r="D52" s="228">
        <v>1250</v>
      </c>
      <c r="E52" s="228">
        <v>503.3</v>
      </c>
      <c r="F52" s="228">
        <v>506.85</v>
      </c>
      <c r="G52" s="228">
        <v>-3.55</v>
      </c>
      <c r="H52" s="229">
        <v>-7.0000000000000001E-3</v>
      </c>
      <c r="I52" s="228">
        <v>499.95</v>
      </c>
      <c r="J52" s="228">
        <v>503.6</v>
      </c>
      <c r="K52" s="228">
        <v>-3.65</v>
      </c>
      <c r="L52" s="229">
        <v>-7.1999999999999998E-3</v>
      </c>
      <c r="M52" s="228">
        <v>503.3</v>
      </c>
      <c r="N52" s="228">
        <v>506.85</v>
      </c>
      <c r="O52" s="228">
        <v>-3.55</v>
      </c>
      <c r="P52" s="229">
        <v>-7.0000000000000001E-3</v>
      </c>
      <c r="Q52" s="228">
        <v>506.3</v>
      </c>
      <c r="R52" s="228">
        <v>509.65</v>
      </c>
      <c r="S52" s="228">
        <v>-3.35</v>
      </c>
      <c r="T52" s="229">
        <v>-6.6E-3</v>
      </c>
      <c r="U52" s="228">
        <v>507</v>
      </c>
      <c r="V52" s="228">
        <v>512.75</v>
      </c>
      <c r="W52" s="228">
        <v>-5.75</v>
      </c>
      <c r="X52" s="229">
        <v>-1.12E-2</v>
      </c>
      <c r="Y52" s="228">
        <v>3.35</v>
      </c>
      <c r="Z52" s="228">
        <v>3.25</v>
      </c>
      <c r="AA52" s="228">
        <v>0.1</v>
      </c>
      <c r="AB52" s="229">
        <v>6.7000000000000002E-3</v>
      </c>
      <c r="AC52" s="228">
        <v>3.35</v>
      </c>
      <c r="AD52" s="228">
        <v>3.25</v>
      </c>
      <c r="AE52" s="228">
        <v>0.1</v>
      </c>
      <c r="AF52" s="229">
        <v>6.7000000000000002E-3</v>
      </c>
      <c r="AG52" s="228">
        <v>6.35</v>
      </c>
      <c r="AH52" s="228">
        <v>6.05</v>
      </c>
      <c r="AI52" s="228">
        <v>0.3</v>
      </c>
      <c r="AJ52" s="229">
        <v>1.2699999999999999E-2</v>
      </c>
      <c r="AK52" s="228">
        <v>7.05</v>
      </c>
      <c r="AL52" s="228">
        <v>9.15</v>
      </c>
      <c r="AM52" s="228">
        <v>-2.1</v>
      </c>
      <c r="AN52" s="229">
        <v>1.41E-2</v>
      </c>
      <c r="AO52" s="228">
        <v>503.08</v>
      </c>
      <c r="AP52" s="228">
        <v>506.38</v>
      </c>
      <c r="AQ52" s="228">
        <v>0</v>
      </c>
      <c r="AR52" s="230">
        <v>2017500</v>
      </c>
      <c r="AS52" s="230">
        <v>7738750</v>
      </c>
      <c r="AT52" s="230">
        <v>-5721250</v>
      </c>
      <c r="AU52" s="229">
        <v>-0.73929999999999996</v>
      </c>
      <c r="AV52" s="230">
        <v>1960000</v>
      </c>
      <c r="AW52" s="230">
        <v>7497500</v>
      </c>
      <c r="AX52" s="230">
        <v>-5537500</v>
      </c>
      <c r="AY52" s="229">
        <v>-0.73860000000000003</v>
      </c>
      <c r="AZ52" s="230">
        <v>56250</v>
      </c>
      <c r="BA52" s="230">
        <v>225000</v>
      </c>
      <c r="BB52" s="230">
        <v>-168750</v>
      </c>
      <c r="BC52" s="229">
        <v>-0.75</v>
      </c>
      <c r="BD52" s="230">
        <v>1250</v>
      </c>
      <c r="BE52" s="230">
        <v>16250</v>
      </c>
      <c r="BF52" s="230">
        <v>-15000</v>
      </c>
      <c r="BG52" s="229">
        <v>-0.92310000000000003</v>
      </c>
      <c r="BH52" s="230">
        <v>5598750</v>
      </c>
      <c r="BI52" s="230">
        <v>25888750</v>
      </c>
      <c r="BJ52" s="230">
        <v>-20290000</v>
      </c>
      <c r="BK52" s="229">
        <v>-0.78369999999999995</v>
      </c>
      <c r="BL52" s="230">
        <v>2960000</v>
      </c>
      <c r="BM52" s="230">
        <v>11560000</v>
      </c>
      <c r="BN52" s="230">
        <v>-8600000</v>
      </c>
      <c r="BO52" s="229">
        <v>-0.74390000000000001</v>
      </c>
      <c r="BP52" s="230">
        <v>10576250</v>
      </c>
      <c r="BQ52" s="230">
        <v>45187500</v>
      </c>
      <c r="BR52" s="230">
        <v>-34611250</v>
      </c>
      <c r="BS52" s="229">
        <v>-0.76590000000000003</v>
      </c>
      <c r="BT52" s="230">
        <v>722330</v>
      </c>
      <c r="BU52" s="230">
        <v>2500671</v>
      </c>
      <c r="BV52" s="230">
        <v>-1778341</v>
      </c>
      <c r="BW52" s="229">
        <v>-0.71109999999999995</v>
      </c>
      <c r="BX52" s="230">
        <v>21130000</v>
      </c>
      <c r="BY52" s="230">
        <v>20733750</v>
      </c>
      <c r="BZ52" s="230">
        <v>396250</v>
      </c>
      <c r="CA52" s="229">
        <v>1.9099999999999999E-2</v>
      </c>
      <c r="CB52" s="230">
        <v>20660000</v>
      </c>
      <c r="CC52" s="230">
        <v>20291250</v>
      </c>
      <c r="CD52" s="230">
        <v>368750</v>
      </c>
      <c r="CE52" s="229">
        <v>1.8200000000000001E-2</v>
      </c>
      <c r="CF52" s="230">
        <v>460000</v>
      </c>
      <c r="CG52" s="230">
        <v>433750</v>
      </c>
      <c r="CH52" s="230">
        <v>26250</v>
      </c>
      <c r="CI52" s="229">
        <v>6.0499999999999998E-2</v>
      </c>
      <c r="CJ52" s="230">
        <v>10000</v>
      </c>
      <c r="CK52" s="230">
        <v>8750</v>
      </c>
      <c r="CL52" s="230">
        <v>1250</v>
      </c>
      <c r="CM52" s="229">
        <v>0.1429</v>
      </c>
      <c r="CN52" s="230">
        <v>9543750</v>
      </c>
      <c r="CO52" s="230">
        <v>8666250</v>
      </c>
      <c r="CP52" s="230">
        <v>877500</v>
      </c>
      <c r="CQ52" s="229">
        <v>0.1013</v>
      </c>
      <c r="CR52" s="230">
        <v>6147500</v>
      </c>
      <c r="CS52" s="230">
        <v>5678750</v>
      </c>
      <c r="CT52" s="230">
        <v>468750</v>
      </c>
      <c r="CU52" s="229">
        <v>8.2500000000000004E-2</v>
      </c>
      <c r="CV52" s="230">
        <v>36821250</v>
      </c>
      <c r="CW52" s="230">
        <v>35078750</v>
      </c>
      <c r="CX52" s="230">
        <v>1742500</v>
      </c>
      <c r="CY52" s="229">
        <v>4.9700000000000001E-2</v>
      </c>
      <c r="CZ52" s="228">
        <v>20.57</v>
      </c>
      <c r="DA52" s="228">
        <v>20.239999999999998</v>
      </c>
      <c r="DB52" s="228">
        <v>0.33</v>
      </c>
      <c r="DC52" s="228">
        <v>0.33</v>
      </c>
      <c r="DD52" s="228">
        <v>24.23</v>
      </c>
      <c r="DE52" s="228">
        <v>24.27</v>
      </c>
      <c r="DF52" s="228">
        <v>-3.66</v>
      </c>
      <c r="DG52" s="228">
        <v>-0.04</v>
      </c>
      <c r="DH52" s="228">
        <v>20.69</v>
      </c>
      <c r="DI52" s="228">
        <v>20.39</v>
      </c>
      <c r="DJ52" s="228">
        <v>0.3</v>
      </c>
      <c r="DK52" s="228">
        <v>0.3</v>
      </c>
      <c r="DL52" s="228">
        <v>20.34</v>
      </c>
      <c r="DM52" s="228">
        <v>19.91</v>
      </c>
      <c r="DN52" s="228">
        <v>0.43</v>
      </c>
      <c r="DO52" s="228">
        <v>0.43</v>
      </c>
      <c r="DP52" s="228">
        <v>0.64</v>
      </c>
      <c r="DQ52" s="228">
        <v>0.66</v>
      </c>
      <c r="DR52" s="228">
        <v>-0.02</v>
      </c>
      <c r="DS52" s="229">
        <v>-3.0300000000000001E-2</v>
      </c>
      <c r="DT52" s="228">
        <v>500</v>
      </c>
      <c r="DU52" s="228">
        <v>500</v>
      </c>
      <c r="DV52" s="228">
        <v>0.53</v>
      </c>
      <c r="DW52" s="228">
        <v>0.45</v>
      </c>
      <c r="DX52" s="228">
        <v>0.08</v>
      </c>
      <c r="DY52" s="229">
        <v>0.17780000000000001</v>
      </c>
      <c r="DZ52" s="229">
        <v>2.2200000000000001E-2</v>
      </c>
      <c r="EA52" s="230">
        <v>442500</v>
      </c>
      <c r="EB52" s="229">
        <v>6.0000000000000001E-3</v>
      </c>
      <c r="EC52" s="229">
        <v>2.2200000000000001E-2</v>
      </c>
      <c r="ED52" s="228">
        <v>3.3</v>
      </c>
      <c r="EE52" s="229">
        <v>6.6E-3</v>
      </c>
      <c r="EF52" s="230">
        <v>402378</v>
      </c>
      <c r="EG52" s="230">
        <v>1389619</v>
      </c>
      <c r="EH52" s="229">
        <v>-0.71040000000000003</v>
      </c>
      <c r="EI52" s="229">
        <v>0.55710000000000004</v>
      </c>
      <c r="EJ52" s="231">
        <v>29621.18</v>
      </c>
      <c r="EK52" s="231">
        <v>14612.03</v>
      </c>
      <c r="EL52" s="231">
        <v>10151.530000000001</v>
      </c>
      <c r="EM52" s="231">
        <v>8498</v>
      </c>
      <c r="EN52" s="231">
        <v>54384.74</v>
      </c>
      <c r="EO52" s="231">
        <v>233227.84</v>
      </c>
      <c r="EP52" s="231">
        <v>-178843.1</v>
      </c>
      <c r="EQ52" s="229">
        <v>-0.76680000000000004</v>
      </c>
      <c r="ER52" s="231">
        <v>50023</v>
      </c>
      <c r="ES52" s="231">
        <v>29756</v>
      </c>
      <c r="ET52" s="231">
        <v>106361</v>
      </c>
      <c r="EU52" s="231">
        <v>89873278</v>
      </c>
      <c r="EV52" s="231">
        <v>186141</v>
      </c>
      <c r="EW52" s="231">
        <v>178171</v>
      </c>
      <c r="EX52" s="231">
        <v>7970</v>
      </c>
      <c r="EY52" s="229">
        <v>4.4699999999999997E-2</v>
      </c>
      <c r="EZ52" s="229">
        <v>0.40970000000000001</v>
      </c>
      <c r="FA52" s="227" t="s">
        <v>567</v>
      </c>
      <c r="FB52" s="161">
        <f t="shared" si="0"/>
        <v>470000</v>
      </c>
    </row>
    <row r="53" spans="1:158" ht="17.25" hidden="1" thickBot="1" x14ac:dyDescent="0.3">
      <c r="A53" s="226">
        <v>46023</v>
      </c>
      <c r="B53" s="227" t="s">
        <v>157</v>
      </c>
      <c r="C53" s="227" t="s">
        <v>524</v>
      </c>
      <c r="D53" s="228">
        <v>325</v>
      </c>
      <c r="E53" s="231">
        <v>2150.4</v>
      </c>
      <c r="F53" s="231">
        <v>2147.1</v>
      </c>
      <c r="G53" s="228">
        <v>3.3</v>
      </c>
      <c r="H53" s="229">
        <v>1.5E-3</v>
      </c>
      <c r="I53" s="231">
        <v>2136.1999999999998</v>
      </c>
      <c r="J53" s="231">
        <v>2130.9</v>
      </c>
      <c r="K53" s="228">
        <v>5.3</v>
      </c>
      <c r="L53" s="229">
        <v>2.5000000000000001E-3</v>
      </c>
      <c r="M53" s="231">
        <v>2150.4</v>
      </c>
      <c r="N53" s="231">
        <v>2147.1</v>
      </c>
      <c r="O53" s="228">
        <v>3.3</v>
      </c>
      <c r="P53" s="229">
        <v>1.5E-3</v>
      </c>
      <c r="Q53" s="231">
        <v>2164.3000000000002</v>
      </c>
      <c r="R53" s="231">
        <v>2157.6999999999998</v>
      </c>
      <c r="S53" s="228">
        <v>6.6</v>
      </c>
      <c r="T53" s="229">
        <v>3.0999999999999999E-3</v>
      </c>
      <c r="U53" s="231">
        <v>2175.1999999999998</v>
      </c>
      <c r="V53" s="231">
        <v>2181.4</v>
      </c>
      <c r="W53" s="228">
        <v>-6.2</v>
      </c>
      <c r="X53" s="229">
        <v>-2.8E-3</v>
      </c>
      <c r="Y53" s="228">
        <v>14.2</v>
      </c>
      <c r="Z53" s="228">
        <v>16.2</v>
      </c>
      <c r="AA53" s="228">
        <v>-2</v>
      </c>
      <c r="AB53" s="229">
        <v>6.6E-3</v>
      </c>
      <c r="AC53" s="228">
        <v>14.2</v>
      </c>
      <c r="AD53" s="228">
        <v>16.2</v>
      </c>
      <c r="AE53" s="228">
        <v>-2</v>
      </c>
      <c r="AF53" s="229">
        <v>6.6E-3</v>
      </c>
      <c r="AG53" s="228">
        <v>28.1</v>
      </c>
      <c r="AH53" s="228">
        <v>26.8</v>
      </c>
      <c r="AI53" s="228">
        <v>1.3</v>
      </c>
      <c r="AJ53" s="229">
        <v>1.32E-2</v>
      </c>
      <c r="AK53" s="228">
        <v>39</v>
      </c>
      <c r="AL53" s="228">
        <v>50.5</v>
      </c>
      <c r="AM53" s="228">
        <v>-11.5</v>
      </c>
      <c r="AN53" s="229">
        <v>1.83E-2</v>
      </c>
      <c r="AO53" s="231">
        <v>2148.06</v>
      </c>
      <c r="AP53" s="231">
        <v>2166.0100000000002</v>
      </c>
      <c r="AQ53" s="228">
        <v>0</v>
      </c>
      <c r="AR53" s="230">
        <v>380575</v>
      </c>
      <c r="AS53" s="230">
        <v>466700</v>
      </c>
      <c r="AT53" s="230">
        <v>-86125</v>
      </c>
      <c r="AU53" s="229">
        <v>-0.1845</v>
      </c>
      <c r="AV53" s="230">
        <v>365950</v>
      </c>
      <c r="AW53" s="230">
        <v>454350</v>
      </c>
      <c r="AX53" s="230">
        <v>-88400</v>
      </c>
      <c r="AY53" s="229">
        <v>-0.1946</v>
      </c>
      <c r="AZ53" s="230">
        <v>13975</v>
      </c>
      <c r="BA53" s="230">
        <v>11050</v>
      </c>
      <c r="BB53" s="230">
        <v>2925</v>
      </c>
      <c r="BC53" s="229">
        <v>0.26469999999999999</v>
      </c>
      <c r="BD53" s="228">
        <v>650</v>
      </c>
      <c r="BE53" s="230">
        <v>1300</v>
      </c>
      <c r="BF53" s="228">
        <v>-650</v>
      </c>
      <c r="BG53" s="229">
        <v>-0.5</v>
      </c>
      <c r="BH53" s="230">
        <v>582725</v>
      </c>
      <c r="BI53" s="230">
        <v>302250</v>
      </c>
      <c r="BJ53" s="230">
        <v>280475</v>
      </c>
      <c r="BK53" s="229">
        <v>0.92800000000000005</v>
      </c>
      <c r="BL53" s="230">
        <v>152425</v>
      </c>
      <c r="BM53" s="230">
        <v>169975</v>
      </c>
      <c r="BN53" s="230">
        <v>-17550</v>
      </c>
      <c r="BO53" s="229">
        <v>-0.1033</v>
      </c>
      <c r="BP53" s="230">
        <v>1115725</v>
      </c>
      <c r="BQ53" s="230">
        <v>938925</v>
      </c>
      <c r="BR53" s="230">
        <v>176800</v>
      </c>
      <c r="BS53" s="229">
        <v>0.1883</v>
      </c>
      <c r="BT53" s="230">
        <v>140469</v>
      </c>
      <c r="BU53" s="230">
        <v>180429</v>
      </c>
      <c r="BV53" s="230">
        <v>-39960</v>
      </c>
      <c r="BW53" s="229">
        <v>-0.2215</v>
      </c>
      <c r="BX53" s="230">
        <v>2752425</v>
      </c>
      <c r="BY53" s="230">
        <v>2737150</v>
      </c>
      <c r="BZ53" s="230">
        <v>15275</v>
      </c>
      <c r="CA53" s="229">
        <v>5.5999999999999999E-3</v>
      </c>
      <c r="CB53" s="230">
        <v>2696200</v>
      </c>
      <c r="CC53" s="230">
        <v>2683200</v>
      </c>
      <c r="CD53" s="230">
        <v>13000</v>
      </c>
      <c r="CE53" s="229">
        <v>4.7999999999999996E-3</v>
      </c>
      <c r="CF53" s="230">
        <v>54275</v>
      </c>
      <c r="CG53" s="230">
        <v>52650</v>
      </c>
      <c r="CH53" s="230">
        <v>1625</v>
      </c>
      <c r="CI53" s="229">
        <v>3.09E-2</v>
      </c>
      <c r="CJ53" s="230">
        <v>1950</v>
      </c>
      <c r="CK53" s="230">
        <v>1300</v>
      </c>
      <c r="CL53" s="228">
        <v>650</v>
      </c>
      <c r="CM53" s="229">
        <v>0.5</v>
      </c>
      <c r="CN53" s="230">
        <v>684450</v>
      </c>
      <c r="CO53" s="230">
        <v>633425</v>
      </c>
      <c r="CP53" s="230">
        <v>51025</v>
      </c>
      <c r="CQ53" s="229">
        <v>8.0600000000000005E-2</v>
      </c>
      <c r="CR53" s="230">
        <v>402675</v>
      </c>
      <c r="CS53" s="230">
        <v>386100</v>
      </c>
      <c r="CT53" s="230">
        <v>16575</v>
      </c>
      <c r="CU53" s="229">
        <v>4.2900000000000001E-2</v>
      </c>
      <c r="CV53" s="230">
        <v>3839550</v>
      </c>
      <c r="CW53" s="230">
        <v>3756675</v>
      </c>
      <c r="CX53" s="230">
        <v>82875</v>
      </c>
      <c r="CY53" s="229">
        <v>2.2100000000000002E-2</v>
      </c>
      <c r="CZ53" s="228">
        <v>24.51</v>
      </c>
      <c r="DA53" s="228">
        <v>24.71</v>
      </c>
      <c r="DB53" s="228">
        <v>-0.2</v>
      </c>
      <c r="DC53" s="228">
        <v>-0.2</v>
      </c>
      <c r="DD53" s="228">
        <v>29.06</v>
      </c>
      <c r="DE53" s="228">
        <v>29.13</v>
      </c>
      <c r="DF53" s="228">
        <v>-4.55</v>
      </c>
      <c r="DG53" s="228">
        <v>-7.0000000000000007E-2</v>
      </c>
      <c r="DH53" s="228">
        <v>24.56</v>
      </c>
      <c r="DI53" s="228">
        <v>24.83</v>
      </c>
      <c r="DJ53" s="228">
        <v>-0.27</v>
      </c>
      <c r="DK53" s="228">
        <v>-0.27</v>
      </c>
      <c r="DL53" s="228">
        <v>24.32</v>
      </c>
      <c r="DM53" s="228">
        <v>24.51</v>
      </c>
      <c r="DN53" s="228">
        <v>-0.19</v>
      </c>
      <c r="DO53" s="228">
        <v>-0.19</v>
      </c>
      <c r="DP53" s="228">
        <v>0.59</v>
      </c>
      <c r="DQ53" s="228">
        <v>0.61</v>
      </c>
      <c r="DR53" s="228">
        <v>-0.02</v>
      </c>
      <c r="DS53" s="229">
        <v>-3.2800000000000003E-2</v>
      </c>
      <c r="DT53" s="231">
        <v>2200</v>
      </c>
      <c r="DU53" s="231">
        <v>2100</v>
      </c>
      <c r="DV53" s="228">
        <v>0.26</v>
      </c>
      <c r="DW53" s="228">
        <v>0.56000000000000005</v>
      </c>
      <c r="DX53" s="228">
        <v>-0.3</v>
      </c>
      <c r="DY53" s="229">
        <v>-0.53569999999999995</v>
      </c>
      <c r="DZ53" s="229">
        <v>2.0400000000000001E-2</v>
      </c>
      <c r="EA53" s="230">
        <v>53950</v>
      </c>
      <c r="EB53" s="229">
        <v>6.4999999999999997E-3</v>
      </c>
      <c r="EC53" s="229">
        <v>2.0400000000000001E-2</v>
      </c>
      <c r="ED53" s="228">
        <v>17.95</v>
      </c>
      <c r="EE53" s="229">
        <v>8.3999999999999995E-3</v>
      </c>
      <c r="EF53" s="230">
        <v>64393</v>
      </c>
      <c r="EG53" s="230">
        <v>113311</v>
      </c>
      <c r="EH53" s="229">
        <v>-0.43169999999999997</v>
      </c>
      <c r="EI53" s="229">
        <v>0.45839999999999997</v>
      </c>
      <c r="EJ53" s="231">
        <v>13010.02</v>
      </c>
      <c r="EK53" s="231">
        <v>3232.62</v>
      </c>
      <c r="EL53" s="231">
        <v>8177.68</v>
      </c>
      <c r="EM53" s="231">
        <v>4589</v>
      </c>
      <c r="EN53" s="231">
        <v>24420.32</v>
      </c>
      <c r="EO53" s="231">
        <v>20378.310000000001</v>
      </c>
      <c r="EP53" s="231">
        <v>4042.01</v>
      </c>
      <c r="EQ53" s="229">
        <v>0.1983</v>
      </c>
      <c r="ER53" s="231">
        <v>15147</v>
      </c>
      <c r="ES53" s="231">
        <v>8275</v>
      </c>
      <c r="ET53" s="231">
        <v>59196</v>
      </c>
      <c r="EU53" s="231">
        <v>12425041</v>
      </c>
      <c r="EV53" s="231">
        <v>82618</v>
      </c>
      <c r="EW53" s="231">
        <v>80716</v>
      </c>
      <c r="EX53" s="231">
        <v>1902</v>
      </c>
      <c r="EY53" s="229">
        <v>2.3599999999999999E-2</v>
      </c>
      <c r="EZ53" s="229">
        <v>0.309</v>
      </c>
      <c r="FA53" s="227" t="s">
        <v>555</v>
      </c>
      <c r="FB53" s="161">
        <f t="shared" si="0"/>
        <v>56225</v>
      </c>
    </row>
    <row r="54" spans="1:158" ht="17.25" hidden="1" thickBot="1" x14ac:dyDescent="0.3">
      <c r="A54" s="226">
        <v>46023</v>
      </c>
      <c r="B54" s="227" t="s">
        <v>615</v>
      </c>
      <c r="C54" s="227" t="s">
        <v>600</v>
      </c>
      <c r="D54" s="228">
        <v>2075</v>
      </c>
      <c r="E54" s="228">
        <v>403.3</v>
      </c>
      <c r="F54" s="228">
        <v>406.15</v>
      </c>
      <c r="G54" s="228">
        <v>-2.85</v>
      </c>
      <c r="H54" s="229">
        <v>-7.0000000000000001E-3</v>
      </c>
      <c r="I54" s="228">
        <v>400.6</v>
      </c>
      <c r="J54" s="228">
        <v>403.85</v>
      </c>
      <c r="K54" s="228">
        <v>-3.25</v>
      </c>
      <c r="L54" s="229">
        <v>-8.0000000000000002E-3</v>
      </c>
      <c r="M54" s="228">
        <v>403.3</v>
      </c>
      <c r="N54" s="228">
        <v>406.15</v>
      </c>
      <c r="O54" s="228">
        <v>-2.85</v>
      </c>
      <c r="P54" s="229">
        <v>-7.0000000000000001E-3</v>
      </c>
      <c r="Q54" s="228">
        <v>406.05</v>
      </c>
      <c r="R54" s="228">
        <v>410.15</v>
      </c>
      <c r="S54" s="228">
        <v>-4.0999999999999996</v>
      </c>
      <c r="T54" s="229">
        <v>-0.01</v>
      </c>
      <c r="U54" s="228">
        <v>406.5</v>
      </c>
      <c r="V54" s="228">
        <v>412.7</v>
      </c>
      <c r="W54" s="228">
        <v>-6.2</v>
      </c>
      <c r="X54" s="229">
        <v>-1.4999999999999999E-2</v>
      </c>
      <c r="Y54" s="228">
        <v>2.7</v>
      </c>
      <c r="Z54" s="228">
        <v>2.2999999999999998</v>
      </c>
      <c r="AA54" s="228">
        <v>0.4</v>
      </c>
      <c r="AB54" s="229">
        <v>6.7000000000000002E-3</v>
      </c>
      <c r="AC54" s="228">
        <v>2.7</v>
      </c>
      <c r="AD54" s="228">
        <v>2.2999999999999998</v>
      </c>
      <c r="AE54" s="228">
        <v>0.4</v>
      </c>
      <c r="AF54" s="229">
        <v>6.7000000000000002E-3</v>
      </c>
      <c r="AG54" s="228">
        <v>5.45</v>
      </c>
      <c r="AH54" s="228">
        <v>6.3</v>
      </c>
      <c r="AI54" s="228">
        <v>-0.85</v>
      </c>
      <c r="AJ54" s="229">
        <v>1.3599999999999999E-2</v>
      </c>
      <c r="AK54" s="228">
        <v>5.9</v>
      </c>
      <c r="AL54" s="228">
        <v>8.85</v>
      </c>
      <c r="AM54" s="228">
        <v>-2.95</v>
      </c>
      <c r="AN54" s="229">
        <v>1.47E-2</v>
      </c>
      <c r="AO54" s="228">
        <v>403.02</v>
      </c>
      <c r="AP54" s="228">
        <v>406.03</v>
      </c>
      <c r="AQ54" s="228">
        <v>0</v>
      </c>
      <c r="AR54" s="230">
        <v>1301025</v>
      </c>
      <c r="AS54" s="230">
        <v>2033500</v>
      </c>
      <c r="AT54" s="230">
        <v>-732475</v>
      </c>
      <c r="AU54" s="229">
        <v>-0.36020000000000002</v>
      </c>
      <c r="AV54" s="230">
        <v>1234625</v>
      </c>
      <c r="AW54" s="230">
        <v>1998225</v>
      </c>
      <c r="AX54" s="230">
        <v>-763600</v>
      </c>
      <c r="AY54" s="229">
        <v>-0.3821</v>
      </c>
      <c r="AZ54" s="230">
        <v>56025</v>
      </c>
      <c r="BA54" s="230">
        <v>31125</v>
      </c>
      <c r="BB54" s="230">
        <v>24900</v>
      </c>
      <c r="BC54" s="229">
        <v>0.8</v>
      </c>
      <c r="BD54" s="230">
        <v>10375</v>
      </c>
      <c r="BE54" s="230">
        <v>4150</v>
      </c>
      <c r="BF54" s="230">
        <v>6225</v>
      </c>
      <c r="BG54" s="229">
        <v>1.5</v>
      </c>
      <c r="BH54" s="230">
        <v>2255525</v>
      </c>
      <c r="BI54" s="230">
        <v>3998525</v>
      </c>
      <c r="BJ54" s="230">
        <v>-1743000</v>
      </c>
      <c r="BK54" s="229">
        <v>-0.43590000000000001</v>
      </c>
      <c r="BL54" s="230">
        <v>917150</v>
      </c>
      <c r="BM54" s="230">
        <v>2214025</v>
      </c>
      <c r="BN54" s="230">
        <v>-1296875</v>
      </c>
      <c r="BO54" s="229">
        <v>-0.58579999999999999</v>
      </c>
      <c r="BP54" s="230">
        <v>4473700</v>
      </c>
      <c r="BQ54" s="230">
        <v>8246050</v>
      </c>
      <c r="BR54" s="230">
        <v>-3772350</v>
      </c>
      <c r="BS54" s="229">
        <v>-0.45750000000000002</v>
      </c>
      <c r="BT54" s="230">
        <v>827547</v>
      </c>
      <c r="BU54" s="230">
        <v>1226601</v>
      </c>
      <c r="BV54" s="230">
        <v>-399054</v>
      </c>
      <c r="BW54" s="229">
        <v>-0.32529999999999998</v>
      </c>
      <c r="BX54" s="230">
        <v>17073100</v>
      </c>
      <c r="BY54" s="230">
        <v>16992175</v>
      </c>
      <c r="BZ54" s="230">
        <v>80925</v>
      </c>
      <c r="CA54" s="229">
        <v>4.7999999999999996E-3</v>
      </c>
      <c r="CB54" s="230">
        <v>16824100</v>
      </c>
      <c r="CC54" s="230">
        <v>16776375</v>
      </c>
      <c r="CD54" s="230">
        <v>47725</v>
      </c>
      <c r="CE54" s="229">
        <v>2.8E-3</v>
      </c>
      <c r="CF54" s="230">
        <v>236550</v>
      </c>
      <c r="CG54" s="230">
        <v>211650</v>
      </c>
      <c r="CH54" s="230">
        <v>24900</v>
      </c>
      <c r="CI54" s="229">
        <v>0.1176</v>
      </c>
      <c r="CJ54" s="230">
        <v>12450</v>
      </c>
      <c r="CK54" s="230">
        <v>4150</v>
      </c>
      <c r="CL54" s="230">
        <v>8300</v>
      </c>
      <c r="CM54" s="229">
        <v>2</v>
      </c>
      <c r="CN54" s="230">
        <v>3160225</v>
      </c>
      <c r="CO54" s="230">
        <v>2797100</v>
      </c>
      <c r="CP54" s="230">
        <v>363125</v>
      </c>
      <c r="CQ54" s="229">
        <v>0.1298</v>
      </c>
      <c r="CR54" s="230">
        <v>2846900</v>
      </c>
      <c r="CS54" s="230">
        <v>2695425</v>
      </c>
      <c r="CT54" s="230">
        <v>151475</v>
      </c>
      <c r="CU54" s="229">
        <v>5.62E-2</v>
      </c>
      <c r="CV54" s="230">
        <v>23080225</v>
      </c>
      <c r="CW54" s="230">
        <v>22484700</v>
      </c>
      <c r="CX54" s="230">
        <v>595525</v>
      </c>
      <c r="CY54" s="229">
        <v>2.6499999999999999E-2</v>
      </c>
      <c r="CZ54" s="228">
        <v>26.25</v>
      </c>
      <c r="DA54" s="228">
        <v>26.53</v>
      </c>
      <c r="DB54" s="228">
        <v>-0.28000000000000003</v>
      </c>
      <c r="DC54" s="228">
        <v>-0.28000000000000003</v>
      </c>
      <c r="DD54" s="228">
        <v>40.14</v>
      </c>
      <c r="DE54" s="228">
        <v>40.229999999999997</v>
      </c>
      <c r="DF54" s="228">
        <v>-13.89</v>
      </c>
      <c r="DG54" s="228">
        <v>-0.09</v>
      </c>
      <c r="DH54" s="228">
        <v>26.15</v>
      </c>
      <c r="DI54" s="228">
        <v>26.5</v>
      </c>
      <c r="DJ54" s="228">
        <v>-0.35</v>
      </c>
      <c r="DK54" s="228">
        <v>-0.35</v>
      </c>
      <c r="DL54" s="228">
        <v>26.5</v>
      </c>
      <c r="DM54" s="228">
        <v>26.59</v>
      </c>
      <c r="DN54" s="228">
        <v>-0.09</v>
      </c>
      <c r="DO54" s="228">
        <v>-0.09</v>
      </c>
      <c r="DP54" s="228">
        <v>0.9</v>
      </c>
      <c r="DQ54" s="228">
        <v>0.96</v>
      </c>
      <c r="DR54" s="228">
        <v>-0.06</v>
      </c>
      <c r="DS54" s="229">
        <v>-6.25E-2</v>
      </c>
      <c r="DT54" s="228">
        <v>410</v>
      </c>
      <c r="DU54" s="228">
        <v>400</v>
      </c>
      <c r="DV54" s="228">
        <v>0.41</v>
      </c>
      <c r="DW54" s="228">
        <v>0.55000000000000004</v>
      </c>
      <c r="DX54" s="228">
        <v>-0.14000000000000001</v>
      </c>
      <c r="DY54" s="229">
        <v>-0.2545</v>
      </c>
      <c r="DZ54" s="229">
        <v>1.46E-2</v>
      </c>
      <c r="EA54" s="230">
        <v>215800</v>
      </c>
      <c r="EB54" s="229">
        <v>6.7999999999999996E-3</v>
      </c>
      <c r="EC54" s="229">
        <v>1.46E-2</v>
      </c>
      <c r="ED54" s="228">
        <v>3.01</v>
      </c>
      <c r="EE54" s="229">
        <v>7.4999999999999997E-3</v>
      </c>
      <c r="EF54" s="230">
        <v>436504</v>
      </c>
      <c r="EG54" s="230">
        <v>729282</v>
      </c>
      <c r="EH54" s="229">
        <v>-0.40150000000000002</v>
      </c>
      <c r="EI54" s="229">
        <v>0.52749999999999997</v>
      </c>
      <c r="EJ54" s="231">
        <v>9524.52</v>
      </c>
      <c r="EK54" s="231">
        <v>3639.99</v>
      </c>
      <c r="EL54" s="231">
        <v>5245.52</v>
      </c>
      <c r="EM54" s="231">
        <v>3969</v>
      </c>
      <c r="EN54" s="231">
        <v>18410.03</v>
      </c>
      <c r="EO54" s="231">
        <v>34238.410000000003</v>
      </c>
      <c r="EP54" s="231">
        <v>-15828.38</v>
      </c>
      <c r="EQ54" s="229">
        <v>-0.46229999999999999</v>
      </c>
      <c r="ER54" s="231">
        <v>13396</v>
      </c>
      <c r="ES54" s="231">
        <v>11398</v>
      </c>
      <c r="ET54" s="231">
        <v>68863</v>
      </c>
      <c r="EU54" s="231">
        <v>112112283</v>
      </c>
      <c r="EV54" s="231">
        <v>93657</v>
      </c>
      <c r="EW54" s="231">
        <v>91731</v>
      </c>
      <c r="EX54" s="231">
        <v>1926</v>
      </c>
      <c r="EY54" s="229">
        <v>2.1000000000000001E-2</v>
      </c>
      <c r="EZ54" s="229">
        <v>0.2059</v>
      </c>
      <c r="FA54" s="227" t="s">
        <v>567</v>
      </c>
      <c r="FB54" s="161">
        <f t="shared" si="0"/>
        <v>249000</v>
      </c>
    </row>
    <row r="55" spans="1:158" ht="17.25" hidden="1" thickBot="1" x14ac:dyDescent="0.3">
      <c r="A55" s="226">
        <v>46023</v>
      </c>
      <c r="B55" s="227" t="s">
        <v>170</v>
      </c>
      <c r="C55" s="227" t="s">
        <v>205</v>
      </c>
      <c r="D55" s="228">
        <v>100</v>
      </c>
      <c r="E55" s="231">
        <v>6385</v>
      </c>
      <c r="F55" s="231">
        <v>6428</v>
      </c>
      <c r="G55" s="228">
        <v>-43</v>
      </c>
      <c r="H55" s="229">
        <v>-6.7000000000000002E-3</v>
      </c>
      <c r="I55" s="231">
        <v>6344</v>
      </c>
      <c r="J55" s="231">
        <v>6392.5</v>
      </c>
      <c r="K55" s="228">
        <v>-48.5</v>
      </c>
      <c r="L55" s="229">
        <v>-7.6E-3</v>
      </c>
      <c r="M55" s="231">
        <v>6385</v>
      </c>
      <c r="N55" s="231">
        <v>6428</v>
      </c>
      <c r="O55" s="228">
        <v>-43</v>
      </c>
      <c r="P55" s="229">
        <v>-6.7000000000000002E-3</v>
      </c>
      <c r="Q55" s="231">
        <v>6423</v>
      </c>
      <c r="R55" s="231">
        <v>6469</v>
      </c>
      <c r="S55" s="228">
        <v>-46</v>
      </c>
      <c r="T55" s="229">
        <v>-7.1000000000000004E-3</v>
      </c>
      <c r="U55" s="231">
        <v>6447.5</v>
      </c>
      <c r="V55" s="231">
        <v>6501</v>
      </c>
      <c r="W55" s="228">
        <v>-53.5</v>
      </c>
      <c r="X55" s="229">
        <v>-8.2000000000000007E-3</v>
      </c>
      <c r="Y55" s="228">
        <v>41</v>
      </c>
      <c r="Z55" s="228">
        <v>35.5</v>
      </c>
      <c r="AA55" s="228">
        <v>5.5</v>
      </c>
      <c r="AB55" s="229">
        <v>6.4999999999999997E-3</v>
      </c>
      <c r="AC55" s="228">
        <v>41</v>
      </c>
      <c r="AD55" s="228">
        <v>35.5</v>
      </c>
      <c r="AE55" s="228">
        <v>5.5</v>
      </c>
      <c r="AF55" s="229">
        <v>6.4999999999999997E-3</v>
      </c>
      <c r="AG55" s="228">
        <v>79</v>
      </c>
      <c r="AH55" s="228">
        <v>76.5</v>
      </c>
      <c r="AI55" s="228">
        <v>2.5</v>
      </c>
      <c r="AJ55" s="229">
        <v>1.2500000000000001E-2</v>
      </c>
      <c r="AK55" s="228">
        <v>103.5</v>
      </c>
      <c r="AL55" s="228">
        <v>108.5</v>
      </c>
      <c r="AM55" s="228">
        <v>-5</v>
      </c>
      <c r="AN55" s="229">
        <v>1.6299999999999999E-2</v>
      </c>
      <c r="AO55" s="231">
        <v>6378.34</v>
      </c>
      <c r="AP55" s="231">
        <v>6413.95</v>
      </c>
      <c r="AQ55" s="228">
        <v>0</v>
      </c>
      <c r="AR55" s="230">
        <v>180300</v>
      </c>
      <c r="AS55" s="230">
        <v>343500</v>
      </c>
      <c r="AT55" s="230">
        <v>-163200</v>
      </c>
      <c r="AU55" s="229">
        <v>-0.47510000000000002</v>
      </c>
      <c r="AV55" s="230">
        <v>171600</v>
      </c>
      <c r="AW55" s="230">
        <v>335700</v>
      </c>
      <c r="AX55" s="230">
        <v>-164100</v>
      </c>
      <c r="AY55" s="229">
        <v>-0.48880000000000001</v>
      </c>
      <c r="AZ55" s="230">
        <v>8100</v>
      </c>
      <c r="BA55" s="230">
        <v>7200</v>
      </c>
      <c r="BB55" s="228">
        <v>900</v>
      </c>
      <c r="BC55" s="229">
        <v>0.125</v>
      </c>
      <c r="BD55" s="228">
        <v>600</v>
      </c>
      <c r="BE55" s="228">
        <v>600</v>
      </c>
      <c r="BF55" s="228">
        <v>0</v>
      </c>
      <c r="BG55" s="229">
        <v>0</v>
      </c>
      <c r="BH55" s="230">
        <v>574400</v>
      </c>
      <c r="BI55" s="230">
        <v>847800</v>
      </c>
      <c r="BJ55" s="230">
        <v>-273400</v>
      </c>
      <c r="BK55" s="229">
        <v>-0.32250000000000001</v>
      </c>
      <c r="BL55" s="230">
        <v>283000</v>
      </c>
      <c r="BM55" s="230">
        <v>490600</v>
      </c>
      <c r="BN55" s="230">
        <v>-207600</v>
      </c>
      <c r="BO55" s="229">
        <v>-0.42320000000000002</v>
      </c>
      <c r="BP55" s="230">
        <v>1037700</v>
      </c>
      <c r="BQ55" s="230">
        <v>1681900</v>
      </c>
      <c r="BR55" s="230">
        <v>-644200</v>
      </c>
      <c r="BS55" s="229">
        <v>-0.38300000000000001</v>
      </c>
      <c r="BT55" s="230">
        <v>149518</v>
      </c>
      <c r="BU55" s="230">
        <v>277048</v>
      </c>
      <c r="BV55" s="230">
        <v>-127530</v>
      </c>
      <c r="BW55" s="229">
        <v>-0.46029999999999999</v>
      </c>
      <c r="BX55" s="230">
        <v>3366600</v>
      </c>
      <c r="BY55" s="230">
        <v>3313600</v>
      </c>
      <c r="BZ55" s="230">
        <v>53000</v>
      </c>
      <c r="CA55" s="229">
        <v>1.6E-2</v>
      </c>
      <c r="CB55" s="230">
        <v>3336000</v>
      </c>
      <c r="CC55" s="230">
        <v>3286100</v>
      </c>
      <c r="CD55" s="230">
        <v>49900</v>
      </c>
      <c r="CE55" s="229">
        <v>1.52E-2</v>
      </c>
      <c r="CF55" s="230">
        <v>29500</v>
      </c>
      <c r="CG55" s="230">
        <v>26900</v>
      </c>
      <c r="CH55" s="230">
        <v>2600</v>
      </c>
      <c r="CI55" s="229">
        <v>9.6699999999999994E-2</v>
      </c>
      <c r="CJ55" s="230">
        <v>1100</v>
      </c>
      <c r="CK55" s="228">
        <v>600</v>
      </c>
      <c r="CL55" s="228">
        <v>500</v>
      </c>
      <c r="CM55" s="229">
        <v>0.83330000000000004</v>
      </c>
      <c r="CN55" s="230">
        <v>546900</v>
      </c>
      <c r="CO55" s="230">
        <v>446200</v>
      </c>
      <c r="CP55" s="230">
        <v>100700</v>
      </c>
      <c r="CQ55" s="229">
        <v>0.22570000000000001</v>
      </c>
      <c r="CR55" s="230">
        <v>309600</v>
      </c>
      <c r="CS55" s="230">
        <v>285600</v>
      </c>
      <c r="CT55" s="230">
        <v>24000</v>
      </c>
      <c r="CU55" s="229">
        <v>8.4000000000000005E-2</v>
      </c>
      <c r="CV55" s="230">
        <v>4223100</v>
      </c>
      <c r="CW55" s="230">
        <v>4045400</v>
      </c>
      <c r="CX55" s="230">
        <v>177700</v>
      </c>
      <c r="CY55" s="229">
        <v>4.3900000000000002E-2</v>
      </c>
      <c r="CZ55" s="228">
        <v>20.81</v>
      </c>
      <c r="DA55" s="228">
        <v>20.85</v>
      </c>
      <c r="DB55" s="228">
        <v>-0.04</v>
      </c>
      <c r="DC55" s="228">
        <v>-0.04</v>
      </c>
      <c r="DD55" s="228">
        <v>29.86</v>
      </c>
      <c r="DE55" s="228">
        <v>29.92</v>
      </c>
      <c r="DF55" s="228">
        <v>-9.0500000000000007</v>
      </c>
      <c r="DG55" s="228">
        <v>-0.06</v>
      </c>
      <c r="DH55" s="228">
        <v>20.74</v>
      </c>
      <c r="DI55" s="228">
        <v>20.8</v>
      </c>
      <c r="DJ55" s="228">
        <v>-0.06</v>
      </c>
      <c r="DK55" s="228">
        <v>-0.06</v>
      </c>
      <c r="DL55" s="228">
        <v>20.95</v>
      </c>
      <c r="DM55" s="228">
        <v>20.93</v>
      </c>
      <c r="DN55" s="228">
        <v>0.02</v>
      </c>
      <c r="DO55" s="228">
        <v>0.02</v>
      </c>
      <c r="DP55" s="228">
        <v>0.56999999999999995</v>
      </c>
      <c r="DQ55" s="228">
        <v>0.64</v>
      </c>
      <c r="DR55" s="228">
        <v>-7.0000000000000007E-2</v>
      </c>
      <c r="DS55" s="229">
        <v>-0.1094</v>
      </c>
      <c r="DT55" s="231">
        <v>6500</v>
      </c>
      <c r="DU55" s="231">
        <v>6300</v>
      </c>
      <c r="DV55" s="228">
        <v>0.49</v>
      </c>
      <c r="DW55" s="228">
        <v>0.57999999999999996</v>
      </c>
      <c r="DX55" s="228">
        <v>-0.09</v>
      </c>
      <c r="DY55" s="229">
        <v>-0.1552</v>
      </c>
      <c r="DZ55" s="229">
        <v>9.1000000000000004E-3</v>
      </c>
      <c r="EA55" s="230">
        <v>27500</v>
      </c>
      <c r="EB55" s="229">
        <v>6.0000000000000001E-3</v>
      </c>
      <c r="EC55" s="229">
        <v>9.1000000000000004E-3</v>
      </c>
      <c r="ED55" s="228">
        <v>35.61</v>
      </c>
      <c r="EE55" s="229">
        <v>5.5999999999999999E-3</v>
      </c>
      <c r="EF55" s="230">
        <v>86174</v>
      </c>
      <c r="EG55" s="230">
        <v>152123</v>
      </c>
      <c r="EH55" s="229">
        <v>-0.4335</v>
      </c>
      <c r="EI55" s="229">
        <v>0.57630000000000003</v>
      </c>
      <c r="EJ55" s="231">
        <v>38403.589999999997</v>
      </c>
      <c r="EK55" s="231">
        <v>17692.87</v>
      </c>
      <c r="EL55" s="231">
        <v>11503.46</v>
      </c>
      <c r="EM55" s="231">
        <v>14890</v>
      </c>
      <c r="EN55" s="231">
        <v>67599.92</v>
      </c>
      <c r="EO55" s="231">
        <v>109347.68</v>
      </c>
      <c r="EP55" s="231">
        <v>-41747.760000000002</v>
      </c>
      <c r="EQ55" s="229">
        <v>-0.38179999999999997</v>
      </c>
      <c r="ER55" s="231">
        <v>36074</v>
      </c>
      <c r="ES55" s="231">
        <v>19369</v>
      </c>
      <c r="ET55" s="231">
        <v>214969</v>
      </c>
      <c r="EU55" s="231">
        <v>14898112</v>
      </c>
      <c r="EV55" s="231">
        <v>270412</v>
      </c>
      <c r="EW55" s="231">
        <v>260306</v>
      </c>
      <c r="EX55" s="231">
        <v>10106</v>
      </c>
      <c r="EY55" s="229">
        <v>3.8800000000000001E-2</v>
      </c>
      <c r="EZ55" s="229">
        <v>0.28349999999999997</v>
      </c>
      <c r="FA55" s="227" t="s">
        <v>567</v>
      </c>
      <c r="FB55" s="161">
        <f t="shared" si="0"/>
        <v>30600</v>
      </c>
    </row>
    <row r="56" spans="1:158" ht="17.25" hidden="1" thickBot="1" x14ac:dyDescent="0.3">
      <c r="A56" s="226">
        <v>46023</v>
      </c>
      <c r="B56" s="227" t="s">
        <v>184</v>
      </c>
      <c r="C56" s="227" t="s">
        <v>512</v>
      </c>
      <c r="D56" s="228">
        <v>50</v>
      </c>
      <c r="E56" s="231">
        <v>12184</v>
      </c>
      <c r="F56" s="231">
        <v>12150</v>
      </c>
      <c r="G56" s="228">
        <v>34</v>
      </c>
      <c r="H56" s="229">
        <v>2.8E-3</v>
      </c>
      <c r="I56" s="231">
        <v>12091</v>
      </c>
      <c r="J56" s="231">
        <v>12102</v>
      </c>
      <c r="K56" s="228">
        <v>-11</v>
      </c>
      <c r="L56" s="229">
        <v>-8.9999999999999998E-4</v>
      </c>
      <c r="M56" s="231">
        <v>12184</v>
      </c>
      <c r="N56" s="231">
        <v>12150</v>
      </c>
      <c r="O56" s="228">
        <v>34</v>
      </c>
      <c r="P56" s="229">
        <v>2.8E-3</v>
      </c>
      <c r="Q56" s="231">
        <v>12272</v>
      </c>
      <c r="R56" s="231">
        <v>12221</v>
      </c>
      <c r="S56" s="228">
        <v>51</v>
      </c>
      <c r="T56" s="229">
        <v>4.1999999999999997E-3</v>
      </c>
      <c r="U56" s="231">
        <v>12334</v>
      </c>
      <c r="V56" s="231">
        <v>12307</v>
      </c>
      <c r="W56" s="228">
        <v>27</v>
      </c>
      <c r="X56" s="229">
        <v>2.2000000000000001E-3</v>
      </c>
      <c r="Y56" s="228">
        <v>93</v>
      </c>
      <c r="Z56" s="228">
        <v>48</v>
      </c>
      <c r="AA56" s="228">
        <v>45</v>
      </c>
      <c r="AB56" s="229">
        <v>7.7000000000000002E-3</v>
      </c>
      <c r="AC56" s="228">
        <v>93</v>
      </c>
      <c r="AD56" s="228">
        <v>48</v>
      </c>
      <c r="AE56" s="228">
        <v>45</v>
      </c>
      <c r="AF56" s="229">
        <v>7.7000000000000002E-3</v>
      </c>
      <c r="AG56" s="228">
        <v>181</v>
      </c>
      <c r="AH56" s="228">
        <v>119</v>
      </c>
      <c r="AI56" s="228">
        <v>62</v>
      </c>
      <c r="AJ56" s="229">
        <v>1.4999999999999999E-2</v>
      </c>
      <c r="AK56" s="228">
        <v>243</v>
      </c>
      <c r="AL56" s="228">
        <v>205</v>
      </c>
      <c r="AM56" s="228">
        <v>38</v>
      </c>
      <c r="AN56" s="229">
        <v>2.01E-2</v>
      </c>
      <c r="AO56" s="231">
        <v>12064.94</v>
      </c>
      <c r="AP56" s="231">
        <v>12119.18</v>
      </c>
      <c r="AQ56" s="228">
        <v>0</v>
      </c>
      <c r="AR56" s="230">
        <v>946100</v>
      </c>
      <c r="AS56" s="230">
        <v>1119400</v>
      </c>
      <c r="AT56" s="230">
        <v>-173300</v>
      </c>
      <c r="AU56" s="229">
        <v>-0.15479999999999999</v>
      </c>
      <c r="AV56" s="230">
        <v>887850</v>
      </c>
      <c r="AW56" s="230">
        <v>1046150</v>
      </c>
      <c r="AX56" s="230">
        <v>-158300</v>
      </c>
      <c r="AY56" s="229">
        <v>-0.15129999999999999</v>
      </c>
      <c r="AZ56" s="230">
        <v>44850</v>
      </c>
      <c r="BA56" s="230">
        <v>64700</v>
      </c>
      <c r="BB56" s="230">
        <v>-19850</v>
      </c>
      <c r="BC56" s="229">
        <v>-0.30680000000000002</v>
      </c>
      <c r="BD56" s="230">
        <v>13400</v>
      </c>
      <c r="BE56" s="230">
        <v>8550</v>
      </c>
      <c r="BF56" s="230">
        <v>4850</v>
      </c>
      <c r="BG56" s="229">
        <v>0.56730000000000003</v>
      </c>
      <c r="BH56" s="230">
        <v>3781400</v>
      </c>
      <c r="BI56" s="230">
        <v>5271650</v>
      </c>
      <c r="BJ56" s="230">
        <v>-1490250</v>
      </c>
      <c r="BK56" s="229">
        <v>-0.28270000000000001</v>
      </c>
      <c r="BL56" s="230">
        <v>2324900</v>
      </c>
      <c r="BM56" s="230">
        <v>3231500</v>
      </c>
      <c r="BN56" s="230">
        <v>-906600</v>
      </c>
      <c r="BO56" s="229">
        <v>-0.28060000000000002</v>
      </c>
      <c r="BP56" s="230">
        <v>7052400</v>
      </c>
      <c r="BQ56" s="230">
        <v>9622550</v>
      </c>
      <c r="BR56" s="230">
        <v>-2570150</v>
      </c>
      <c r="BS56" s="229">
        <v>-0.2671</v>
      </c>
      <c r="BT56" s="230">
        <v>740780</v>
      </c>
      <c r="BU56" s="230">
        <v>1022066</v>
      </c>
      <c r="BV56" s="230">
        <v>-281286</v>
      </c>
      <c r="BW56" s="229">
        <v>-0.2752</v>
      </c>
      <c r="BX56" s="230">
        <v>2831300</v>
      </c>
      <c r="BY56" s="230">
        <v>2806450</v>
      </c>
      <c r="BZ56" s="230">
        <v>24850</v>
      </c>
      <c r="CA56" s="229">
        <v>8.8999999999999999E-3</v>
      </c>
      <c r="CB56" s="230">
        <v>2667900</v>
      </c>
      <c r="CC56" s="230">
        <v>2650400</v>
      </c>
      <c r="CD56" s="230">
        <v>17500</v>
      </c>
      <c r="CE56" s="229">
        <v>6.6E-3</v>
      </c>
      <c r="CF56" s="230">
        <v>155500</v>
      </c>
      <c r="CG56" s="230">
        <v>151100</v>
      </c>
      <c r="CH56" s="230">
        <v>4400</v>
      </c>
      <c r="CI56" s="229">
        <v>2.9100000000000001E-2</v>
      </c>
      <c r="CJ56" s="230">
        <v>7900</v>
      </c>
      <c r="CK56" s="230">
        <v>4950</v>
      </c>
      <c r="CL56" s="230">
        <v>2950</v>
      </c>
      <c r="CM56" s="229">
        <v>0.59599999999999997</v>
      </c>
      <c r="CN56" s="230">
        <v>2260850</v>
      </c>
      <c r="CO56" s="230">
        <v>2226200</v>
      </c>
      <c r="CP56" s="230">
        <v>34650</v>
      </c>
      <c r="CQ56" s="229">
        <v>1.5599999999999999E-2</v>
      </c>
      <c r="CR56" s="230">
        <v>1471800</v>
      </c>
      <c r="CS56" s="230">
        <v>1395800</v>
      </c>
      <c r="CT56" s="230">
        <v>76000</v>
      </c>
      <c r="CU56" s="229">
        <v>5.4399999999999997E-2</v>
      </c>
      <c r="CV56" s="230">
        <v>6563950</v>
      </c>
      <c r="CW56" s="230">
        <v>6428450</v>
      </c>
      <c r="CX56" s="230">
        <v>135500</v>
      </c>
      <c r="CY56" s="229">
        <v>2.1100000000000001E-2</v>
      </c>
      <c r="CZ56" s="228">
        <v>41.83</v>
      </c>
      <c r="DA56" s="228">
        <v>42.38</v>
      </c>
      <c r="DB56" s="228">
        <v>-0.55000000000000004</v>
      </c>
      <c r="DC56" s="228">
        <v>-0.55000000000000004</v>
      </c>
      <c r="DD56" s="228">
        <v>44.71</v>
      </c>
      <c r="DE56" s="228">
        <v>44.82</v>
      </c>
      <c r="DF56" s="228">
        <v>-2.88</v>
      </c>
      <c r="DG56" s="228">
        <v>-0.11</v>
      </c>
      <c r="DH56" s="228">
        <v>41.02</v>
      </c>
      <c r="DI56" s="228">
        <v>41.07</v>
      </c>
      <c r="DJ56" s="228">
        <v>-0.05</v>
      </c>
      <c r="DK56" s="228">
        <v>-0.05</v>
      </c>
      <c r="DL56" s="228">
        <v>43.14</v>
      </c>
      <c r="DM56" s="228">
        <v>44.51</v>
      </c>
      <c r="DN56" s="228">
        <v>-1.37</v>
      </c>
      <c r="DO56" s="228">
        <v>-1.37</v>
      </c>
      <c r="DP56" s="228">
        <v>0.65</v>
      </c>
      <c r="DQ56" s="228">
        <v>0.63</v>
      </c>
      <c r="DR56" s="228">
        <v>0.02</v>
      </c>
      <c r="DS56" s="229">
        <v>3.1699999999999999E-2</v>
      </c>
      <c r="DT56" s="231">
        <v>13000</v>
      </c>
      <c r="DU56" s="231">
        <v>10000</v>
      </c>
      <c r="DV56" s="228">
        <v>0.61</v>
      </c>
      <c r="DW56" s="228">
        <v>0.61</v>
      </c>
      <c r="DX56" s="228">
        <v>0</v>
      </c>
      <c r="DY56" s="229">
        <v>0</v>
      </c>
      <c r="DZ56" s="229">
        <v>5.7700000000000001E-2</v>
      </c>
      <c r="EA56" s="230">
        <v>156050</v>
      </c>
      <c r="EB56" s="229">
        <v>7.1999999999999998E-3</v>
      </c>
      <c r="EC56" s="229">
        <v>5.7700000000000001E-2</v>
      </c>
      <c r="ED56" s="228">
        <v>54.24</v>
      </c>
      <c r="EE56" s="229">
        <v>4.4999999999999997E-3</v>
      </c>
      <c r="EF56" s="230">
        <v>245908</v>
      </c>
      <c r="EG56" s="230">
        <v>383699</v>
      </c>
      <c r="EH56" s="229">
        <v>-0.35909999999999997</v>
      </c>
      <c r="EI56" s="229">
        <v>0.33200000000000002</v>
      </c>
      <c r="EJ56" s="231">
        <v>499621.14</v>
      </c>
      <c r="EK56" s="231">
        <v>269741.44</v>
      </c>
      <c r="EL56" s="231">
        <v>114193.77</v>
      </c>
      <c r="EM56" s="231">
        <v>46028</v>
      </c>
      <c r="EN56" s="231">
        <v>883556.35</v>
      </c>
      <c r="EO56" s="231">
        <v>1203976.1599999999</v>
      </c>
      <c r="EP56" s="231">
        <v>-320419.81</v>
      </c>
      <c r="EQ56" s="229">
        <v>-0.2661</v>
      </c>
      <c r="ER56" s="231">
        <v>306825</v>
      </c>
      <c r="ES56" s="231">
        <v>169758</v>
      </c>
      <c r="ET56" s="231">
        <v>345114</v>
      </c>
      <c r="EU56" s="231">
        <v>6452220</v>
      </c>
      <c r="EV56" s="231">
        <v>821698</v>
      </c>
      <c r="EW56" s="231">
        <v>804708</v>
      </c>
      <c r="EX56" s="231">
        <v>16990</v>
      </c>
      <c r="EY56" s="229">
        <v>2.1100000000000001E-2</v>
      </c>
      <c r="EZ56" s="229">
        <v>1.0173000000000001</v>
      </c>
      <c r="FA56" s="227" t="s">
        <v>555</v>
      </c>
      <c r="FB56" s="161">
        <f t="shared" si="0"/>
        <v>163400</v>
      </c>
    </row>
    <row r="57" spans="1:158" ht="17.25" hidden="1" thickBot="1" x14ac:dyDescent="0.3">
      <c r="A57" s="226">
        <v>46023</v>
      </c>
      <c r="B57" s="227" t="s">
        <v>206</v>
      </c>
      <c r="C57" s="227" t="s">
        <v>207</v>
      </c>
      <c r="D57" s="228">
        <v>825</v>
      </c>
      <c r="E57" s="228">
        <v>695.45</v>
      </c>
      <c r="F57" s="228">
        <v>691.8</v>
      </c>
      <c r="G57" s="228">
        <v>3.65</v>
      </c>
      <c r="H57" s="229">
        <v>5.3E-3</v>
      </c>
      <c r="I57" s="228">
        <v>691.4</v>
      </c>
      <c r="J57" s="228">
        <v>687.4</v>
      </c>
      <c r="K57" s="228">
        <v>4</v>
      </c>
      <c r="L57" s="229">
        <v>5.7999999999999996E-3</v>
      </c>
      <c r="M57" s="228">
        <v>695.45</v>
      </c>
      <c r="N57" s="228">
        <v>691.8</v>
      </c>
      <c r="O57" s="228">
        <v>3.65</v>
      </c>
      <c r="P57" s="229">
        <v>5.3E-3</v>
      </c>
      <c r="Q57" s="228">
        <v>699.95</v>
      </c>
      <c r="R57" s="228">
        <v>695.6</v>
      </c>
      <c r="S57" s="228">
        <v>4.3499999999999996</v>
      </c>
      <c r="T57" s="229">
        <v>6.3E-3</v>
      </c>
      <c r="U57" s="228">
        <v>703.65</v>
      </c>
      <c r="V57" s="228">
        <v>700.25</v>
      </c>
      <c r="W57" s="228">
        <v>3.4</v>
      </c>
      <c r="X57" s="229">
        <v>4.8999999999999998E-3</v>
      </c>
      <c r="Y57" s="228">
        <v>4.05</v>
      </c>
      <c r="Z57" s="228">
        <v>4.4000000000000004</v>
      </c>
      <c r="AA57" s="228">
        <v>-0.35</v>
      </c>
      <c r="AB57" s="229">
        <v>5.8999999999999999E-3</v>
      </c>
      <c r="AC57" s="228">
        <v>4.05</v>
      </c>
      <c r="AD57" s="228">
        <v>4.4000000000000004</v>
      </c>
      <c r="AE57" s="228">
        <v>-0.35</v>
      </c>
      <c r="AF57" s="229">
        <v>5.8999999999999999E-3</v>
      </c>
      <c r="AG57" s="228">
        <v>8.5500000000000007</v>
      </c>
      <c r="AH57" s="228">
        <v>8.1999999999999993</v>
      </c>
      <c r="AI57" s="228">
        <v>0.35</v>
      </c>
      <c r="AJ57" s="229">
        <v>1.24E-2</v>
      </c>
      <c r="AK57" s="228">
        <v>12.25</v>
      </c>
      <c r="AL57" s="228">
        <v>12.85</v>
      </c>
      <c r="AM57" s="228">
        <v>-0.6</v>
      </c>
      <c r="AN57" s="229">
        <v>1.77E-2</v>
      </c>
      <c r="AO57" s="228">
        <v>691.15</v>
      </c>
      <c r="AP57" s="228">
        <v>695.74</v>
      </c>
      <c r="AQ57" s="228">
        <v>0</v>
      </c>
      <c r="AR57" s="230">
        <v>3834600</v>
      </c>
      <c r="AS57" s="230">
        <v>4655475</v>
      </c>
      <c r="AT57" s="230">
        <v>-820875</v>
      </c>
      <c r="AU57" s="229">
        <v>-0.17630000000000001</v>
      </c>
      <c r="AV57" s="230">
        <v>3693525</v>
      </c>
      <c r="AW57" s="230">
        <v>4462425</v>
      </c>
      <c r="AX57" s="230">
        <v>-768900</v>
      </c>
      <c r="AY57" s="229">
        <v>-0.17230000000000001</v>
      </c>
      <c r="AZ57" s="230">
        <v>126225</v>
      </c>
      <c r="BA57" s="230">
        <v>172425</v>
      </c>
      <c r="BB57" s="230">
        <v>-46200</v>
      </c>
      <c r="BC57" s="229">
        <v>-0.26790000000000003</v>
      </c>
      <c r="BD57" s="230">
        <v>14850</v>
      </c>
      <c r="BE57" s="230">
        <v>20625</v>
      </c>
      <c r="BF57" s="230">
        <v>-5775</v>
      </c>
      <c r="BG57" s="229">
        <v>-0.28000000000000003</v>
      </c>
      <c r="BH57" s="230">
        <v>9480900</v>
      </c>
      <c r="BI57" s="230">
        <v>10628475</v>
      </c>
      <c r="BJ57" s="230">
        <v>-1147575</v>
      </c>
      <c r="BK57" s="229">
        <v>-0.108</v>
      </c>
      <c r="BL57" s="230">
        <v>5355900</v>
      </c>
      <c r="BM57" s="230">
        <v>4691775</v>
      </c>
      <c r="BN57" s="230">
        <v>664125</v>
      </c>
      <c r="BO57" s="229">
        <v>0.1416</v>
      </c>
      <c r="BP57" s="230">
        <v>18671400</v>
      </c>
      <c r="BQ57" s="230">
        <v>19975725</v>
      </c>
      <c r="BR57" s="230">
        <v>-1304325</v>
      </c>
      <c r="BS57" s="229">
        <v>-6.5299999999999997E-2</v>
      </c>
      <c r="BT57" s="230">
        <v>1659897</v>
      </c>
      <c r="BU57" s="230">
        <v>1880805</v>
      </c>
      <c r="BV57" s="230">
        <v>-220908</v>
      </c>
      <c r="BW57" s="229">
        <v>-0.11749999999999999</v>
      </c>
      <c r="BX57" s="230">
        <v>48271575</v>
      </c>
      <c r="BY57" s="230">
        <v>47882175</v>
      </c>
      <c r="BZ57" s="230">
        <v>389400</v>
      </c>
      <c r="CA57" s="229">
        <v>8.0999999999999996E-3</v>
      </c>
      <c r="CB57" s="230">
        <v>47299725</v>
      </c>
      <c r="CC57" s="230">
        <v>46933425</v>
      </c>
      <c r="CD57" s="230">
        <v>366300</v>
      </c>
      <c r="CE57" s="229">
        <v>7.7999999999999996E-3</v>
      </c>
      <c r="CF57" s="230">
        <v>950400</v>
      </c>
      <c r="CG57" s="230">
        <v>937200</v>
      </c>
      <c r="CH57" s="230">
        <v>13200</v>
      </c>
      <c r="CI57" s="229">
        <v>1.41E-2</v>
      </c>
      <c r="CJ57" s="230">
        <v>21450</v>
      </c>
      <c r="CK57" s="230">
        <v>11550</v>
      </c>
      <c r="CL57" s="230">
        <v>9900</v>
      </c>
      <c r="CM57" s="229">
        <v>0.85709999999999997</v>
      </c>
      <c r="CN57" s="230">
        <v>9740775</v>
      </c>
      <c r="CO57" s="230">
        <v>9250725</v>
      </c>
      <c r="CP57" s="230">
        <v>490050</v>
      </c>
      <c r="CQ57" s="229">
        <v>5.2999999999999999E-2</v>
      </c>
      <c r="CR57" s="230">
        <v>8308575</v>
      </c>
      <c r="CS57" s="230">
        <v>8165025</v>
      </c>
      <c r="CT57" s="230">
        <v>143550</v>
      </c>
      <c r="CU57" s="229">
        <v>1.7600000000000001E-2</v>
      </c>
      <c r="CV57" s="230">
        <v>66320925</v>
      </c>
      <c r="CW57" s="230">
        <v>65297925</v>
      </c>
      <c r="CX57" s="230">
        <v>1023000</v>
      </c>
      <c r="CY57" s="229">
        <v>1.5699999999999999E-2</v>
      </c>
      <c r="CZ57" s="228">
        <v>23.38</v>
      </c>
      <c r="DA57" s="228">
        <v>23.45</v>
      </c>
      <c r="DB57" s="228">
        <v>-7.0000000000000007E-2</v>
      </c>
      <c r="DC57" s="228">
        <v>-7.0000000000000007E-2</v>
      </c>
      <c r="DD57" s="228">
        <v>34.4</v>
      </c>
      <c r="DE57" s="228">
        <v>34.479999999999997</v>
      </c>
      <c r="DF57" s="228">
        <v>-11.02</v>
      </c>
      <c r="DG57" s="228">
        <v>-0.08</v>
      </c>
      <c r="DH57" s="228">
        <v>22.99</v>
      </c>
      <c r="DI57" s="228">
        <v>23.3</v>
      </c>
      <c r="DJ57" s="228">
        <v>-0.31</v>
      </c>
      <c r="DK57" s="228">
        <v>-0.31</v>
      </c>
      <c r="DL57" s="228">
        <v>24.09</v>
      </c>
      <c r="DM57" s="228">
        <v>23.79</v>
      </c>
      <c r="DN57" s="228">
        <v>0.3</v>
      </c>
      <c r="DO57" s="228">
        <v>0.3</v>
      </c>
      <c r="DP57" s="228">
        <v>0.85</v>
      </c>
      <c r="DQ57" s="228">
        <v>0.88</v>
      </c>
      <c r="DR57" s="228">
        <v>-0.03</v>
      </c>
      <c r="DS57" s="229">
        <v>-3.4099999999999998E-2</v>
      </c>
      <c r="DT57" s="228">
        <v>700</v>
      </c>
      <c r="DU57" s="228">
        <v>680</v>
      </c>
      <c r="DV57" s="228">
        <v>0.56000000000000005</v>
      </c>
      <c r="DW57" s="228">
        <v>0.44</v>
      </c>
      <c r="DX57" s="228">
        <v>0.12</v>
      </c>
      <c r="DY57" s="229">
        <v>0.2727</v>
      </c>
      <c r="DZ57" s="229">
        <v>2.01E-2</v>
      </c>
      <c r="EA57" s="230">
        <v>948750</v>
      </c>
      <c r="EB57" s="229">
        <v>6.4999999999999997E-3</v>
      </c>
      <c r="EC57" s="229">
        <v>2.01E-2</v>
      </c>
      <c r="ED57" s="228">
        <v>4.59</v>
      </c>
      <c r="EE57" s="229">
        <v>6.6E-3</v>
      </c>
      <c r="EF57" s="230">
        <v>757305</v>
      </c>
      <c r="EG57" s="230">
        <v>1038211</v>
      </c>
      <c r="EH57" s="229">
        <v>-0.27060000000000001</v>
      </c>
      <c r="EI57" s="229">
        <v>0.45619999999999999</v>
      </c>
      <c r="EJ57" s="231">
        <v>68312.88</v>
      </c>
      <c r="EK57" s="231">
        <v>36741.230000000003</v>
      </c>
      <c r="EL57" s="231">
        <v>26510.240000000002</v>
      </c>
      <c r="EM57" s="231">
        <v>25097</v>
      </c>
      <c r="EN57" s="231">
        <v>131564.35</v>
      </c>
      <c r="EO57" s="231">
        <v>141278.92000000001</v>
      </c>
      <c r="EP57" s="231">
        <v>-9714.57</v>
      </c>
      <c r="EQ57" s="229">
        <v>-6.88E-2</v>
      </c>
      <c r="ER57" s="231">
        <v>70156</v>
      </c>
      <c r="ES57" s="231">
        <v>57989</v>
      </c>
      <c r="ET57" s="231">
        <v>335749</v>
      </c>
      <c r="EU57" s="231">
        <v>96058266</v>
      </c>
      <c r="EV57" s="231">
        <v>463895</v>
      </c>
      <c r="EW57" s="231">
        <v>454941</v>
      </c>
      <c r="EX57" s="231">
        <v>8954</v>
      </c>
      <c r="EY57" s="229">
        <v>1.9699999999999999E-2</v>
      </c>
      <c r="EZ57" s="229">
        <v>0.69040000000000001</v>
      </c>
      <c r="FA57" s="227" t="s">
        <v>555</v>
      </c>
      <c r="FB57" s="161">
        <f t="shared" si="0"/>
        <v>971850</v>
      </c>
    </row>
    <row r="58" spans="1:158" ht="17.25" hidden="1" thickBot="1" x14ac:dyDescent="0.3">
      <c r="A58" s="226">
        <v>46023</v>
      </c>
      <c r="B58" s="227" t="s">
        <v>615</v>
      </c>
      <c r="C58" s="227" t="s">
        <v>583</v>
      </c>
      <c r="D58" s="228">
        <v>150</v>
      </c>
      <c r="E58" s="231">
        <v>3714.2</v>
      </c>
      <c r="F58" s="231">
        <v>3796.2</v>
      </c>
      <c r="G58" s="228">
        <v>-82</v>
      </c>
      <c r="H58" s="229">
        <v>-2.1600000000000001E-2</v>
      </c>
      <c r="I58" s="231">
        <v>3716.1</v>
      </c>
      <c r="J58" s="231">
        <v>3782.2</v>
      </c>
      <c r="K58" s="228">
        <v>-66.099999999999994</v>
      </c>
      <c r="L58" s="229">
        <v>-1.7500000000000002E-2</v>
      </c>
      <c r="M58" s="231">
        <v>3714.2</v>
      </c>
      <c r="N58" s="231">
        <v>3796.2</v>
      </c>
      <c r="O58" s="228">
        <v>-82</v>
      </c>
      <c r="P58" s="229">
        <v>-2.1600000000000001E-2</v>
      </c>
      <c r="Q58" s="231">
        <v>3722.5</v>
      </c>
      <c r="R58" s="231">
        <v>3807.6</v>
      </c>
      <c r="S58" s="228">
        <v>-85.1</v>
      </c>
      <c r="T58" s="229">
        <v>-2.24E-2</v>
      </c>
      <c r="U58" s="231">
        <v>3731.8</v>
      </c>
      <c r="V58" s="231">
        <v>3823.6</v>
      </c>
      <c r="W58" s="228">
        <v>-91.8</v>
      </c>
      <c r="X58" s="229">
        <v>-2.4E-2</v>
      </c>
      <c r="Y58" s="228">
        <v>-1.9</v>
      </c>
      <c r="Z58" s="228">
        <v>14</v>
      </c>
      <c r="AA58" s="228">
        <v>-15.9</v>
      </c>
      <c r="AB58" s="229">
        <v>-5.0000000000000001E-4</v>
      </c>
      <c r="AC58" s="228">
        <v>-1.9</v>
      </c>
      <c r="AD58" s="228">
        <v>14</v>
      </c>
      <c r="AE58" s="228">
        <v>-15.9</v>
      </c>
      <c r="AF58" s="229">
        <v>-5.0000000000000001E-4</v>
      </c>
      <c r="AG58" s="228">
        <v>6.4</v>
      </c>
      <c r="AH58" s="228">
        <v>25.4</v>
      </c>
      <c r="AI58" s="228">
        <v>-19</v>
      </c>
      <c r="AJ58" s="229">
        <v>1.6999999999999999E-3</v>
      </c>
      <c r="AK58" s="228">
        <v>15.7</v>
      </c>
      <c r="AL58" s="228">
        <v>41.4</v>
      </c>
      <c r="AM58" s="228">
        <v>-25.7</v>
      </c>
      <c r="AN58" s="229">
        <v>4.1999999999999997E-3</v>
      </c>
      <c r="AO58" s="231">
        <v>3729.65</v>
      </c>
      <c r="AP58" s="231">
        <v>3738.79</v>
      </c>
      <c r="AQ58" s="228">
        <v>0</v>
      </c>
      <c r="AR58" s="230">
        <v>813300</v>
      </c>
      <c r="AS58" s="230">
        <v>722850</v>
      </c>
      <c r="AT58" s="230">
        <v>90450</v>
      </c>
      <c r="AU58" s="229">
        <v>0.12509999999999999</v>
      </c>
      <c r="AV58" s="230">
        <v>729750</v>
      </c>
      <c r="AW58" s="230">
        <v>701250</v>
      </c>
      <c r="AX58" s="230">
        <v>28500</v>
      </c>
      <c r="AY58" s="229">
        <v>4.0599999999999997E-2</v>
      </c>
      <c r="AZ58" s="230">
        <v>70200</v>
      </c>
      <c r="BA58" s="230">
        <v>17400</v>
      </c>
      <c r="BB58" s="230">
        <v>52800</v>
      </c>
      <c r="BC58" s="229">
        <v>3.0345</v>
      </c>
      <c r="BD58" s="230">
        <v>13350</v>
      </c>
      <c r="BE58" s="230">
        <v>4200</v>
      </c>
      <c r="BF58" s="230">
        <v>9150</v>
      </c>
      <c r="BG58" s="229">
        <v>2.1785999999999999</v>
      </c>
      <c r="BH58" s="230">
        <v>1388850</v>
      </c>
      <c r="BI58" s="230">
        <v>1340250</v>
      </c>
      <c r="BJ58" s="230">
        <v>48600</v>
      </c>
      <c r="BK58" s="229">
        <v>3.6299999999999999E-2</v>
      </c>
      <c r="BL58" s="230">
        <v>1034100</v>
      </c>
      <c r="BM58" s="230">
        <v>691800</v>
      </c>
      <c r="BN58" s="230">
        <v>342300</v>
      </c>
      <c r="BO58" s="229">
        <v>0.49480000000000002</v>
      </c>
      <c r="BP58" s="230">
        <v>3236250</v>
      </c>
      <c r="BQ58" s="230">
        <v>2754900</v>
      </c>
      <c r="BR58" s="230">
        <v>481350</v>
      </c>
      <c r="BS58" s="229">
        <v>0.17469999999999999</v>
      </c>
      <c r="BT58" s="230">
        <v>525768</v>
      </c>
      <c r="BU58" s="230">
        <v>658750</v>
      </c>
      <c r="BV58" s="230">
        <v>-132982</v>
      </c>
      <c r="BW58" s="229">
        <v>-0.2019</v>
      </c>
      <c r="BX58" s="230">
        <v>5423100</v>
      </c>
      <c r="BY58" s="230">
        <v>5149050</v>
      </c>
      <c r="BZ58" s="230">
        <v>274050</v>
      </c>
      <c r="CA58" s="229">
        <v>5.3199999999999997E-2</v>
      </c>
      <c r="CB58" s="230">
        <v>5280150</v>
      </c>
      <c r="CC58" s="230">
        <v>5039850</v>
      </c>
      <c r="CD58" s="230">
        <v>240300</v>
      </c>
      <c r="CE58" s="229">
        <v>4.7699999999999999E-2</v>
      </c>
      <c r="CF58" s="230">
        <v>130800</v>
      </c>
      <c r="CG58" s="230">
        <v>105450</v>
      </c>
      <c r="CH58" s="230">
        <v>25350</v>
      </c>
      <c r="CI58" s="229">
        <v>0.2404</v>
      </c>
      <c r="CJ58" s="230">
        <v>12150</v>
      </c>
      <c r="CK58" s="230">
        <v>3750</v>
      </c>
      <c r="CL58" s="230">
        <v>8400</v>
      </c>
      <c r="CM58" s="229">
        <v>2.2400000000000002</v>
      </c>
      <c r="CN58" s="230">
        <v>1157850</v>
      </c>
      <c r="CO58" s="230">
        <v>963900</v>
      </c>
      <c r="CP58" s="230">
        <v>193950</v>
      </c>
      <c r="CQ58" s="229">
        <v>0.20119999999999999</v>
      </c>
      <c r="CR58" s="230">
        <v>947550</v>
      </c>
      <c r="CS58" s="230">
        <v>816000</v>
      </c>
      <c r="CT58" s="230">
        <v>131550</v>
      </c>
      <c r="CU58" s="229">
        <v>0.16120000000000001</v>
      </c>
      <c r="CV58" s="230">
        <v>7528500</v>
      </c>
      <c r="CW58" s="230">
        <v>6928950</v>
      </c>
      <c r="CX58" s="230">
        <v>599550</v>
      </c>
      <c r="CY58" s="229">
        <v>8.6499999999999994E-2</v>
      </c>
      <c r="CZ58" s="228">
        <v>29.64</v>
      </c>
      <c r="DA58" s="228">
        <v>28.15</v>
      </c>
      <c r="DB58" s="228">
        <v>1.49</v>
      </c>
      <c r="DC58" s="228">
        <v>1.49</v>
      </c>
      <c r="DD58" s="228">
        <v>30.3</v>
      </c>
      <c r="DE58" s="228">
        <v>30.28</v>
      </c>
      <c r="DF58" s="228">
        <v>-0.66</v>
      </c>
      <c r="DG58" s="228">
        <v>0.02</v>
      </c>
      <c r="DH58" s="228">
        <v>29.28</v>
      </c>
      <c r="DI58" s="228">
        <v>27.76</v>
      </c>
      <c r="DJ58" s="228">
        <v>1.52</v>
      </c>
      <c r="DK58" s="228">
        <v>1.52</v>
      </c>
      <c r="DL58" s="228">
        <v>30.12</v>
      </c>
      <c r="DM58" s="228">
        <v>28.88</v>
      </c>
      <c r="DN58" s="228">
        <v>1.24</v>
      </c>
      <c r="DO58" s="228">
        <v>1.24</v>
      </c>
      <c r="DP58" s="228">
        <v>0.82</v>
      </c>
      <c r="DQ58" s="228">
        <v>0.85</v>
      </c>
      <c r="DR58" s="228">
        <v>-0.03</v>
      </c>
      <c r="DS58" s="229">
        <v>-3.5299999999999998E-2</v>
      </c>
      <c r="DT58" s="231">
        <v>4000</v>
      </c>
      <c r="DU58" s="231">
        <v>3800</v>
      </c>
      <c r="DV58" s="228">
        <v>0.74</v>
      </c>
      <c r="DW58" s="228">
        <v>0.52</v>
      </c>
      <c r="DX58" s="228">
        <v>0.22</v>
      </c>
      <c r="DY58" s="229">
        <v>0.42309999999999998</v>
      </c>
      <c r="DZ58" s="229">
        <v>2.64E-2</v>
      </c>
      <c r="EA58" s="230">
        <v>109200</v>
      </c>
      <c r="EB58" s="229">
        <v>2.2000000000000001E-3</v>
      </c>
      <c r="EC58" s="229">
        <v>2.64E-2</v>
      </c>
      <c r="ED58" s="228">
        <v>9.14</v>
      </c>
      <c r="EE58" s="229">
        <v>2.5000000000000001E-3</v>
      </c>
      <c r="EF58" s="230">
        <v>339129</v>
      </c>
      <c r="EG58" s="230">
        <v>420905</v>
      </c>
      <c r="EH58" s="229">
        <v>-0.1943</v>
      </c>
      <c r="EI58" s="229">
        <v>0.64500000000000002</v>
      </c>
      <c r="EJ58" s="231">
        <v>55198.66</v>
      </c>
      <c r="EK58" s="231">
        <v>38218.379999999997</v>
      </c>
      <c r="EL58" s="231">
        <v>30343.54</v>
      </c>
      <c r="EM58" s="231">
        <v>13938</v>
      </c>
      <c r="EN58" s="231">
        <v>123760.58</v>
      </c>
      <c r="EO58" s="231">
        <v>106615.96</v>
      </c>
      <c r="EP58" s="231">
        <v>17144.62</v>
      </c>
      <c r="EQ58" s="229">
        <v>0.1608</v>
      </c>
      <c r="ER58" s="231">
        <v>45832</v>
      </c>
      <c r="ES58" s="231">
        <v>34859</v>
      </c>
      <c r="ET58" s="231">
        <v>201438</v>
      </c>
      <c r="EU58" s="231">
        <v>18750186</v>
      </c>
      <c r="EV58" s="231">
        <v>282128</v>
      </c>
      <c r="EW58" s="231">
        <v>264141</v>
      </c>
      <c r="EX58" s="231">
        <v>17987</v>
      </c>
      <c r="EY58" s="229">
        <v>6.8099999999999994E-2</v>
      </c>
      <c r="EZ58" s="229">
        <v>0.40150000000000002</v>
      </c>
      <c r="FA58" s="227" t="s">
        <v>567</v>
      </c>
      <c r="FB58" s="161">
        <f t="shared" si="0"/>
        <v>142950</v>
      </c>
    </row>
    <row r="59" spans="1:158" ht="17.25" hidden="1" thickBot="1" x14ac:dyDescent="0.3">
      <c r="A59" s="226">
        <v>46023</v>
      </c>
      <c r="B59" s="227" t="s">
        <v>170</v>
      </c>
      <c r="C59" s="227" t="s">
        <v>208</v>
      </c>
      <c r="D59" s="228">
        <v>625</v>
      </c>
      <c r="E59" s="231">
        <v>1254.5999999999999</v>
      </c>
      <c r="F59" s="231">
        <v>1273.7</v>
      </c>
      <c r="G59" s="228">
        <v>-19.100000000000001</v>
      </c>
      <c r="H59" s="229">
        <v>-1.4999999999999999E-2</v>
      </c>
      <c r="I59" s="231">
        <v>1253.4000000000001</v>
      </c>
      <c r="J59" s="231">
        <v>1271.4000000000001</v>
      </c>
      <c r="K59" s="228">
        <v>-18</v>
      </c>
      <c r="L59" s="229">
        <v>-1.4200000000000001E-2</v>
      </c>
      <c r="M59" s="231">
        <v>1254.5999999999999</v>
      </c>
      <c r="N59" s="231">
        <v>1273.7</v>
      </c>
      <c r="O59" s="228">
        <v>-19.100000000000001</v>
      </c>
      <c r="P59" s="229">
        <v>-1.4999999999999999E-2</v>
      </c>
      <c r="Q59" s="231">
        <v>1259.4000000000001</v>
      </c>
      <c r="R59" s="231">
        <v>1279.2</v>
      </c>
      <c r="S59" s="228">
        <v>-19.8</v>
      </c>
      <c r="T59" s="229">
        <v>-1.55E-2</v>
      </c>
      <c r="U59" s="231">
        <v>1262.7</v>
      </c>
      <c r="V59" s="231">
        <v>1283.9000000000001</v>
      </c>
      <c r="W59" s="228">
        <v>-21.2</v>
      </c>
      <c r="X59" s="229">
        <v>-1.6500000000000001E-2</v>
      </c>
      <c r="Y59" s="228">
        <v>1.2</v>
      </c>
      <c r="Z59" s="228">
        <v>2.2999999999999998</v>
      </c>
      <c r="AA59" s="228">
        <v>-1.1000000000000001</v>
      </c>
      <c r="AB59" s="229">
        <v>1E-3</v>
      </c>
      <c r="AC59" s="228">
        <v>1.2</v>
      </c>
      <c r="AD59" s="228">
        <v>2.2999999999999998</v>
      </c>
      <c r="AE59" s="228">
        <v>-1.1000000000000001</v>
      </c>
      <c r="AF59" s="229">
        <v>1E-3</v>
      </c>
      <c r="AG59" s="228">
        <v>6</v>
      </c>
      <c r="AH59" s="228">
        <v>7.8</v>
      </c>
      <c r="AI59" s="228">
        <v>-1.8</v>
      </c>
      <c r="AJ59" s="229">
        <v>4.7999999999999996E-3</v>
      </c>
      <c r="AK59" s="228">
        <v>9.3000000000000007</v>
      </c>
      <c r="AL59" s="228">
        <v>12.5</v>
      </c>
      <c r="AM59" s="228">
        <v>-3.2</v>
      </c>
      <c r="AN59" s="229">
        <v>7.4000000000000003E-3</v>
      </c>
      <c r="AO59" s="231">
        <v>1255.4000000000001</v>
      </c>
      <c r="AP59" s="231">
        <v>1261.5999999999999</v>
      </c>
      <c r="AQ59" s="228">
        <v>0</v>
      </c>
      <c r="AR59" s="230">
        <v>1315000</v>
      </c>
      <c r="AS59" s="230">
        <v>1053125</v>
      </c>
      <c r="AT59" s="230">
        <v>261875</v>
      </c>
      <c r="AU59" s="229">
        <v>0.2487</v>
      </c>
      <c r="AV59" s="230">
        <v>1231250</v>
      </c>
      <c r="AW59" s="230">
        <v>1006250</v>
      </c>
      <c r="AX59" s="230">
        <v>225000</v>
      </c>
      <c r="AY59" s="229">
        <v>0.22359999999999999</v>
      </c>
      <c r="AZ59" s="230">
        <v>68750</v>
      </c>
      <c r="BA59" s="230">
        <v>46250</v>
      </c>
      <c r="BB59" s="230">
        <v>22500</v>
      </c>
      <c r="BC59" s="229">
        <v>0.48649999999999999</v>
      </c>
      <c r="BD59" s="230">
        <v>15000</v>
      </c>
      <c r="BE59" s="228">
        <v>625</v>
      </c>
      <c r="BF59" s="230">
        <v>14375</v>
      </c>
      <c r="BG59" s="229">
        <v>23</v>
      </c>
      <c r="BH59" s="230">
        <v>4489375</v>
      </c>
      <c r="BI59" s="230">
        <v>2914375</v>
      </c>
      <c r="BJ59" s="230">
        <v>1575000</v>
      </c>
      <c r="BK59" s="229">
        <v>0.54039999999999999</v>
      </c>
      <c r="BL59" s="230">
        <v>3966250</v>
      </c>
      <c r="BM59" s="230">
        <v>1330000</v>
      </c>
      <c r="BN59" s="230">
        <v>2636250</v>
      </c>
      <c r="BO59" s="229">
        <v>1.9821</v>
      </c>
      <c r="BP59" s="230">
        <v>9770625</v>
      </c>
      <c r="BQ59" s="230">
        <v>5297500</v>
      </c>
      <c r="BR59" s="230">
        <v>4473125</v>
      </c>
      <c r="BS59" s="229">
        <v>0.84440000000000004</v>
      </c>
      <c r="BT59" s="230">
        <v>574549</v>
      </c>
      <c r="BU59" s="230">
        <v>717321</v>
      </c>
      <c r="BV59" s="230">
        <v>-142772</v>
      </c>
      <c r="BW59" s="229">
        <v>-0.19900000000000001</v>
      </c>
      <c r="BX59" s="230">
        <v>12440625</v>
      </c>
      <c r="BY59" s="230">
        <v>12241875</v>
      </c>
      <c r="BZ59" s="230">
        <v>198750</v>
      </c>
      <c r="CA59" s="229">
        <v>1.6199999999999999E-2</v>
      </c>
      <c r="CB59" s="230">
        <v>12300625</v>
      </c>
      <c r="CC59" s="230">
        <v>12146250</v>
      </c>
      <c r="CD59" s="230">
        <v>154375</v>
      </c>
      <c r="CE59" s="229">
        <v>1.2699999999999999E-2</v>
      </c>
      <c r="CF59" s="230">
        <v>128750</v>
      </c>
      <c r="CG59" s="230">
        <v>95000</v>
      </c>
      <c r="CH59" s="230">
        <v>33750</v>
      </c>
      <c r="CI59" s="229">
        <v>0.3553</v>
      </c>
      <c r="CJ59" s="230">
        <v>11250</v>
      </c>
      <c r="CK59" s="228">
        <v>625</v>
      </c>
      <c r="CL59" s="230">
        <v>10625</v>
      </c>
      <c r="CM59" s="229">
        <v>17</v>
      </c>
      <c r="CN59" s="230">
        <v>3600625</v>
      </c>
      <c r="CO59" s="230">
        <v>2357500</v>
      </c>
      <c r="CP59" s="230">
        <v>1243125</v>
      </c>
      <c r="CQ59" s="229">
        <v>0.52729999999999999</v>
      </c>
      <c r="CR59" s="230">
        <v>2043750</v>
      </c>
      <c r="CS59" s="230">
        <v>1428125</v>
      </c>
      <c r="CT59" s="230">
        <v>615625</v>
      </c>
      <c r="CU59" s="229">
        <v>0.43109999999999998</v>
      </c>
      <c r="CV59" s="230">
        <v>18085000</v>
      </c>
      <c r="CW59" s="230">
        <v>16027500</v>
      </c>
      <c r="CX59" s="230">
        <v>2057500</v>
      </c>
      <c r="CY59" s="229">
        <v>0.12839999999999999</v>
      </c>
      <c r="CZ59" s="228">
        <v>18.670000000000002</v>
      </c>
      <c r="DA59" s="228">
        <v>17.72</v>
      </c>
      <c r="DB59" s="228">
        <v>0.95</v>
      </c>
      <c r="DC59" s="228">
        <v>0.95</v>
      </c>
      <c r="DD59" s="228">
        <v>23.61</v>
      </c>
      <c r="DE59" s="228">
        <v>23.59</v>
      </c>
      <c r="DF59" s="228">
        <v>-4.9400000000000004</v>
      </c>
      <c r="DG59" s="228">
        <v>0.02</v>
      </c>
      <c r="DH59" s="228">
        <v>18.53</v>
      </c>
      <c r="DI59" s="228">
        <v>17.36</v>
      </c>
      <c r="DJ59" s="228">
        <v>1.17</v>
      </c>
      <c r="DK59" s="228">
        <v>1.17</v>
      </c>
      <c r="DL59" s="228">
        <v>18.82</v>
      </c>
      <c r="DM59" s="228">
        <v>18.510000000000002</v>
      </c>
      <c r="DN59" s="228">
        <v>0.31</v>
      </c>
      <c r="DO59" s="228">
        <v>0.31</v>
      </c>
      <c r="DP59" s="228">
        <v>0.56999999999999995</v>
      </c>
      <c r="DQ59" s="228">
        <v>0.61</v>
      </c>
      <c r="DR59" s="228">
        <v>-0.04</v>
      </c>
      <c r="DS59" s="229">
        <v>-6.5600000000000006E-2</v>
      </c>
      <c r="DT59" s="231">
        <v>1300</v>
      </c>
      <c r="DU59" s="231">
        <v>1150</v>
      </c>
      <c r="DV59" s="228">
        <v>0.88</v>
      </c>
      <c r="DW59" s="228">
        <v>0.46</v>
      </c>
      <c r="DX59" s="228">
        <v>0.42</v>
      </c>
      <c r="DY59" s="229">
        <v>0.91300000000000003</v>
      </c>
      <c r="DZ59" s="229">
        <v>1.1299999999999999E-2</v>
      </c>
      <c r="EA59" s="230">
        <v>95625</v>
      </c>
      <c r="EB59" s="229">
        <v>3.8E-3</v>
      </c>
      <c r="EC59" s="229">
        <v>1.1299999999999999E-2</v>
      </c>
      <c r="ED59" s="228">
        <v>6.2</v>
      </c>
      <c r="EE59" s="229">
        <v>4.8999999999999998E-3</v>
      </c>
      <c r="EF59" s="230">
        <v>168215</v>
      </c>
      <c r="EG59" s="230">
        <v>475597</v>
      </c>
      <c r="EH59" s="229">
        <v>-0.64629999999999999</v>
      </c>
      <c r="EI59" s="229">
        <v>0.2928</v>
      </c>
      <c r="EJ59" s="231">
        <v>58833.56</v>
      </c>
      <c r="EK59" s="231">
        <v>49535.38</v>
      </c>
      <c r="EL59" s="231">
        <v>16514.240000000002</v>
      </c>
      <c r="EM59" s="231">
        <v>8109</v>
      </c>
      <c r="EN59" s="231">
        <v>124883.18</v>
      </c>
      <c r="EO59" s="231">
        <v>68562.38</v>
      </c>
      <c r="EP59" s="231">
        <v>56320.800000000003</v>
      </c>
      <c r="EQ59" s="229">
        <v>0.82150000000000001</v>
      </c>
      <c r="ER59" s="231">
        <v>47357</v>
      </c>
      <c r="ES59" s="231">
        <v>24714</v>
      </c>
      <c r="ET59" s="231">
        <v>156087</v>
      </c>
      <c r="EU59" s="231">
        <v>91531454</v>
      </c>
      <c r="EV59" s="231">
        <v>228157</v>
      </c>
      <c r="EW59" s="231">
        <v>204371</v>
      </c>
      <c r="EX59" s="231">
        <v>23786</v>
      </c>
      <c r="EY59" s="229">
        <v>0.1164</v>
      </c>
      <c r="EZ59" s="229">
        <v>0.1976</v>
      </c>
      <c r="FA59" s="227" t="s">
        <v>567</v>
      </c>
      <c r="FB59" s="161">
        <f t="shared" si="0"/>
        <v>140000</v>
      </c>
    </row>
    <row r="60" spans="1:158" ht="17.25" hidden="1" thickBot="1" x14ac:dyDescent="0.3">
      <c r="A60" s="226">
        <v>46023</v>
      </c>
      <c r="B60" s="227" t="s">
        <v>162</v>
      </c>
      <c r="C60" s="227" t="s">
        <v>209</v>
      </c>
      <c r="D60" s="228">
        <v>100</v>
      </c>
      <c r="E60" s="231">
        <v>7381.5</v>
      </c>
      <c r="F60" s="231">
        <v>7341</v>
      </c>
      <c r="G60" s="228">
        <v>40.5</v>
      </c>
      <c r="H60" s="229">
        <v>5.4999999999999997E-3</v>
      </c>
      <c r="I60" s="231">
        <v>7348</v>
      </c>
      <c r="J60" s="231">
        <v>7312.5</v>
      </c>
      <c r="K60" s="228">
        <v>35.5</v>
      </c>
      <c r="L60" s="229">
        <v>4.8999999999999998E-3</v>
      </c>
      <c r="M60" s="231">
        <v>7381.5</v>
      </c>
      <c r="N60" s="231">
        <v>7341</v>
      </c>
      <c r="O60" s="228">
        <v>40.5</v>
      </c>
      <c r="P60" s="229">
        <v>5.4999999999999997E-3</v>
      </c>
      <c r="Q60" s="231">
        <v>7423</v>
      </c>
      <c r="R60" s="231">
        <v>7380.5</v>
      </c>
      <c r="S60" s="228">
        <v>42.5</v>
      </c>
      <c r="T60" s="229">
        <v>5.7999999999999996E-3</v>
      </c>
      <c r="U60" s="231">
        <v>7458.5</v>
      </c>
      <c r="V60" s="231">
        <v>7422</v>
      </c>
      <c r="W60" s="228">
        <v>36.5</v>
      </c>
      <c r="X60" s="229">
        <v>4.8999999999999998E-3</v>
      </c>
      <c r="Y60" s="228">
        <v>33.5</v>
      </c>
      <c r="Z60" s="228">
        <v>28.5</v>
      </c>
      <c r="AA60" s="228">
        <v>5</v>
      </c>
      <c r="AB60" s="229">
        <v>4.5999999999999999E-3</v>
      </c>
      <c r="AC60" s="228">
        <v>33.5</v>
      </c>
      <c r="AD60" s="228">
        <v>28.5</v>
      </c>
      <c r="AE60" s="228">
        <v>5</v>
      </c>
      <c r="AF60" s="229">
        <v>4.5999999999999999E-3</v>
      </c>
      <c r="AG60" s="228">
        <v>75</v>
      </c>
      <c r="AH60" s="228">
        <v>68</v>
      </c>
      <c r="AI60" s="228">
        <v>7</v>
      </c>
      <c r="AJ60" s="229">
        <v>1.0200000000000001E-2</v>
      </c>
      <c r="AK60" s="228">
        <v>110.5</v>
      </c>
      <c r="AL60" s="228">
        <v>109.5</v>
      </c>
      <c r="AM60" s="228">
        <v>1</v>
      </c>
      <c r="AN60" s="229">
        <v>1.4999999999999999E-2</v>
      </c>
      <c r="AO60" s="231">
        <v>7355.61</v>
      </c>
      <c r="AP60" s="231">
        <v>7382.86</v>
      </c>
      <c r="AQ60" s="228">
        <v>0</v>
      </c>
      <c r="AR60" s="230">
        <v>424800</v>
      </c>
      <c r="AS60" s="230">
        <v>605500</v>
      </c>
      <c r="AT60" s="230">
        <v>-180700</v>
      </c>
      <c r="AU60" s="229">
        <v>-0.2984</v>
      </c>
      <c r="AV60" s="230">
        <v>401300</v>
      </c>
      <c r="AW60" s="230">
        <v>586800</v>
      </c>
      <c r="AX60" s="230">
        <v>-185500</v>
      </c>
      <c r="AY60" s="229">
        <v>-0.31609999999999999</v>
      </c>
      <c r="AZ60" s="230">
        <v>15400</v>
      </c>
      <c r="BA60" s="230">
        <v>14000</v>
      </c>
      <c r="BB60" s="230">
        <v>1400</v>
      </c>
      <c r="BC60" s="229">
        <v>0.1</v>
      </c>
      <c r="BD60" s="230">
        <v>8100</v>
      </c>
      <c r="BE60" s="230">
        <v>4700</v>
      </c>
      <c r="BF60" s="230">
        <v>3400</v>
      </c>
      <c r="BG60" s="229">
        <v>0.72340000000000004</v>
      </c>
      <c r="BH60" s="230">
        <v>2080800</v>
      </c>
      <c r="BI60" s="230">
        <v>2480200</v>
      </c>
      <c r="BJ60" s="230">
        <v>-399400</v>
      </c>
      <c r="BK60" s="229">
        <v>-0.161</v>
      </c>
      <c r="BL60" s="230">
        <v>967900</v>
      </c>
      <c r="BM60" s="230">
        <v>1036200</v>
      </c>
      <c r="BN60" s="230">
        <v>-68300</v>
      </c>
      <c r="BO60" s="229">
        <v>-6.59E-2</v>
      </c>
      <c r="BP60" s="230">
        <v>3473500</v>
      </c>
      <c r="BQ60" s="230">
        <v>4121900</v>
      </c>
      <c r="BR60" s="230">
        <v>-648400</v>
      </c>
      <c r="BS60" s="229">
        <v>-0.1573</v>
      </c>
      <c r="BT60" s="230">
        <v>160097</v>
      </c>
      <c r="BU60" s="230">
        <v>365896</v>
      </c>
      <c r="BV60" s="230">
        <v>-205799</v>
      </c>
      <c r="BW60" s="229">
        <v>-0.5625</v>
      </c>
      <c r="BX60" s="230">
        <v>2962600</v>
      </c>
      <c r="BY60" s="230">
        <v>2938700</v>
      </c>
      <c r="BZ60" s="230">
        <v>23900</v>
      </c>
      <c r="CA60" s="229">
        <v>8.0999999999999996E-3</v>
      </c>
      <c r="CB60" s="230">
        <v>2912300</v>
      </c>
      <c r="CC60" s="230">
        <v>2898700</v>
      </c>
      <c r="CD60" s="230">
        <v>13600</v>
      </c>
      <c r="CE60" s="229">
        <v>4.7000000000000002E-3</v>
      </c>
      <c r="CF60" s="230">
        <v>40900</v>
      </c>
      <c r="CG60" s="230">
        <v>36200</v>
      </c>
      <c r="CH60" s="230">
        <v>4700</v>
      </c>
      <c r="CI60" s="229">
        <v>0.1298</v>
      </c>
      <c r="CJ60" s="230">
        <v>9400</v>
      </c>
      <c r="CK60" s="230">
        <v>3800</v>
      </c>
      <c r="CL60" s="230">
        <v>5600</v>
      </c>
      <c r="CM60" s="229">
        <v>1.4737</v>
      </c>
      <c r="CN60" s="230">
        <v>1002100</v>
      </c>
      <c r="CO60" s="230">
        <v>945800</v>
      </c>
      <c r="CP60" s="230">
        <v>56300</v>
      </c>
      <c r="CQ60" s="229">
        <v>5.9499999999999997E-2</v>
      </c>
      <c r="CR60" s="230">
        <v>848300</v>
      </c>
      <c r="CS60" s="230">
        <v>765100</v>
      </c>
      <c r="CT60" s="230">
        <v>83200</v>
      </c>
      <c r="CU60" s="229">
        <v>0.1087</v>
      </c>
      <c r="CV60" s="230">
        <v>4813000</v>
      </c>
      <c r="CW60" s="230">
        <v>4649600</v>
      </c>
      <c r="CX60" s="230">
        <v>163400</v>
      </c>
      <c r="CY60" s="229">
        <v>3.5099999999999999E-2</v>
      </c>
      <c r="CZ60" s="228">
        <v>18.510000000000002</v>
      </c>
      <c r="DA60" s="228">
        <v>19.760000000000002</v>
      </c>
      <c r="DB60" s="228">
        <v>-1.25</v>
      </c>
      <c r="DC60" s="228">
        <v>-1.25</v>
      </c>
      <c r="DD60" s="228">
        <v>26.75</v>
      </c>
      <c r="DE60" s="228">
        <v>26.81</v>
      </c>
      <c r="DF60" s="228">
        <v>-8.24</v>
      </c>
      <c r="DG60" s="228">
        <v>-0.06</v>
      </c>
      <c r="DH60" s="228">
        <v>18.14</v>
      </c>
      <c r="DI60" s="228">
        <v>19.41</v>
      </c>
      <c r="DJ60" s="228">
        <v>-1.27</v>
      </c>
      <c r="DK60" s="228">
        <v>-1.27</v>
      </c>
      <c r="DL60" s="228">
        <v>19.329999999999998</v>
      </c>
      <c r="DM60" s="228">
        <v>20.59</v>
      </c>
      <c r="DN60" s="228">
        <v>-1.26</v>
      </c>
      <c r="DO60" s="228">
        <v>-1.26</v>
      </c>
      <c r="DP60" s="228">
        <v>0.85</v>
      </c>
      <c r="DQ60" s="228">
        <v>0.81</v>
      </c>
      <c r="DR60" s="228">
        <v>0.04</v>
      </c>
      <c r="DS60" s="229">
        <v>4.9399999999999999E-2</v>
      </c>
      <c r="DT60" s="231">
        <v>8100</v>
      </c>
      <c r="DU60" s="231">
        <v>7200</v>
      </c>
      <c r="DV60" s="228">
        <v>0.47</v>
      </c>
      <c r="DW60" s="228">
        <v>0.42</v>
      </c>
      <c r="DX60" s="228">
        <v>0.05</v>
      </c>
      <c r="DY60" s="229">
        <v>0.11899999999999999</v>
      </c>
      <c r="DZ60" s="229">
        <v>1.7000000000000001E-2</v>
      </c>
      <c r="EA60" s="230">
        <v>40000</v>
      </c>
      <c r="EB60" s="229">
        <v>5.5999999999999999E-3</v>
      </c>
      <c r="EC60" s="229">
        <v>1.7000000000000001E-2</v>
      </c>
      <c r="ED60" s="228">
        <v>27.25</v>
      </c>
      <c r="EE60" s="229">
        <v>3.7000000000000002E-3</v>
      </c>
      <c r="EF60" s="230">
        <v>46586</v>
      </c>
      <c r="EG60" s="230">
        <v>196911</v>
      </c>
      <c r="EH60" s="229">
        <v>-0.76339999999999997</v>
      </c>
      <c r="EI60" s="229">
        <v>0.29099999999999998</v>
      </c>
      <c r="EJ60" s="231">
        <v>157888.32999999999</v>
      </c>
      <c r="EK60" s="231">
        <v>69974.080000000002</v>
      </c>
      <c r="EL60" s="231">
        <v>31255.4</v>
      </c>
      <c r="EM60" s="231">
        <v>17372</v>
      </c>
      <c r="EN60" s="231">
        <v>259117.81</v>
      </c>
      <c r="EO60" s="231">
        <v>306013.63</v>
      </c>
      <c r="EP60" s="231">
        <v>-46895.82</v>
      </c>
      <c r="EQ60" s="229">
        <v>-0.1532</v>
      </c>
      <c r="ER60" s="231">
        <v>75260</v>
      </c>
      <c r="ES60" s="231">
        <v>59956</v>
      </c>
      <c r="ET60" s="231">
        <v>218709</v>
      </c>
      <c r="EU60" s="231">
        <v>19199175</v>
      </c>
      <c r="EV60" s="231">
        <v>353925</v>
      </c>
      <c r="EW60" s="231">
        <v>340756</v>
      </c>
      <c r="EX60" s="231">
        <v>13169</v>
      </c>
      <c r="EY60" s="229">
        <v>3.8600000000000002E-2</v>
      </c>
      <c r="EZ60" s="229">
        <v>0.25069999999999998</v>
      </c>
      <c r="FA60" s="227" t="s">
        <v>555</v>
      </c>
      <c r="FB60" s="161">
        <f t="shared" si="0"/>
        <v>50300</v>
      </c>
    </row>
    <row r="61" spans="1:158" ht="17.25" hidden="1" thickBot="1" x14ac:dyDescent="0.3">
      <c r="A61" s="226">
        <v>46023</v>
      </c>
      <c r="B61" s="227" t="s">
        <v>615</v>
      </c>
      <c r="C61" s="227" t="s">
        <v>667</v>
      </c>
      <c r="D61" s="228">
        <v>2425</v>
      </c>
      <c r="E61" s="228">
        <v>284.89999999999998</v>
      </c>
      <c r="F61" s="228">
        <v>279.8</v>
      </c>
      <c r="G61" s="228">
        <v>5.0999999999999996</v>
      </c>
      <c r="H61" s="229">
        <v>1.8200000000000001E-2</v>
      </c>
      <c r="I61" s="228">
        <v>283.8</v>
      </c>
      <c r="J61" s="228">
        <v>278.05</v>
      </c>
      <c r="K61" s="228">
        <v>5.75</v>
      </c>
      <c r="L61" s="229">
        <v>2.07E-2</v>
      </c>
      <c r="M61" s="228">
        <v>284.89999999999998</v>
      </c>
      <c r="N61" s="228">
        <v>279.8</v>
      </c>
      <c r="O61" s="228">
        <v>5.0999999999999996</v>
      </c>
      <c r="P61" s="229">
        <v>1.8200000000000001E-2</v>
      </c>
      <c r="Q61" s="228">
        <v>286.55</v>
      </c>
      <c r="R61" s="228">
        <v>281.5</v>
      </c>
      <c r="S61" s="228">
        <v>5.05</v>
      </c>
      <c r="T61" s="229">
        <v>1.7899999999999999E-2</v>
      </c>
      <c r="U61" s="228">
        <v>288.45</v>
      </c>
      <c r="V61" s="228">
        <v>283.2</v>
      </c>
      <c r="W61" s="228">
        <v>5.25</v>
      </c>
      <c r="X61" s="229">
        <v>1.8499999999999999E-2</v>
      </c>
      <c r="Y61" s="228">
        <v>1.1000000000000001</v>
      </c>
      <c r="Z61" s="228">
        <v>1.75</v>
      </c>
      <c r="AA61" s="228">
        <v>-0.65</v>
      </c>
      <c r="AB61" s="229">
        <v>3.8999999999999998E-3</v>
      </c>
      <c r="AC61" s="228">
        <v>1.1000000000000001</v>
      </c>
      <c r="AD61" s="228">
        <v>1.75</v>
      </c>
      <c r="AE61" s="228">
        <v>-0.65</v>
      </c>
      <c r="AF61" s="229">
        <v>3.8999999999999998E-3</v>
      </c>
      <c r="AG61" s="228">
        <v>2.75</v>
      </c>
      <c r="AH61" s="228">
        <v>3.45</v>
      </c>
      <c r="AI61" s="228">
        <v>-0.7</v>
      </c>
      <c r="AJ61" s="229">
        <v>9.7000000000000003E-3</v>
      </c>
      <c r="AK61" s="228">
        <v>4.6500000000000004</v>
      </c>
      <c r="AL61" s="228">
        <v>5.15</v>
      </c>
      <c r="AM61" s="228">
        <v>-0.5</v>
      </c>
      <c r="AN61" s="229">
        <v>1.6400000000000001E-2</v>
      </c>
      <c r="AO61" s="228">
        <v>284.5</v>
      </c>
      <c r="AP61" s="228">
        <v>285.86</v>
      </c>
      <c r="AQ61" s="228">
        <v>0</v>
      </c>
      <c r="AR61" s="230">
        <v>16448775</v>
      </c>
      <c r="AS61" s="230">
        <v>20440325</v>
      </c>
      <c r="AT61" s="230">
        <v>-3991550</v>
      </c>
      <c r="AU61" s="229">
        <v>-0.1953</v>
      </c>
      <c r="AV61" s="230">
        <v>15425425</v>
      </c>
      <c r="AW61" s="230">
        <v>19303000</v>
      </c>
      <c r="AX61" s="230">
        <v>-3877575</v>
      </c>
      <c r="AY61" s="229">
        <v>-0.2009</v>
      </c>
      <c r="AZ61" s="230">
        <v>737200</v>
      </c>
      <c r="BA61" s="230">
        <v>1003950</v>
      </c>
      <c r="BB61" s="230">
        <v>-266750</v>
      </c>
      <c r="BC61" s="229">
        <v>-0.26569999999999999</v>
      </c>
      <c r="BD61" s="230">
        <v>286150</v>
      </c>
      <c r="BE61" s="230">
        <v>133375</v>
      </c>
      <c r="BF61" s="230">
        <v>152775</v>
      </c>
      <c r="BG61" s="229">
        <v>1.1455</v>
      </c>
      <c r="BH61" s="230">
        <v>44765500</v>
      </c>
      <c r="BI61" s="230">
        <v>38918825</v>
      </c>
      <c r="BJ61" s="230">
        <v>5846675</v>
      </c>
      <c r="BK61" s="229">
        <v>0.1502</v>
      </c>
      <c r="BL61" s="230">
        <v>21534000</v>
      </c>
      <c r="BM61" s="230">
        <v>28906000</v>
      </c>
      <c r="BN61" s="230">
        <v>-7372000</v>
      </c>
      <c r="BO61" s="229">
        <v>-0.255</v>
      </c>
      <c r="BP61" s="230">
        <v>82748275</v>
      </c>
      <c r="BQ61" s="230">
        <v>88265150</v>
      </c>
      <c r="BR61" s="230">
        <v>-5516875</v>
      </c>
      <c r="BS61" s="229">
        <v>-6.25E-2</v>
      </c>
      <c r="BT61" s="230">
        <v>13871323</v>
      </c>
      <c r="BU61" s="230">
        <v>24831923</v>
      </c>
      <c r="BV61" s="230">
        <v>-10960600</v>
      </c>
      <c r="BW61" s="229">
        <v>-0.44140000000000001</v>
      </c>
      <c r="BX61" s="230">
        <v>285888100</v>
      </c>
      <c r="BY61" s="230">
        <v>288521650</v>
      </c>
      <c r="BZ61" s="230">
        <v>-2633550</v>
      </c>
      <c r="CA61" s="229">
        <v>-9.1000000000000004E-3</v>
      </c>
      <c r="CB61" s="230">
        <v>281130250</v>
      </c>
      <c r="CC61" s="230">
        <v>283926275</v>
      </c>
      <c r="CD61" s="230">
        <v>-2796025</v>
      </c>
      <c r="CE61" s="229">
        <v>-9.7999999999999997E-3</v>
      </c>
      <c r="CF61" s="230">
        <v>4510500</v>
      </c>
      <c r="CG61" s="230">
        <v>4510500</v>
      </c>
      <c r="CH61" s="228">
        <v>0</v>
      </c>
      <c r="CI61" s="229">
        <v>0</v>
      </c>
      <c r="CJ61" s="230">
        <v>247350</v>
      </c>
      <c r="CK61" s="230">
        <v>84875</v>
      </c>
      <c r="CL61" s="230">
        <v>162475</v>
      </c>
      <c r="CM61" s="229">
        <v>1.9142999999999999</v>
      </c>
      <c r="CN61" s="230">
        <v>34059125</v>
      </c>
      <c r="CO61" s="230">
        <v>31675350</v>
      </c>
      <c r="CP61" s="230">
        <v>2383775</v>
      </c>
      <c r="CQ61" s="229">
        <v>7.5300000000000006E-2</v>
      </c>
      <c r="CR61" s="230">
        <v>29900250</v>
      </c>
      <c r="CS61" s="230">
        <v>26888400</v>
      </c>
      <c r="CT61" s="230">
        <v>3011850</v>
      </c>
      <c r="CU61" s="229">
        <v>0.112</v>
      </c>
      <c r="CV61" s="230">
        <v>349847475</v>
      </c>
      <c r="CW61" s="230">
        <v>347085400</v>
      </c>
      <c r="CX61" s="230">
        <v>2762075</v>
      </c>
      <c r="CY61" s="229">
        <v>8.0000000000000002E-3</v>
      </c>
      <c r="CZ61" s="228">
        <v>29.2</v>
      </c>
      <c r="DA61" s="228">
        <v>30.52</v>
      </c>
      <c r="DB61" s="228">
        <v>-1.32</v>
      </c>
      <c r="DC61" s="228">
        <v>-1.32</v>
      </c>
      <c r="DD61" s="228">
        <v>43.08</v>
      </c>
      <c r="DE61" s="228">
        <v>43.1</v>
      </c>
      <c r="DF61" s="228">
        <v>-13.88</v>
      </c>
      <c r="DG61" s="228">
        <v>-0.02</v>
      </c>
      <c r="DH61" s="228">
        <v>28.76</v>
      </c>
      <c r="DI61" s="228">
        <v>30.3</v>
      </c>
      <c r="DJ61" s="228">
        <v>-1.54</v>
      </c>
      <c r="DK61" s="228">
        <v>-1.54</v>
      </c>
      <c r="DL61" s="228">
        <v>30.11</v>
      </c>
      <c r="DM61" s="228">
        <v>30.81</v>
      </c>
      <c r="DN61" s="228">
        <v>-0.7</v>
      </c>
      <c r="DO61" s="228">
        <v>-0.7</v>
      </c>
      <c r="DP61" s="228">
        <v>0.88</v>
      </c>
      <c r="DQ61" s="228">
        <v>0.85</v>
      </c>
      <c r="DR61" s="228">
        <v>0.03</v>
      </c>
      <c r="DS61" s="229">
        <v>3.5299999999999998E-2</v>
      </c>
      <c r="DT61" s="228">
        <v>290</v>
      </c>
      <c r="DU61" s="228">
        <v>280</v>
      </c>
      <c r="DV61" s="228">
        <v>0.48</v>
      </c>
      <c r="DW61" s="228">
        <v>0.74</v>
      </c>
      <c r="DX61" s="228">
        <v>-0.26</v>
      </c>
      <c r="DY61" s="229">
        <v>-0.35139999999999999</v>
      </c>
      <c r="DZ61" s="229">
        <v>1.66E-2</v>
      </c>
      <c r="EA61" s="230">
        <v>4595375</v>
      </c>
      <c r="EB61" s="229">
        <v>5.7999999999999996E-3</v>
      </c>
      <c r="EC61" s="229">
        <v>1.66E-2</v>
      </c>
      <c r="ED61" s="228">
        <v>1.36</v>
      </c>
      <c r="EE61" s="229">
        <v>4.7999999999999996E-3</v>
      </c>
      <c r="EF61" s="230">
        <v>6672082</v>
      </c>
      <c r="EG61" s="230">
        <v>15431018</v>
      </c>
      <c r="EH61" s="229">
        <v>-0.56759999999999999</v>
      </c>
      <c r="EI61" s="229">
        <v>0.48099999999999998</v>
      </c>
      <c r="EJ61" s="231">
        <v>133944.81</v>
      </c>
      <c r="EK61" s="231">
        <v>59989.83</v>
      </c>
      <c r="EL61" s="231">
        <v>46816.800000000003</v>
      </c>
      <c r="EM61" s="231">
        <v>40488</v>
      </c>
      <c r="EN61" s="231">
        <v>240751.44</v>
      </c>
      <c r="EO61" s="231">
        <v>253129.02</v>
      </c>
      <c r="EP61" s="231">
        <v>-12377.58</v>
      </c>
      <c r="EQ61" s="229">
        <v>-4.8899999999999999E-2</v>
      </c>
      <c r="ER61" s="231">
        <v>101887</v>
      </c>
      <c r="ES61" s="231">
        <v>83148</v>
      </c>
      <c r="ET61" s="231">
        <v>814578</v>
      </c>
      <c r="EU61" s="231">
        <v>1251309857</v>
      </c>
      <c r="EV61" s="231">
        <v>999613</v>
      </c>
      <c r="EW61" s="231">
        <v>976969</v>
      </c>
      <c r="EX61" s="231">
        <v>22644</v>
      </c>
      <c r="EY61" s="229">
        <v>2.3199999999999998E-2</v>
      </c>
      <c r="EZ61" s="229">
        <v>0.27960000000000002</v>
      </c>
      <c r="FA61" s="227" t="s">
        <v>556</v>
      </c>
      <c r="FB61" s="161">
        <f t="shared" si="0"/>
        <v>4757850</v>
      </c>
    </row>
    <row r="62" spans="1:158" ht="17.25" hidden="1" thickBot="1" x14ac:dyDescent="0.3">
      <c r="A62" s="226">
        <v>46023</v>
      </c>
      <c r="B62" s="227" t="s">
        <v>162</v>
      </c>
      <c r="C62" s="227" t="s">
        <v>211</v>
      </c>
      <c r="D62" s="228">
        <v>1800</v>
      </c>
      <c r="E62" s="228">
        <v>365.2</v>
      </c>
      <c r="F62" s="228">
        <v>364.65</v>
      </c>
      <c r="G62" s="228">
        <v>0.55000000000000004</v>
      </c>
      <c r="H62" s="229">
        <v>1.5E-3</v>
      </c>
      <c r="I62" s="228">
        <v>363.25</v>
      </c>
      <c r="J62" s="228">
        <v>362.2</v>
      </c>
      <c r="K62" s="228">
        <v>1.05</v>
      </c>
      <c r="L62" s="229">
        <v>2.8999999999999998E-3</v>
      </c>
      <c r="M62" s="228">
        <v>365.2</v>
      </c>
      <c r="N62" s="228">
        <v>364.65</v>
      </c>
      <c r="O62" s="228">
        <v>0.55000000000000004</v>
      </c>
      <c r="P62" s="229">
        <v>1.5E-3</v>
      </c>
      <c r="Q62" s="228">
        <v>367.6</v>
      </c>
      <c r="R62" s="228">
        <v>366.55</v>
      </c>
      <c r="S62" s="228">
        <v>1.05</v>
      </c>
      <c r="T62" s="229">
        <v>2.8999999999999998E-3</v>
      </c>
      <c r="U62" s="228">
        <v>370.45</v>
      </c>
      <c r="V62" s="228">
        <v>364.1</v>
      </c>
      <c r="W62" s="228">
        <v>6.35</v>
      </c>
      <c r="X62" s="229">
        <v>1.7399999999999999E-2</v>
      </c>
      <c r="Y62" s="228">
        <v>1.95</v>
      </c>
      <c r="Z62" s="228">
        <v>2.4500000000000002</v>
      </c>
      <c r="AA62" s="228">
        <v>-0.5</v>
      </c>
      <c r="AB62" s="229">
        <v>5.4000000000000003E-3</v>
      </c>
      <c r="AC62" s="228">
        <v>1.95</v>
      </c>
      <c r="AD62" s="228">
        <v>2.4500000000000002</v>
      </c>
      <c r="AE62" s="228">
        <v>-0.5</v>
      </c>
      <c r="AF62" s="229">
        <v>5.4000000000000003E-3</v>
      </c>
      <c r="AG62" s="228">
        <v>4.3499999999999996</v>
      </c>
      <c r="AH62" s="228">
        <v>4.3499999999999996</v>
      </c>
      <c r="AI62" s="228">
        <v>0</v>
      </c>
      <c r="AJ62" s="229">
        <v>1.2E-2</v>
      </c>
      <c r="AK62" s="228">
        <v>7.2</v>
      </c>
      <c r="AL62" s="228">
        <v>1.9</v>
      </c>
      <c r="AM62" s="228">
        <v>5.3</v>
      </c>
      <c r="AN62" s="229">
        <v>1.9800000000000002E-2</v>
      </c>
      <c r="AO62" s="228">
        <v>364.82</v>
      </c>
      <c r="AP62" s="228">
        <v>367</v>
      </c>
      <c r="AQ62" s="228">
        <v>0</v>
      </c>
      <c r="AR62" s="230">
        <v>1774800</v>
      </c>
      <c r="AS62" s="230">
        <v>2728800</v>
      </c>
      <c r="AT62" s="230">
        <v>-954000</v>
      </c>
      <c r="AU62" s="229">
        <v>-0.34960000000000002</v>
      </c>
      <c r="AV62" s="230">
        <v>1591200</v>
      </c>
      <c r="AW62" s="230">
        <v>2599200</v>
      </c>
      <c r="AX62" s="230">
        <v>-1008000</v>
      </c>
      <c r="AY62" s="229">
        <v>-0.38779999999999998</v>
      </c>
      <c r="AZ62" s="230">
        <v>162000</v>
      </c>
      <c r="BA62" s="230">
        <v>124200</v>
      </c>
      <c r="BB62" s="230">
        <v>37800</v>
      </c>
      <c r="BC62" s="229">
        <v>0.30430000000000001</v>
      </c>
      <c r="BD62" s="230">
        <v>21600</v>
      </c>
      <c r="BE62" s="230">
        <v>5400</v>
      </c>
      <c r="BF62" s="230">
        <v>16200</v>
      </c>
      <c r="BG62" s="229">
        <v>3</v>
      </c>
      <c r="BH62" s="230">
        <v>5333400</v>
      </c>
      <c r="BI62" s="230">
        <v>6456600</v>
      </c>
      <c r="BJ62" s="230">
        <v>-1123200</v>
      </c>
      <c r="BK62" s="229">
        <v>-0.17399999999999999</v>
      </c>
      <c r="BL62" s="230">
        <v>1744200</v>
      </c>
      <c r="BM62" s="230">
        <v>2691000</v>
      </c>
      <c r="BN62" s="230">
        <v>-946800</v>
      </c>
      <c r="BO62" s="229">
        <v>-0.3518</v>
      </c>
      <c r="BP62" s="230">
        <v>8852400</v>
      </c>
      <c r="BQ62" s="230">
        <v>11876400</v>
      </c>
      <c r="BR62" s="230">
        <v>-3024000</v>
      </c>
      <c r="BS62" s="229">
        <v>-0.25459999999999999</v>
      </c>
      <c r="BT62" s="230">
        <v>647360</v>
      </c>
      <c r="BU62" s="230">
        <v>757394</v>
      </c>
      <c r="BV62" s="230">
        <v>-110034</v>
      </c>
      <c r="BW62" s="229">
        <v>-0.14530000000000001</v>
      </c>
      <c r="BX62" s="230">
        <v>30987000</v>
      </c>
      <c r="BY62" s="230">
        <v>30927600</v>
      </c>
      <c r="BZ62" s="230">
        <v>59400</v>
      </c>
      <c r="CA62" s="229">
        <v>1.9E-3</v>
      </c>
      <c r="CB62" s="230">
        <v>29763000</v>
      </c>
      <c r="CC62" s="230">
        <v>29786400</v>
      </c>
      <c r="CD62" s="230">
        <v>-23400</v>
      </c>
      <c r="CE62" s="229">
        <v>-8.0000000000000004E-4</v>
      </c>
      <c r="CF62" s="230">
        <v>1197000</v>
      </c>
      <c r="CG62" s="230">
        <v>1135800</v>
      </c>
      <c r="CH62" s="230">
        <v>61200</v>
      </c>
      <c r="CI62" s="229">
        <v>5.3900000000000003E-2</v>
      </c>
      <c r="CJ62" s="230">
        <v>27000</v>
      </c>
      <c r="CK62" s="230">
        <v>5400</v>
      </c>
      <c r="CL62" s="230">
        <v>21600</v>
      </c>
      <c r="CM62" s="229">
        <v>4</v>
      </c>
      <c r="CN62" s="230">
        <v>9208800</v>
      </c>
      <c r="CO62" s="230">
        <v>8611200</v>
      </c>
      <c r="CP62" s="230">
        <v>597600</v>
      </c>
      <c r="CQ62" s="229">
        <v>6.9400000000000003E-2</v>
      </c>
      <c r="CR62" s="230">
        <v>7018200</v>
      </c>
      <c r="CS62" s="230">
        <v>6589800</v>
      </c>
      <c r="CT62" s="230">
        <v>428400</v>
      </c>
      <c r="CU62" s="229">
        <v>6.5000000000000002E-2</v>
      </c>
      <c r="CV62" s="230">
        <v>47214000</v>
      </c>
      <c r="CW62" s="230">
        <v>46128600</v>
      </c>
      <c r="CX62" s="230">
        <v>1085400</v>
      </c>
      <c r="CY62" s="229">
        <v>2.35E-2</v>
      </c>
      <c r="CZ62" s="228">
        <v>20.5</v>
      </c>
      <c r="DA62" s="228">
        <v>21.07</v>
      </c>
      <c r="DB62" s="228">
        <v>-0.56999999999999995</v>
      </c>
      <c r="DC62" s="228">
        <v>-0.56999999999999995</v>
      </c>
      <c r="DD62" s="228">
        <v>32.92</v>
      </c>
      <c r="DE62" s="228">
        <v>33</v>
      </c>
      <c r="DF62" s="228">
        <v>-12.42</v>
      </c>
      <c r="DG62" s="228">
        <v>-0.08</v>
      </c>
      <c r="DH62" s="228">
        <v>20.41</v>
      </c>
      <c r="DI62" s="228">
        <v>20.8</v>
      </c>
      <c r="DJ62" s="228">
        <v>-0.39</v>
      </c>
      <c r="DK62" s="228">
        <v>-0.39</v>
      </c>
      <c r="DL62" s="228">
        <v>20.77</v>
      </c>
      <c r="DM62" s="228">
        <v>21.74</v>
      </c>
      <c r="DN62" s="228">
        <v>-0.97</v>
      </c>
      <c r="DO62" s="228">
        <v>-0.97</v>
      </c>
      <c r="DP62" s="228">
        <v>0.76</v>
      </c>
      <c r="DQ62" s="228">
        <v>0.77</v>
      </c>
      <c r="DR62" s="228">
        <v>-0.01</v>
      </c>
      <c r="DS62" s="229">
        <v>-1.2999999999999999E-2</v>
      </c>
      <c r="DT62" s="228">
        <v>370</v>
      </c>
      <c r="DU62" s="228">
        <v>340</v>
      </c>
      <c r="DV62" s="228">
        <v>0.33</v>
      </c>
      <c r="DW62" s="228">
        <v>0.42</v>
      </c>
      <c r="DX62" s="228">
        <v>-0.09</v>
      </c>
      <c r="DY62" s="229">
        <v>-0.21429999999999999</v>
      </c>
      <c r="DZ62" s="229">
        <v>3.95E-2</v>
      </c>
      <c r="EA62" s="230">
        <v>1141200</v>
      </c>
      <c r="EB62" s="229">
        <v>6.6E-3</v>
      </c>
      <c r="EC62" s="229">
        <v>3.95E-2</v>
      </c>
      <c r="ED62" s="228">
        <v>2.1800000000000002</v>
      </c>
      <c r="EE62" s="229">
        <v>6.0000000000000001E-3</v>
      </c>
      <c r="EF62" s="230">
        <v>375325</v>
      </c>
      <c r="EG62" s="230">
        <v>272928</v>
      </c>
      <c r="EH62" s="229">
        <v>0.37519999999999998</v>
      </c>
      <c r="EI62" s="229">
        <v>0.57979999999999998</v>
      </c>
      <c r="EJ62" s="231">
        <v>20038.560000000001</v>
      </c>
      <c r="EK62" s="231">
        <v>6270.57</v>
      </c>
      <c r="EL62" s="231">
        <v>6479.45</v>
      </c>
      <c r="EM62" s="231">
        <v>8170</v>
      </c>
      <c r="EN62" s="231">
        <v>32788.58</v>
      </c>
      <c r="EO62" s="231">
        <v>43867.13</v>
      </c>
      <c r="EP62" s="231">
        <v>-11078.55</v>
      </c>
      <c r="EQ62" s="229">
        <v>-0.2525</v>
      </c>
      <c r="ER62" s="231">
        <v>34953</v>
      </c>
      <c r="ES62" s="231">
        <v>25777</v>
      </c>
      <c r="ET62" s="231">
        <v>113195</v>
      </c>
      <c r="EU62" s="231">
        <v>68856800</v>
      </c>
      <c r="EV62" s="231">
        <v>173925</v>
      </c>
      <c r="EW62" s="231">
        <v>169775</v>
      </c>
      <c r="EX62" s="231">
        <v>4150</v>
      </c>
      <c r="EY62" s="229">
        <v>2.4400000000000002E-2</v>
      </c>
      <c r="EZ62" s="229">
        <v>0.68569999999999998</v>
      </c>
      <c r="FA62" s="227" t="s">
        <v>555</v>
      </c>
      <c r="FB62" s="161">
        <f t="shared" si="0"/>
        <v>1224000</v>
      </c>
    </row>
    <row r="63" spans="1:158" ht="17.25" hidden="1" thickBot="1" x14ac:dyDescent="0.3">
      <c r="A63" s="226">
        <v>46023</v>
      </c>
      <c r="B63" s="227" t="s">
        <v>172</v>
      </c>
      <c r="C63" s="227" t="s">
        <v>212</v>
      </c>
      <c r="D63" s="228">
        <v>5000</v>
      </c>
      <c r="E63" s="228">
        <v>266.85000000000002</v>
      </c>
      <c r="F63" s="228">
        <v>267.39999999999998</v>
      </c>
      <c r="G63" s="228">
        <v>-0.55000000000000004</v>
      </c>
      <c r="H63" s="229">
        <v>-2.0999999999999999E-3</v>
      </c>
      <c r="I63" s="228">
        <v>266.25</v>
      </c>
      <c r="J63" s="228">
        <v>267.10000000000002</v>
      </c>
      <c r="K63" s="228">
        <v>-0.85</v>
      </c>
      <c r="L63" s="229">
        <v>-3.2000000000000002E-3</v>
      </c>
      <c r="M63" s="228">
        <v>266.85000000000002</v>
      </c>
      <c r="N63" s="228">
        <v>267.39999999999998</v>
      </c>
      <c r="O63" s="228">
        <v>-0.55000000000000004</v>
      </c>
      <c r="P63" s="229">
        <v>-2.0999999999999999E-3</v>
      </c>
      <c r="Q63" s="228">
        <v>268</v>
      </c>
      <c r="R63" s="228">
        <v>268.39999999999998</v>
      </c>
      <c r="S63" s="228">
        <v>-0.4</v>
      </c>
      <c r="T63" s="229">
        <v>-1.5E-3</v>
      </c>
      <c r="U63" s="228">
        <v>269.05</v>
      </c>
      <c r="V63" s="228">
        <v>269.14999999999998</v>
      </c>
      <c r="W63" s="228">
        <v>-0.1</v>
      </c>
      <c r="X63" s="229">
        <v>-4.0000000000000002E-4</v>
      </c>
      <c r="Y63" s="228">
        <v>0.6</v>
      </c>
      <c r="Z63" s="228">
        <v>0.3</v>
      </c>
      <c r="AA63" s="228">
        <v>0.3</v>
      </c>
      <c r="AB63" s="229">
        <v>2.3E-3</v>
      </c>
      <c r="AC63" s="228">
        <v>0.6</v>
      </c>
      <c r="AD63" s="228">
        <v>0.3</v>
      </c>
      <c r="AE63" s="228">
        <v>0.3</v>
      </c>
      <c r="AF63" s="229">
        <v>2.3E-3</v>
      </c>
      <c r="AG63" s="228">
        <v>1.75</v>
      </c>
      <c r="AH63" s="228">
        <v>1.3</v>
      </c>
      <c r="AI63" s="228">
        <v>0.45</v>
      </c>
      <c r="AJ63" s="229">
        <v>6.6E-3</v>
      </c>
      <c r="AK63" s="228">
        <v>2.8</v>
      </c>
      <c r="AL63" s="228">
        <v>2.0499999999999998</v>
      </c>
      <c r="AM63" s="228">
        <v>0.75</v>
      </c>
      <c r="AN63" s="229">
        <v>1.0500000000000001E-2</v>
      </c>
      <c r="AO63" s="228">
        <v>266.72000000000003</v>
      </c>
      <c r="AP63" s="228">
        <v>267.98</v>
      </c>
      <c r="AQ63" s="228">
        <v>0</v>
      </c>
      <c r="AR63" s="230">
        <v>7100000</v>
      </c>
      <c r="AS63" s="230">
        <v>14905000</v>
      </c>
      <c r="AT63" s="230">
        <v>-7805000</v>
      </c>
      <c r="AU63" s="229">
        <v>-0.52359999999999995</v>
      </c>
      <c r="AV63" s="230">
        <v>6680000</v>
      </c>
      <c r="AW63" s="230">
        <v>13565000</v>
      </c>
      <c r="AX63" s="230">
        <v>-6885000</v>
      </c>
      <c r="AY63" s="229">
        <v>-0.50760000000000005</v>
      </c>
      <c r="AZ63" s="230">
        <v>370000</v>
      </c>
      <c r="BA63" s="230">
        <v>1015000</v>
      </c>
      <c r="BB63" s="230">
        <v>-645000</v>
      </c>
      <c r="BC63" s="229">
        <v>-0.63549999999999995</v>
      </c>
      <c r="BD63" s="230">
        <v>50000</v>
      </c>
      <c r="BE63" s="230">
        <v>325000</v>
      </c>
      <c r="BF63" s="230">
        <v>-275000</v>
      </c>
      <c r="BG63" s="229">
        <v>-0.84619999999999995</v>
      </c>
      <c r="BH63" s="230">
        <v>18950000</v>
      </c>
      <c r="BI63" s="230">
        <v>31345000</v>
      </c>
      <c r="BJ63" s="230">
        <v>-12395000</v>
      </c>
      <c r="BK63" s="229">
        <v>-0.39539999999999997</v>
      </c>
      <c r="BL63" s="230">
        <v>12960000</v>
      </c>
      <c r="BM63" s="230">
        <v>18290000</v>
      </c>
      <c r="BN63" s="230">
        <v>-5330000</v>
      </c>
      <c r="BO63" s="229">
        <v>-0.29139999999999999</v>
      </c>
      <c r="BP63" s="230">
        <v>39010000</v>
      </c>
      <c r="BQ63" s="230">
        <v>64540000</v>
      </c>
      <c r="BR63" s="230">
        <v>-25530000</v>
      </c>
      <c r="BS63" s="229">
        <v>-0.39560000000000001</v>
      </c>
      <c r="BT63" s="230">
        <v>2949039</v>
      </c>
      <c r="BU63" s="230">
        <v>6313855</v>
      </c>
      <c r="BV63" s="230">
        <v>-3364816</v>
      </c>
      <c r="BW63" s="229">
        <v>-0.53290000000000004</v>
      </c>
      <c r="BX63" s="230">
        <v>54085000</v>
      </c>
      <c r="BY63" s="230">
        <v>54340000</v>
      </c>
      <c r="BZ63" s="230">
        <v>-255000</v>
      </c>
      <c r="CA63" s="229">
        <v>-4.7000000000000002E-3</v>
      </c>
      <c r="CB63" s="230">
        <v>52080000</v>
      </c>
      <c r="CC63" s="230">
        <v>52445000</v>
      </c>
      <c r="CD63" s="230">
        <v>-365000</v>
      </c>
      <c r="CE63" s="229">
        <v>-7.0000000000000001E-3</v>
      </c>
      <c r="CF63" s="230">
        <v>1660000</v>
      </c>
      <c r="CG63" s="230">
        <v>1590000</v>
      </c>
      <c r="CH63" s="230">
        <v>70000</v>
      </c>
      <c r="CI63" s="229">
        <v>4.3999999999999997E-2</v>
      </c>
      <c r="CJ63" s="230">
        <v>345000</v>
      </c>
      <c r="CK63" s="230">
        <v>305000</v>
      </c>
      <c r="CL63" s="230">
        <v>40000</v>
      </c>
      <c r="CM63" s="229">
        <v>0.13109999999999999</v>
      </c>
      <c r="CN63" s="230">
        <v>19895000</v>
      </c>
      <c r="CO63" s="230">
        <v>18160000</v>
      </c>
      <c r="CP63" s="230">
        <v>1735000</v>
      </c>
      <c r="CQ63" s="229">
        <v>9.5500000000000002E-2</v>
      </c>
      <c r="CR63" s="230">
        <v>17675000</v>
      </c>
      <c r="CS63" s="230">
        <v>14710000</v>
      </c>
      <c r="CT63" s="230">
        <v>2965000</v>
      </c>
      <c r="CU63" s="229">
        <v>0.2016</v>
      </c>
      <c r="CV63" s="230">
        <v>91655000</v>
      </c>
      <c r="CW63" s="230">
        <v>87210000</v>
      </c>
      <c r="CX63" s="230">
        <v>4445000</v>
      </c>
      <c r="CY63" s="229">
        <v>5.0999999999999997E-2</v>
      </c>
      <c r="CZ63" s="228">
        <v>22.63</v>
      </c>
      <c r="DA63" s="228">
        <v>21.95</v>
      </c>
      <c r="DB63" s="228">
        <v>0.68</v>
      </c>
      <c r="DC63" s="228">
        <v>0.68</v>
      </c>
      <c r="DD63" s="228">
        <v>27.95</v>
      </c>
      <c r="DE63" s="228">
        <v>28.02</v>
      </c>
      <c r="DF63" s="228">
        <v>-5.32</v>
      </c>
      <c r="DG63" s="228">
        <v>-7.0000000000000007E-2</v>
      </c>
      <c r="DH63" s="228">
        <v>22.45</v>
      </c>
      <c r="DI63" s="228">
        <v>21.83</v>
      </c>
      <c r="DJ63" s="228">
        <v>0.62</v>
      </c>
      <c r="DK63" s="228">
        <v>0.62</v>
      </c>
      <c r="DL63" s="228">
        <v>22.88</v>
      </c>
      <c r="DM63" s="228">
        <v>22.17</v>
      </c>
      <c r="DN63" s="228">
        <v>0.71</v>
      </c>
      <c r="DO63" s="228">
        <v>0.71</v>
      </c>
      <c r="DP63" s="228">
        <v>0.89</v>
      </c>
      <c r="DQ63" s="228">
        <v>0.81</v>
      </c>
      <c r="DR63" s="228">
        <v>0.08</v>
      </c>
      <c r="DS63" s="229">
        <v>9.8799999999999999E-2</v>
      </c>
      <c r="DT63" s="228">
        <v>270</v>
      </c>
      <c r="DU63" s="228">
        <v>260</v>
      </c>
      <c r="DV63" s="228">
        <v>0.68</v>
      </c>
      <c r="DW63" s="228">
        <v>0.57999999999999996</v>
      </c>
      <c r="DX63" s="228">
        <v>0.1</v>
      </c>
      <c r="DY63" s="229">
        <v>0.1724</v>
      </c>
      <c r="DZ63" s="229">
        <v>3.7100000000000001E-2</v>
      </c>
      <c r="EA63" s="230">
        <v>1895000</v>
      </c>
      <c r="EB63" s="229">
        <v>4.3E-3</v>
      </c>
      <c r="EC63" s="229">
        <v>3.7100000000000001E-2</v>
      </c>
      <c r="ED63" s="228">
        <v>1.26</v>
      </c>
      <c r="EE63" s="229">
        <v>4.7000000000000002E-3</v>
      </c>
      <c r="EF63" s="230">
        <v>1392268</v>
      </c>
      <c r="EG63" s="230">
        <v>3921579</v>
      </c>
      <c r="EH63" s="229">
        <v>-0.64500000000000002</v>
      </c>
      <c r="EI63" s="229">
        <v>0.47210000000000002</v>
      </c>
      <c r="EJ63" s="231">
        <v>53019.45</v>
      </c>
      <c r="EK63" s="231">
        <v>34026.99</v>
      </c>
      <c r="EL63" s="231">
        <v>18942.7</v>
      </c>
      <c r="EM63" s="231">
        <v>9631</v>
      </c>
      <c r="EN63" s="231">
        <v>105989.14</v>
      </c>
      <c r="EO63" s="231">
        <v>175758.46</v>
      </c>
      <c r="EP63" s="231">
        <v>-69769.320000000007</v>
      </c>
      <c r="EQ63" s="229">
        <v>-0.39700000000000002</v>
      </c>
      <c r="ER63" s="231">
        <v>54358</v>
      </c>
      <c r="ES63" s="231">
        <v>45422</v>
      </c>
      <c r="ET63" s="231">
        <v>144353</v>
      </c>
      <c r="EU63" s="231">
        <v>320636733</v>
      </c>
      <c r="EV63" s="231">
        <v>244132</v>
      </c>
      <c r="EW63" s="231">
        <v>232676</v>
      </c>
      <c r="EX63" s="231">
        <v>11456</v>
      </c>
      <c r="EY63" s="229">
        <v>4.9200000000000001E-2</v>
      </c>
      <c r="EZ63" s="229">
        <v>0.28589999999999999</v>
      </c>
      <c r="FA63" s="227" t="s">
        <v>568</v>
      </c>
      <c r="FB63" s="161">
        <f t="shared" si="0"/>
        <v>2005000</v>
      </c>
    </row>
    <row r="64" spans="1:158" ht="17.25" hidden="1" thickBot="1" x14ac:dyDescent="0.3">
      <c r="A64" s="226">
        <v>46023</v>
      </c>
      <c r="B64" s="227" t="s">
        <v>181</v>
      </c>
      <c r="C64" s="227" t="s">
        <v>480</v>
      </c>
      <c r="D64" s="228">
        <v>60</v>
      </c>
      <c r="E64" s="231">
        <v>27798.3</v>
      </c>
      <c r="F64" s="231">
        <v>27763.599999999999</v>
      </c>
      <c r="G64" s="228">
        <v>34.700000000000003</v>
      </c>
      <c r="H64" s="229">
        <v>1.1999999999999999E-3</v>
      </c>
      <c r="I64" s="231">
        <v>27666.799999999999</v>
      </c>
      <c r="J64" s="231">
        <v>27613.3</v>
      </c>
      <c r="K64" s="228">
        <v>53.5</v>
      </c>
      <c r="L64" s="229">
        <v>1.9E-3</v>
      </c>
      <c r="M64" s="231">
        <v>27798.3</v>
      </c>
      <c r="N64" s="231">
        <v>27763.599999999999</v>
      </c>
      <c r="O64" s="228">
        <v>34.700000000000003</v>
      </c>
      <c r="P64" s="229">
        <v>1.1999999999999999E-3</v>
      </c>
      <c r="Q64" s="231">
        <v>27960.400000000001</v>
      </c>
      <c r="R64" s="231">
        <v>27960.400000000001</v>
      </c>
      <c r="S64" s="228">
        <v>0</v>
      </c>
      <c r="T64" s="229">
        <v>0</v>
      </c>
      <c r="U64" s="228">
        <v>0</v>
      </c>
      <c r="V64" s="228">
        <v>0</v>
      </c>
      <c r="W64" s="228">
        <v>0</v>
      </c>
      <c r="X64" s="229">
        <v>0</v>
      </c>
      <c r="Y64" s="228">
        <v>131.5</v>
      </c>
      <c r="Z64" s="228">
        <v>150.30000000000001</v>
      </c>
      <c r="AA64" s="228">
        <v>-18.8</v>
      </c>
      <c r="AB64" s="229">
        <v>4.7999999999999996E-3</v>
      </c>
      <c r="AC64" s="228">
        <v>131.5</v>
      </c>
      <c r="AD64" s="228">
        <v>150.30000000000001</v>
      </c>
      <c r="AE64" s="228">
        <v>-18.8</v>
      </c>
      <c r="AF64" s="229">
        <v>4.7999999999999996E-3</v>
      </c>
      <c r="AG64" s="228">
        <v>293.60000000000002</v>
      </c>
      <c r="AH64" s="228">
        <v>347.1</v>
      </c>
      <c r="AI64" s="228">
        <v>-53.5</v>
      </c>
      <c r="AJ64" s="229">
        <v>1.06E-2</v>
      </c>
      <c r="AK64" s="228">
        <v>0</v>
      </c>
      <c r="AL64" s="228">
        <v>0</v>
      </c>
      <c r="AM64" s="228">
        <v>0</v>
      </c>
      <c r="AN64" s="229">
        <v>0</v>
      </c>
      <c r="AO64" s="231">
        <v>27779.55</v>
      </c>
      <c r="AP64" s="231">
        <v>27960.400000000001</v>
      </c>
      <c r="AQ64" s="228">
        <v>0</v>
      </c>
      <c r="AR64" s="230">
        <v>11880</v>
      </c>
      <c r="AS64" s="230">
        <v>27300</v>
      </c>
      <c r="AT64" s="230">
        <v>-15420</v>
      </c>
      <c r="AU64" s="229">
        <v>-0.56479999999999997</v>
      </c>
      <c r="AV64" s="230">
        <v>11880</v>
      </c>
      <c r="AW64" s="230">
        <v>27120</v>
      </c>
      <c r="AX64" s="230">
        <v>-15240</v>
      </c>
      <c r="AY64" s="229">
        <v>-0.56189999999999996</v>
      </c>
      <c r="AZ64" s="228">
        <v>0</v>
      </c>
      <c r="BA64" s="228">
        <v>180</v>
      </c>
      <c r="BB64" s="228">
        <v>-180</v>
      </c>
      <c r="BC64" s="229">
        <v>-1</v>
      </c>
      <c r="BD64" s="228">
        <v>0</v>
      </c>
      <c r="BE64" s="228">
        <v>0</v>
      </c>
      <c r="BF64" s="228">
        <v>0</v>
      </c>
      <c r="BG64" s="229">
        <v>0</v>
      </c>
      <c r="BH64" s="230">
        <v>313860</v>
      </c>
      <c r="BI64" s="230">
        <v>522540</v>
      </c>
      <c r="BJ64" s="230">
        <v>-208680</v>
      </c>
      <c r="BK64" s="229">
        <v>-0.39939999999999998</v>
      </c>
      <c r="BL64" s="230">
        <v>337620</v>
      </c>
      <c r="BM64" s="230">
        <v>413640</v>
      </c>
      <c r="BN64" s="230">
        <v>-76020</v>
      </c>
      <c r="BO64" s="229">
        <v>-0.18379999999999999</v>
      </c>
      <c r="BP64" s="230">
        <v>663360</v>
      </c>
      <c r="BQ64" s="230">
        <v>963480</v>
      </c>
      <c r="BR64" s="230">
        <v>-300120</v>
      </c>
      <c r="BS64" s="229">
        <v>-0.3115</v>
      </c>
      <c r="BT64" s="228">
        <v>0</v>
      </c>
      <c r="BU64" s="228">
        <v>0</v>
      </c>
      <c r="BV64" s="228">
        <v>0</v>
      </c>
      <c r="BW64" s="229">
        <v>0</v>
      </c>
      <c r="BX64" s="230">
        <v>35340</v>
      </c>
      <c r="BY64" s="230">
        <v>31620</v>
      </c>
      <c r="BZ64" s="230">
        <v>3720</v>
      </c>
      <c r="CA64" s="229">
        <v>0.1176</v>
      </c>
      <c r="CB64" s="230">
        <v>35220</v>
      </c>
      <c r="CC64" s="230">
        <v>31500</v>
      </c>
      <c r="CD64" s="230">
        <v>3720</v>
      </c>
      <c r="CE64" s="229">
        <v>0.1181</v>
      </c>
      <c r="CF64" s="228">
        <v>120</v>
      </c>
      <c r="CG64" s="228">
        <v>120</v>
      </c>
      <c r="CH64" s="228">
        <v>0</v>
      </c>
      <c r="CI64" s="229">
        <v>0</v>
      </c>
      <c r="CJ64" s="228">
        <v>0</v>
      </c>
      <c r="CK64" s="228">
        <v>0</v>
      </c>
      <c r="CL64" s="228">
        <v>0</v>
      </c>
      <c r="CM64" s="229">
        <v>0</v>
      </c>
      <c r="CN64" s="230">
        <v>169020</v>
      </c>
      <c r="CO64" s="230">
        <v>138000</v>
      </c>
      <c r="CP64" s="230">
        <v>31020</v>
      </c>
      <c r="CQ64" s="229">
        <v>0.2248</v>
      </c>
      <c r="CR64" s="230">
        <v>144540</v>
      </c>
      <c r="CS64" s="230">
        <v>115020</v>
      </c>
      <c r="CT64" s="230">
        <v>29520</v>
      </c>
      <c r="CU64" s="229">
        <v>0.25669999999999998</v>
      </c>
      <c r="CV64" s="230">
        <v>348900</v>
      </c>
      <c r="CW64" s="230">
        <v>284640</v>
      </c>
      <c r="CX64" s="230">
        <v>64260</v>
      </c>
      <c r="CY64" s="229">
        <v>0.2258</v>
      </c>
      <c r="CZ64" s="228">
        <v>10.39</v>
      </c>
      <c r="DA64" s="228">
        <v>10.78</v>
      </c>
      <c r="DB64" s="228">
        <v>-0.39</v>
      </c>
      <c r="DC64" s="228">
        <v>-0.39</v>
      </c>
      <c r="DD64" s="228">
        <v>16.3</v>
      </c>
      <c r="DE64" s="228">
        <v>16.34</v>
      </c>
      <c r="DF64" s="228">
        <v>-5.91</v>
      </c>
      <c r="DG64" s="228">
        <v>-0.04</v>
      </c>
      <c r="DH64" s="228">
        <v>10.1</v>
      </c>
      <c r="DI64" s="228">
        <v>10.68</v>
      </c>
      <c r="DJ64" s="228">
        <v>-0.57999999999999996</v>
      </c>
      <c r="DK64" s="228">
        <v>-0.57999999999999996</v>
      </c>
      <c r="DL64" s="228">
        <v>10.65</v>
      </c>
      <c r="DM64" s="228">
        <v>10.9</v>
      </c>
      <c r="DN64" s="228">
        <v>-0.25</v>
      </c>
      <c r="DO64" s="228">
        <v>-0.25</v>
      </c>
      <c r="DP64" s="228">
        <v>0.86</v>
      </c>
      <c r="DQ64" s="228">
        <v>0.83</v>
      </c>
      <c r="DR64" s="228">
        <v>0.03</v>
      </c>
      <c r="DS64" s="229">
        <v>3.61E-2</v>
      </c>
      <c r="DT64" s="231">
        <v>28000</v>
      </c>
      <c r="DU64" s="231">
        <v>27500</v>
      </c>
      <c r="DV64" s="228">
        <v>1.08</v>
      </c>
      <c r="DW64" s="228">
        <v>0.79</v>
      </c>
      <c r="DX64" s="228">
        <v>0.28999999999999998</v>
      </c>
      <c r="DY64" s="229">
        <v>0.36709999999999998</v>
      </c>
      <c r="DZ64" s="229">
        <v>3.3999999999999998E-3</v>
      </c>
      <c r="EA64" s="228">
        <v>120</v>
      </c>
      <c r="EB64" s="229">
        <v>5.7999999999999996E-3</v>
      </c>
      <c r="EC64" s="229">
        <v>3.3999999999999998E-3</v>
      </c>
      <c r="ED64" s="228">
        <v>180.85</v>
      </c>
      <c r="EE64" s="229">
        <v>6.4999999999999997E-3</v>
      </c>
      <c r="EF64" s="228">
        <v>0</v>
      </c>
      <c r="EG64" s="228">
        <v>0</v>
      </c>
      <c r="EH64" s="229">
        <v>0</v>
      </c>
      <c r="EI64" s="229">
        <v>0</v>
      </c>
      <c r="EJ64" s="231">
        <v>88581.11</v>
      </c>
      <c r="EK64" s="231">
        <v>93384.22</v>
      </c>
      <c r="EL64" s="231">
        <v>3300.21</v>
      </c>
      <c r="EM64" s="228">
        <v>0</v>
      </c>
      <c r="EN64" s="231">
        <v>185265.54</v>
      </c>
      <c r="EO64" s="231">
        <v>269645.09999999998</v>
      </c>
      <c r="EP64" s="231">
        <v>-84379.56</v>
      </c>
      <c r="EQ64" s="229">
        <v>-0.31290000000000001</v>
      </c>
      <c r="ER64" s="231">
        <v>47326</v>
      </c>
      <c r="ES64" s="231">
        <v>39527</v>
      </c>
      <c r="ET64" s="231">
        <v>9824</v>
      </c>
      <c r="EU64" s="228">
        <v>0</v>
      </c>
      <c r="EV64" s="231">
        <v>96678</v>
      </c>
      <c r="EW64" s="231">
        <v>78822</v>
      </c>
      <c r="EX64" s="231">
        <v>17856</v>
      </c>
      <c r="EY64" s="229">
        <v>0.22650000000000001</v>
      </c>
      <c r="EZ64" s="229">
        <v>0</v>
      </c>
      <c r="FA64" s="227" t="s">
        <v>555</v>
      </c>
      <c r="FB64" s="161">
        <f t="shared" si="0"/>
        <v>120</v>
      </c>
    </row>
    <row r="65" spans="1:158" ht="17.25" hidden="1" thickBot="1" x14ac:dyDescent="0.3">
      <c r="A65" s="226">
        <v>46023</v>
      </c>
      <c r="B65" s="227" t="s">
        <v>170</v>
      </c>
      <c r="C65" s="227" t="s">
        <v>677</v>
      </c>
      <c r="D65" s="228">
        <v>775</v>
      </c>
      <c r="E65" s="228">
        <v>904.9</v>
      </c>
      <c r="F65" s="228">
        <v>889.3</v>
      </c>
      <c r="G65" s="228">
        <v>15.6</v>
      </c>
      <c r="H65" s="229">
        <v>1.7500000000000002E-2</v>
      </c>
      <c r="I65" s="228">
        <v>900.55</v>
      </c>
      <c r="J65" s="228">
        <v>884</v>
      </c>
      <c r="K65" s="228">
        <v>16.55</v>
      </c>
      <c r="L65" s="229">
        <v>1.8700000000000001E-2</v>
      </c>
      <c r="M65" s="228">
        <v>904.9</v>
      </c>
      <c r="N65" s="228">
        <v>889.3</v>
      </c>
      <c r="O65" s="228">
        <v>15.6</v>
      </c>
      <c r="P65" s="229">
        <v>1.7500000000000002E-2</v>
      </c>
      <c r="Q65" s="228">
        <v>910.55</v>
      </c>
      <c r="R65" s="228">
        <v>894.1</v>
      </c>
      <c r="S65" s="228">
        <v>16.45</v>
      </c>
      <c r="T65" s="229">
        <v>1.84E-2</v>
      </c>
      <c r="U65" s="228">
        <v>906.6</v>
      </c>
      <c r="V65" s="228">
        <v>897.6</v>
      </c>
      <c r="W65" s="228">
        <v>9</v>
      </c>
      <c r="X65" s="229">
        <v>0.01</v>
      </c>
      <c r="Y65" s="228">
        <v>4.3499999999999996</v>
      </c>
      <c r="Z65" s="228">
        <v>5.3</v>
      </c>
      <c r="AA65" s="228">
        <v>-0.95</v>
      </c>
      <c r="AB65" s="229">
        <v>4.7999999999999996E-3</v>
      </c>
      <c r="AC65" s="228">
        <v>4.3499999999999996</v>
      </c>
      <c r="AD65" s="228">
        <v>5.3</v>
      </c>
      <c r="AE65" s="228">
        <v>-0.95</v>
      </c>
      <c r="AF65" s="229">
        <v>4.7999999999999996E-3</v>
      </c>
      <c r="AG65" s="228">
        <v>10</v>
      </c>
      <c r="AH65" s="228">
        <v>10.1</v>
      </c>
      <c r="AI65" s="228">
        <v>-0.1</v>
      </c>
      <c r="AJ65" s="229">
        <v>1.11E-2</v>
      </c>
      <c r="AK65" s="228">
        <v>6.05</v>
      </c>
      <c r="AL65" s="228">
        <v>13.6</v>
      </c>
      <c r="AM65" s="228">
        <v>-7.55</v>
      </c>
      <c r="AN65" s="229">
        <v>6.7000000000000002E-3</v>
      </c>
      <c r="AO65" s="228">
        <v>897.87</v>
      </c>
      <c r="AP65" s="228">
        <v>904.55</v>
      </c>
      <c r="AQ65" s="228">
        <v>0</v>
      </c>
      <c r="AR65" s="230">
        <v>1367875</v>
      </c>
      <c r="AS65" s="230">
        <v>998975</v>
      </c>
      <c r="AT65" s="230">
        <v>368900</v>
      </c>
      <c r="AU65" s="229">
        <v>0.36930000000000002</v>
      </c>
      <c r="AV65" s="230">
        <v>1306650</v>
      </c>
      <c r="AW65" s="230">
        <v>976500</v>
      </c>
      <c r="AX65" s="230">
        <v>330150</v>
      </c>
      <c r="AY65" s="229">
        <v>0.33810000000000001</v>
      </c>
      <c r="AZ65" s="230">
        <v>60450</v>
      </c>
      <c r="BA65" s="230">
        <v>21700</v>
      </c>
      <c r="BB65" s="230">
        <v>38750</v>
      </c>
      <c r="BC65" s="229">
        <v>1.7857000000000001</v>
      </c>
      <c r="BD65" s="228">
        <v>775</v>
      </c>
      <c r="BE65" s="228">
        <v>775</v>
      </c>
      <c r="BF65" s="228">
        <v>0</v>
      </c>
      <c r="BG65" s="229">
        <v>0</v>
      </c>
      <c r="BH65" s="230">
        <v>2821000</v>
      </c>
      <c r="BI65" s="230">
        <v>922250</v>
      </c>
      <c r="BJ65" s="230">
        <v>1898750</v>
      </c>
      <c r="BK65" s="229">
        <v>2.0588000000000002</v>
      </c>
      <c r="BL65" s="230">
        <v>624650</v>
      </c>
      <c r="BM65" s="230">
        <v>302250</v>
      </c>
      <c r="BN65" s="230">
        <v>322400</v>
      </c>
      <c r="BO65" s="229">
        <v>1.0667</v>
      </c>
      <c r="BP65" s="230">
        <v>4813525</v>
      </c>
      <c r="BQ65" s="230">
        <v>2223475</v>
      </c>
      <c r="BR65" s="230">
        <v>2590050</v>
      </c>
      <c r="BS65" s="229">
        <v>1.1649</v>
      </c>
      <c r="BT65" s="230">
        <v>934896</v>
      </c>
      <c r="BU65" s="230">
        <v>948464</v>
      </c>
      <c r="BV65" s="230">
        <v>-13568</v>
      </c>
      <c r="BW65" s="229">
        <v>-1.43E-2</v>
      </c>
      <c r="BX65" s="230">
        <v>11662975</v>
      </c>
      <c r="BY65" s="230">
        <v>11537425</v>
      </c>
      <c r="BZ65" s="230">
        <v>125550</v>
      </c>
      <c r="CA65" s="229">
        <v>1.09E-2</v>
      </c>
      <c r="CB65" s="230">
        <v>11527350</v>
      </c>
      <c r="CC65" s="230">
        <v>11414975</v>
      </c>
      <c r="CD65" s="230">
        <v>112375</v>
      </c>
      <c r="CE65" s="229">
        <v>9.7999999999999997E-3</v>
      </c>
      <c r="CF65" s="230">
        <v>134075</v>
      </c>
      <c r="CG65" s="230">
        <v>121675</v>
      </c>
      <c r="CH65" s="230">
        <v>12400</v>
      </c>
      <c r="CI65" s="229">
        <v>0.1019</v>
      </c>
      <c r="CJ65" s="230">
        <v>1550</v>
      </c>
      <c r="CK65" s="228">
        <v>775</v>
      </c>
      <c r="CL65" s="228">
        <v>775</v>
      </c>
      <c r="CM65" s="229">
        <v>1</v>
      </c>
      <c r="CN65" s="230">
        <v>1939825</v>
      </c>
      <c r="CO65" s="230">
        <v>1435300</v>
      </c>
      <c r="CP65" s="230">
        <v>504525</v>
      </c>
      <c r="CQ65" s="229">
        <v>0.35149999999999998</v>
      </c>
      <c r="CR65" s="230">
        <v>1179550</v>
      </c>
      <c r="CS65" s="230">
        <v>1108250</v>
      </c>
      <c r="CT65" s="230">
        <v>71300</v>
      </c>
      <c r="CU65" s="229">
        <v>6.4299999999999996E-2</v>
      </c>
      <c r="CV65" s="230">
        <v>14782350</v>
      </c>
      <c r="CW65" s="230">
        <v>14080975</v>
      </c>
      <c r="CX65" s="230">
        <v>701375</v>
      </c>
      <c r="CY65" s="229">
        <v>4.9799999999999997E-2</v>
      </c>
      <c r="CZ65" s="228">
        <v>24.74</v>
      </c>
      <c r="DA65" s="228">
        <v>24.14</v>
      </c>
      <c r="DB65" s="228">
        <v>0.6</v>
      </c>
      <c r="DC65" s="228">
        <v>0.6</v>
      </c>
      <c r="DD65" s="228">
        <v>35.04</v>
      </c>
      <c r="DE65" s="228">
        <v>35.04</v>
      </c>
      <c r="DF65" s="228">
        <v>-10.3</v>
      </c>
      <c r="DG65" s="228">
        <v>0</v>
      </c>
      <c r="DH65" s="228">
        <v>24.76</v>
      </c>
      <c r="DI65" s="228">
        <v>24.1</v>
      </c>
      <c r="DJ65" s="228">
        <v>0.66</v>
      </c>
      <c r="DK65" s="228">
        <v>0.66</v>
      </c>
      <c r="DL65" s="228">
        <v>24.64</v>
      </c>
      <c r="DM65" s="228">
        <v>24.25</v>
      </c>
      <c r="DN65" s="228">
        <v>0.39</v>
      </c>
      <c r="DO65" s="228">
        <v>0.39</v>
      </c>
      <c r="DP65" s="228">
        <v>0.61</v>
      </c>
      <c r="DQ65" s="228">
        <v>0.77</v>
      </c>
      <c r="DR65" s="228">
        <v>-0.16</v>
      </c>
      <c r="DS65" s="229">
        <v>-0.20780000000000001</v>
      </c>
      <c r="DT65" s="228">
        <v>900</v>
      </c>
      <c r="DU65" s="228">
        <v>900</v>
      </c>
      <c r="DV65" s="228">
        <v>0.22</v>
      </c>
      <c r="DW65" s="228">
        <v>0.33</v>
      </c>
      <c r="DX65" s="228">
        <v>-0.11</v>
      </c>
      <c r="DY65" s="229">
        <v>-0.33329999999999999</v>
      </c>
      <c r="DZ65" s="229">
        <v>1.1599999999999999E-2</v>
      </c>
      <c r="EA65" s="230">
        <v>122450</v>
      </c>
      <c r="EB65" s="229">
        <v>6.1999999999999998E-3</v>
      </c>
      <c r="EC65" s="229">
        <v>1.1599999999999999E-2</v>
      </c>
      <c r="ED65" s="228">
        <v>6.68</v>
      </c>
      <c r="EE65" s="229">
        <v>7.4000000000000003E-3</v>
      </c>
      <c r="EF65" s="230">
        <v>443330</v>
      </c>
      <c r="EG65" s="230">
        <v>581497</v>
      </c>
      <c r="EH65" s="229">
        <v>-0.23760000000000001</v>
      </c>
      <c r="EI65" s="229">
        <v>0.47420000000000001</v>
      </c>
      <c r="EJ65" s="231">
        <v>26604.68</v>
      </c>
      <c r="EK65" s="231">
        <v>5528.7</v>
      </c>
      <c r="EL65" s="231">
        <v>12285.83</v>
      </c>
      <c r="EM65" s="231">
        <v>7838</v>
      </c>
      <c r="EN65" s="231">
        <v>44419.21</v>
      </c>
      <c r="EO65" s="231">
        <v>20182.259999999998</v>
      </c>
      <c r="EP65" s="231">
        <v>24236.95</v>
      </c>
      <c r="EQ65" s="229">
        <v>1.2009000000000001</v>
      </c>
      <c r="ER65" s="231">
        <v>18126</v>
      </c>
      <c r="ES65" s="231">
        <v>10618</v>
      </c>
      <c r="ET65" s="231">
        <v>105546</v>
      </c>
      <c r="EU65" s="231">
        <v>77949604</v>
      </c>
      <c r="EV65" s="231">
        <v>134291</v>
      </c>
      <c r="EW65" s="231">
        <v>125994</v>
      </c>
      <c r="EX65" s="231">
        <v>8297</v>
      </c>
      <c r="EY65" s="229">
        <v>6.59E-2</v>
      </c>
      <c r="EZ65" s="229">
        <v>0.18959999999999999</v>
      </c>
      <c r="FA65" s="227" t="s">
        <v>555</v>
      </c>
      <c r="FB65" s="161">
        <f t="shared" si="0"/>
        <v>135625</v>
      </c>
    </row>
    <row r="66" spans="1:158" ht="17.25" hidden="1" thickBot="1" x14ac:dyDescent="0.3">
      <c r="A66" s="226">
        <v>46023</v>
      </c>
      <c r="B66" s="227" t="s">
        <v>193</v>
      </c>
      <c r="C66" s="227" t="s">
        <v>213</v>
      </c>
      <c r="D66" s="228">
        <v>3150</v>
      </c>
      <c r="E66" s="228">
        <v>172.82</v>
      </c>
      <c r="F66" s="228">
        <v>173.14</v>
      </c>
      <c r="G66" s="228">
        <v>-0.32</v>
      </c>
      <c r="H66" s="229">
        <v>-1.8E-3</v>
      </c>
      <c r="I66" s="228">
        <v>171.77</v>
      </c>
      <c r="J66" s="228">
        <v>172.16</v>
      </c>
      <c r="K66" s="228">
        <v>-0.39</v>
      </c>
      <c r="L66" s="229">
        <v>-2.3E-3</v>
      </c>
      <c r="M66" s="228">
        <v>172.82</v>
      </c>
      <c r="N66" s="228">
        <v>173.14</v>
      </c>
      <c r="O66" s="228">
        <v>-0.32</v>
      </c>
      <c r="P66" s="229">
        <v>-1.8E-3</v>
      </c>
      <c r="Q66" s="228">
        <v>173.94</v>
      </c>
      <c r="R66" s="228">
        <v>174.11</v>
      </c>
      <c r="S66" s="228">
        <v>-0.17</v>
      </c>
      <c r="T66" s="229">
        <v>-1E-3</v>
      </c>
      <c r="U66" s="228">
        <v>174.77</v>
      </c>
      <c r="V66" s="228">
        <v>175.17</v>
      </c>
      <c r="W66" s="228">
        <v>-0.4</v>
      </c>
      <c r="X66" s="229">
        <v>-2.3E-3</v>
      </c>
      <c r="Y66" s="228">
        <v>1.05</v>
      </c>
      <c r="Z66" s="228">
        <v>0.98</v>
      </c>
      <c r="AA66" s="228">
        <v>7.0000000000000007E-2</v>
      </c>
      <c r="AB66" s="229">
        <v>6.1000000000000004E-3</v>
      </c>
      <c r="AC66" s="228">
        <v>1.05</v>
      </c>
      <c r="AD66" s="228">
        <v>0.98</v>
      </c>
      <c r="AE66" s="228">
        <v>7.0000000000000007E-2</v>
      </c>
      <c r="AF66" s="229">
        <v>6.1000000000000004E-3</v>
      </c>
      <c r="AG66" s="228">
        <v>2.17</v>
      </c>
      <c r="AH66" s="228">
        <v>1.95</v>
      </c>
      <c r="AI66" s="228">
        <v>0.22</v>
      </c>
      <c r="AJ66" s="229">
        <v>1.26E-2</v>
      </c>
      <c r="AK66" s="228">
        <v>3</v>
      </c>
      <c r="AL66" s="228">
        <v>3.01</v>
      </c>
      <c r="AM66" s="228">
        <v>-0.01</v>
      </c>
      <c r="AN66" s="229">
        <v>1.7500000000000002E-2</v>
      </c>
      <c r="AO66" s="228">
        <v>172.63</v>
      </c>
      <c r="AP66" s="228">
        <v>173.73</v>
      </c>
      <c r="AQ66" s="228">
        <v>0</v>
      </c>
      <c r="AR66" s="230">
        <v>3880800</v>
      </c>
      <c r="AS66" s="230">
        <v>9434250</v>
      </c>
      <c r="AT66" s="230">
        <v>-5553450</v>
      </c>
      <c r="AU66" s="229">
        <v>-0.58860000000000001</v>
      </c>
      <c r="AV66" s="230">
        <v>3682350</v>
      </c>
      <c r="AW66" s="230">
        <v>9046800</v>
      </c>
      <c r="AX66" s="230">
        <v>-5364450</v>
      </c>
      <c r="AY66" s="229">
        <v>-0.59299999999999997</v>
      </c>
      <c r="AZ66" s="230">
        <v>182700</v>
      </c>
      <c r="BA66" s="230">
        <v>299250</v>
      </c>
      <c r="BB66" s="230">
        <v>-116550</v>
      </c>
      <c r="BC66" s="229">
        <v>-0.38950000000000001</v>
      </c>
      <c r="BD66" s="230">
        <v>15750</v>
      </c>
      <c r="BE66" s="230">
        <v>88200</v>
      </c>
      <c r="BF66" s="230">
        <v>-72450</v>
      </c>
      <c r="BG66" s="229">
        <v>-0.82140000000000002</v>
      </c>
      <c r="BH66" s="230">
        <v>10470600</v>
      </c>
      <c r="BI66" s="230">
        <v>17810100</v>
      </c>
      <c r="BJ66" s="230">
        <v>-7339500</v>
      </c>
      <c r="BK66" s="229">
        <v>-0.41210000000000002</v>
      </c>
      <c r="BL66" s="230">
        <v>4942350</v>
      </c>
      <c r="BM66" s="230">
        <v>14278950</v>
      </c>
      <c r="BN66" s="230">
        <v>-9336600</v>
      </c>
      <c r="BO66" s="229">
        <v>-0.65390000000000004</v>
      </c>
      <c r="BP66" s="230">
        <v>19293750</v>
      </c>
      <c r="BQ66" s="230">
        <v>41523300</v>
      </c>
      <c r="BR66" s="230">
        <v>-22229550</v>
      </c>
      <c r="BS66" s="229">
        <v>-0.53539999999999999</v>
      </c>
      <c r="BT66" s="230">
        <v>2976158</v>
      </c>
      <c r="BU66" s="230">
        <v>6720011</v>
      </c>
      <c r="BV66" s="230">
        <v>-3743853</v>
      </c>
      <c r="BW66" s="229">
        <v>-0.55710000000000004</v>
      </c>
      <c r="BX66" s="230">
        <v>84709800</v>
      </c>
      <c r="BY66" s="230">
        <v>84612150</v>
      </c>
      <c r="BZ66" s="230">
        <v>97650</v>
      </c>
      <c r="CA66" s="229">
        <v>1.1999999999999999E-3</v>
      </c>
      <c r="CB66" s="230">
        <v>81859050</v>
      </c>
      <c r="CC66" s="230">
        <v>81818100</v>
      </c>
      <c r="CD66" s="230">
        <v>40950</v>
      </c>
      <c r="CE66" s="229">
        <v>5.0000000000000001E-4</v>
      </c>
      <c r="CF66" s="230">
        <v>2819250</v>
      </c>
      <c r="CG66" s="230">
        <v>2772000</v>
      </c>
      <c r="CH66" s="230">
        <v>47250</v>
      </c>
      <c r="CI66" s="229">
        <v>1.7000000000000001E-2</v>
      </c>
      <c r="CJ66" s="230">
        <v>31500</v>
      </c>
      <c r="CK66" s="230">
        <v>22050</v>
      </c>
      <c r="CL66" s="230">
        <v>9450</v>
      </c>
      <c r="CM66" s="229">
        <v>0.42859999999999998</v>
      </c>
      <c r="CN66" s="230">
        <v>25177950</v>
      </c>
      <c r="CO66" s="230">
        <v>23451750</v>
      </c>
      <c r="CP66" s="230">
        <v>1726200</v>
      </c>
      <c r="CQ66" s="229">
        <v>7.3599999999999999E-2</v>
      </c>
      <c r="CR66" s="230">
        <v>25212600</v>
      </c>
      <c r="CS66" s="230">
        <v>24125850</v>
      </c>
      <c r="CT66" s="230">
        <v>1086750</v>
      </c>
      <c r="CU66" s="229">
        <v>4.4999999999999998E-2</v>
      </c>
      <c r="CV66" s="230">
        <v>135100350</v>
      </c>
      <c r="CW66" s="230">
        <v>132189750</v>
      </c>
      <c r="CX66" s="230">
        <v>2910600</v>
      </c>
      <c r="CY66" s="229">
        <v>2.1999999999999999E-2</v>
      </c>
      <c r="CZ66" s="228">
        <v>18.87</v>
      </c>
      <c r="DA66" s="228">
        <v>20</v>
      </c>
      <c r="DB66" s="228">
        <v>-1.1299999999999999</v>
      </c>
      <c r="DC66" s="228">
        <v>-1.1299999999999999</v>
      </c>
      <c r="DD66" s="228">
        <v>33.78</v>
      </c>
      <c r="DE66" s="228">
        <v>33.86</v>
      </c>
      <c r="DF66" s="228">
        <v>-14.91</v>
      </c>
      <c r="DG66" s="228">
        <v>-0.08</v>
      </c>
      <c r="DH66" s="228">
        <v>18.84</v>
      </c>
      <c r="DI66" s="228">
        <v>19.16</v>
      </c>
      <c r="DJ66" s="228">
        <v>-0.32</v>
      </c>
      <c r="DK66" s="228">
        <v>-0.32</v>
      </c>
      <c r="DL66" s="228">
        <v>18.940000000000001</v>
      </c>
      <c r="DM66" s="228">
        <v>21.04</v>
      </c>
      <c r="DN66" s="228">
        <v>-2.1</v>
      </c>
      <c r="DO66" s="228">
        <v>-2.1</v>
      </c>
      <c r="DP66" s="228">
        <v>1</v>
      </c>
      <c r="DQ66" s="228">
        <v>1.03</v>
      </c>
      <c r="DR66" s="228">
        <v>-0.03</v>
      </c>
      <c r="DS66" s="229">
        <v>-2.9100000000000001E-2</v>
      </c>
      <c r="DT66" s="228">
        <v>175</v>
      </c>
      <c r="DU66" s="228">
        <v>170</v>
      </c>
      <c r="DV66" s="228">
        <v>0.47</v>
      </c>
      <c r="DW66" s="228">
        <v>0.8</v>
      </c>
      <c r="DX66" s="228">
        <v>-0.33</v>
      </c>
      <c r="DY66" s="229">
        <v>-0.41249999999999998</v>
      </c>
      <c r="DZ66" s="229">
        <v>3.3700000000000001E-2</v>
      </c>
      <c r="EA66" s="230">
        <v>2794050</v>
      </c>
      <c r="EB66" s="229">
        <v>6.4999999999999997E-3</v>
      </c>
      <c r="EC66" s="229">
        <v>3.3700000000000001E-2</v>
      </c>
      <c r="ED66" s="228">
        <v>1.1000000000000001</v>
      </c>
      <c r="EE66" s="229">
        <v>6.4000000000000003E-3</v>
      </c>
      <c r="EF66" s="230">
        <v>1958224</v>
      </c>
      <c r="EG66" s="230">
        <v>4022078</v>
      </c>
      <c r="EH66" s="229">
        <v>-0.5131</v>
      </c>
      <c r="EI66" s="229">
        <v>0.65800000000000003</v>
      </c>
      <c r="EJ66" s="231">
        <v>18889.45</v>
      </c>
      <c r="EK66" s="231">
        <v>8376.2999999999993</v>
      </c>
      <c r="EL66" s="231">
        <v>6701.78</v>
      </c>
      <c r="EM66" s="231">
        <v>11569</v>
      </c>
      <c r="EN66" s="231">
        <v>33967.53</v>
      </c>
      <c r="EO66" s="231">
        <v>73017.41</v>
      </c>
      <c r="EP66" s="231">
        <v>-39049.879999999997</v>
      </c>
      <c r="EQ66" s="229">
        <v>-0.53480000000000005</v>
      </c>
      <c r="ER66" s="231">
        <v>45043</v>
      </c>
      <c r="ES66" s="231">
        <v>43974</v>
      </c>
      <c r="ET66" s="231">
        <v>146428</v>
      </c>
      <c r="EU66" s="231">
        <v>435694919</v>
      </c>
      <c r="EV66" s="231">
        <v>235445</v>
      </c>
      <c r="EW66" s="231">
        <v>230687</v>
      </c>
      <c r="EX66" s="231">
        <v>4758</v>
      </c>
      <c r="EY66" s="229">
        <v>2.06E-2</v>
      </c>
      <c r="EZ66" s="229">
        <v>0.31009999999999999</v>
      </c>
      <c r="FA66" s="227" t="s">
        <v>567</v>
      </c>
      <c r="FB66" s="161">
        <f t="shared" si="0"/>
        <v>2850750</v>
      </c>
    </row>
    <row r="67" spans="1:158" ht="17.25" hidden="1" thickBot="1" x14ac:dyDescent="0.3">
      <c r="A67" s="226">
        <v>46023</v>
      </c>
      <c r="B67" s="227" t="s">
        <v>170</v>
      </c>
      <c r="C67" s="227" t="s">
        <v>214</v>
      </c>
      <c r="D67" s="228">
        <v>375</v>
      </c>
      <c r="E67" s="231">
        <v>2034</v>
      </c>
      <c r="F67" s="231">
        <v>2042.8</v>
      </c>
      <c r="G67" s="228">
        <v>-8.8000000000000007</v>
      </c>
      <c r="H67" s="229">
        <v>-4.3E-3</v>
      </c>
      <c r="I67" s="231">
        <v>2026.2</v>
      </c>
      <c r="J67" s="231">
        <v>2035.2</v>
      </c>
      <c r="K67" s="228">
        <v>-9</v>
      </c>
      <c r="L67" s="229">
        <v>-4.4000000000000003E-3</v>
      </c>
      <c r="M67" s="231">
        <v>2034</v>
      </c>
      <c r="N67" s="231">
        <v>2042.8</v>
      </c>
      <c r="O67" s="228">
        <v>-8.8000000000000007</v>
      </c>
      <c r="P67" s="229">
        <v>-4.3E-3</v>
      </c>
      <c r="Q67" s="231">
        <v>2045.1</v>
      </c>
      <c r="R67" s="231">
        <v>2054</v>
      </c>
      <c r="S67" s="228">
        <v>-8.9</v>
      </c>
      <c r="T67" s="229">
        <v>-4.3E-3</v>
      </c>
      <c r="U67" s="231">
        <v>2052.8000000000002</v>
      </c>
      <c r="V67" s="228">
        <v>0</v>
      </c>
      <c r="W67" s="231">
        <v>2052.8000000000002</v>
      </c>
      <c r="X67" s="229">
        <v>0</v>
      </c>
      <c r="Y67" s="228">
        <v>7.8</v>
      </c>
      <c r="Z67" s="228">
        <v>7.6</v>
      </c>
      <c r="AA67" s="228">
        <v>0.2</v>
      </c>
      <c r="AB67" s="229">
        <v>3.8E-3</v>
      </c>
      <c r="AC67" s="228">
        <v>7.8</v>
      </c>
      <c r="AD67" s="228">
        <v>7.6</v>
      </c>
      <c r="AE67" s="228">
        <v>0.2</v>
      </c>
      <c r="AF67" s="229">
        <v>3.8E-3</v>
      </c>
      <c r="AG67" s="228">
        <v>18.899999999999999</v>
      </c>
      <c r="AH67" s="228">
        <v>18.8</v>
      </c>
      <c r="AI67" s="228">
        <v>0.1</v>
      </c>
      <c r="AJ67" s="229">
        <v>9.2999999999999992E-3</v>
      </c>
      <c r="AK67" s="228">
        <v>26.6</v>
      </c>
      <c r="AL67" s="228">
        <v>0</v>
      </c>
      <c r="AM67" s="228">
        <v>26.6</v>
      </c>
      <c r="AN67" s="229">
        <v>1.3100000000000001E-2</v>
      </c>
      <c r="AO67" s="231">
        <v>2032.68</v>
      </c>
      <c r="AP67" s="231">
        <v>2043.56</v>
      </c>
      <c r="AQ67" s="228">
        <v>0</v>
      </c>
      <c r="AR67" s="230">
        <v>616125</v>
      </c>
      <c r="AS67" s="230">
        <v>990750</v>
      </c>
      <c r="AT67" s="230">
        <v>-374625</v>
      </c>
      <c r="AU67" s="229">
        <v>-0.37809999999999999</v>
      </c>
      <c r="AV67" s="230">
        <v>605625</v>
      </c>
      <c r="AW67" s="230">
        <v>975375</v>
      </c>
      <c r="AX67" s="230">
        <v>-369750</v>
      </c>
      <c r="AY67" s="229">
        <v>-0.37909999999999999</v>
      </c>
      <c r="AZ67" s="230">
        <v>9000</v>
      </c>
      <c r="BA67" s="230">
        <v>15375</v>
      </c>
      <c r="BB67" s="230">
        <v>-6375</v>
      </c>
      <c r="BC67" s="229">
        <v>-0.41460000000000002</v>
      </c>
      <c r="BD67" s="230">
        <v>1500</v>
      </c>
      <c r="BE67" s="228">
        <v>0</v>
      </c>
      <c r="BF67" s="230">
        <v>1500</v>
      </c>
      <c r="BG67" s="229">
        <v>0</v>
      </c>
      <c r="BH67" s="230">
        <v>1120500</v>
      </c>
      <c r="BI67" s="230">
        <v>2105250</v>
      </c>
      <c r="BJ67" s="230">
        <v>-984750</v>
      </c>
      <c r="BK67" s="229">
        <v>-0.46779999999999999</v>
      </c>
      <c r="BL67" s="230">
        <v>507375</v>
      </c>
      <c r="BM67" s="230">
        <v>842625</v>
      </c>
      <c r="BN67" s="230">
        <v>-335250</v>
      </c>
      <c r="BO67" s="229">
        <v>-0.39789999999999998</v>
      </c>
      <c r="BP67" s="230">
        <v>2244000</v>
      </c>
      <c r="BQ67" s="230">
        <v>3938625</v>
      </c>
      <c r="BR67" s="230">
        <v>-1694625</v>
      </c>
      <c r="BS67" s="229">
        <v>-0.43030000000000002</v>
      </c>
      <c r="BT67" s="230">
        <v>294682</v>
      </c>
      <c r="BU67" s="230">
        <v>364873</v>
      </c>
      <c r="BV67" s="230">
        <v>-70191</v>
      </c>
      <c r="BW67" s="229">
        <v>-0.19239999999999999</v>
      </c>
      <c r="BX67" s="230">
        <v>12190500</v>
      </c>
      <c r="BY67" s="230">
        <v>12226125</v>
      </c>
      <c r="BZ67" s="230">
        <v>-35625</v>
      </c>
      <c r="CA67" s="229">
        <v>-2.8999999999999998E-3</v>
      </c>
      <c r="CB67" s="230">
        <v>12150000</v>
      </c>
      <c r="CC67" s="230">
        <v>12186375</v>
      </c>
      <c r="CD67" s="230">
        <v>-36375</v>
      </c>
      <c r="CE67" s="229">
        <v>-3.0000000000000001E-3</v>
      </c>
      <c r="CF67" s="230">
        <v>39000</v>
      </c>
      <c r="CG67" s="230">
        <v>39750</v>
      </c>
      <c r="CH67" s="228">
        <v>-750</v>
      </c>
      <c r="CI67" s="229">
        <v>-1.89E-2</v>
      </c>
      <c r="CJ67" s="230">
        <v>1500</v>
      </c>
      <c r="CK67" s="228">
        <v>0</v>
      </c>
      <c r="CL67" s="230">
        <v>1500</v>
      </c>
      <c r="CM67" s="229">
        <v>0</v>
      </c>
      <c r="CN67" s="230">
        <v>2184750</v>
      </c>
      <c r="CO67" s="230">
        <v>2054250</v>
      </c>
      <c r="CP67" s="230">
        <v>130500</v>
      </c>
      <c r="CQ67" s="229">
        <v>6.3500000000000001E-2</v>
      </c>
      <c r="CR67" s="230">
        <v>1255125</v>
      </c>
      <c r="CS67" s="230">
        <v>1195875</v>
      </c>
      <c r="CT67" s="230">
        <v>59250</v>
      </c>
      <c r="CU67" s="229">
        <v>4.9500000000000002E-2</v>
      </c>
      <c r="CV67" s="230">
        <v>15630375</v>
      </c>
      <c r="CW67" s="230">
        <v>15476250</v>
      </c>
      <c r="CX67" s="230">
        <v>154125</v>
      </c>
      <c r="CY67" s="229">
        <v>0.01</v>
      </c>
      <c r="CZ67" s="228">
        <v>24.35</v>
      </c>
      <c r="DA67" s="228">
        <v>25.33</v>
      </c>
      <c r="DB67" s="228">
        <v>-0.98</v>
      </c>
      <c r="DC67" s="228">
        <v>-0.98</v>
      </c>
      <c r="DD67" s="228">
        <v>35.36</v>
      </c>
      <c r="DE67" s="228">
        <v>35.450000000000003</v>
      </c>
      <c r="DF67" s="228">
        <v>-11.01</v>
      </c>
      <c r="DG67" s="228">
        <v>-0.09</v>
      </c>
      <c r="DH67" s="228">
        <v>24.23</v>
      </c>
      <c r="DI67" s="228">
        <v>25.28</v>
      </c>
      <c r="DJ67" s="228">
        <v>-1.05</v>
      </c>
      <c r="DK67" s="228">
        <v>-1.05</v>
      </c>
      <c r="DL67" s="228">
        <v>24.61</v>
      </c>
      <c r="DM67" s="228">
        <v>25.45</v>
      </c>
      <c r="DN67" s="228">
        <v>-0.84</v>
      </c>
      <c r="DO67" s="228">
        <v>-0.84</v>
      </c>
      <c r="DP67" s="228">
        <v>0.56999999999999995</v>
      </c>
      <c r="DQ67" s="228">
        <v>0.57999999999999996</v>
      </c>
      <c r="DR67" s="228">
        <v>-0.01</v>
      </c>
      <c r="DS67" s="229">
        <v>-1.72E-2</v>
      </c>
      <c r="DT67" s="231">
        <v>2100</v>
      </c>
      <c r="DU67" s="231">
        <v>2040</v>
      </c>
      <c r="DV67" s="228">
        <v>0.45</v>
      </c>
      <c r="DW67" s="228">
        <v>0.4</v>
      </c>
      <c r="DX67" s="228">
        <v>0.05</v>
      </c>
      <c r="DY67" s="229">
        <v>0.125</v>
      </c>
      <c r="DZ67" s="229">
        <v>3.3E-3</v>
      </c>
      <c r="EA67" s="230">
        <v>39750</v>
      </c>
      <c r="EB67" s="229">
        <v>5.4999999999999997E-3</v>
      </c>
      <c r="EC67" s="229">
        <v>3.3E-3</v>
      </c>
      <c r="ED67" s="228">
        <v>10.88</v>
      </c>
      <c r="EE67" s="229">
        <v>5.4000000000000003E-3</v>
      </c>
      <c r="EF67" s="230">
        <v>147453</v>
      </c>
      <c r="EG67" s="230">
        <v>202300</v>
      </c>
      <c r="EH67" s="229">
        <v>-0.27110000000000001</v>
      </c>
      <c r="EI67" s="229">
        <v>0.50039999999999996</v>
      </c>
      <c r="EJ67" s="231">
        <v>23818.3</v>
      </c>
      <c r="EK67" s="231">
        <v>10136.620000000001</v>
      </c>
      <c r="EL67" s="231">
        <v>12525.18</v>
      </c>
      <c r="EM67" s="231">
        <v>14350</v>
      </c>
      <c r="EN67" s="231">
        <v>46480.1</v>
      </c>
      <c r="EO67" s="231">
        <v>82144.06</v>
      </c>
      <c r="EP67" s="231">
        <v>-35663.96</v>
      </c>
      <c r="EQ67" s="229">
        <v>-0.43419999999999997</v>
      </c>
      <c r="ER67" s="231">
        <v>45805</v>
      </c>
      <c r="ES67" s="231">
        <v>24648</v>
      </c>
      <c r="ET67" s="231">
        <v>247959</v>
      </c>
      <c r="EU67" s="231">
        <v>22585180</v>
      </c>
      <c r="EV67" s="231">
        <v>318412</v>
      </c>
      <c r="EW67" s="231">
        <v>316316</v>
      </c>
      <c r="EX67" s="231">
        <v>2096</v>
      </c>
      <c r="EY67" s="229">
        <v>6.6E-3</v>
      </c>
      <c r="EZ67" s="229">
        <v>0.69210000000000005</v>
      </c>
      <c r="FA67" s="227" t="s">
        <v>568</v>
      </c>
      <c r="FB67" s="161">
        <f t="shared" ref="FB67:FB130" si="1">BX67-CB67</f>
        <v>40500</v>
      </c>
    </row>
    <row r="68" spans="1:158" ht="17.25" hidden="1" thickBot="1" x14ac:dyDescent="0.3">
      <c r="A68" s="226">
        <v>46023</v>
      </c>
      <c r="B68" s="227" t="s">
        <v>215</v>
      </c>
      <c r="C68" s="227" t="s">
        <v>631</v>
      </c>
      <c r="D68" s="228">
        <v>6975</v>
      </c>
      <c r="E68" s="228">
        <v>106.2</v>
      </c>
      <c r="F68" s="228">
        <v>104.83</v>
      </c>
      <c r="G68" s="228">
        <v>1.37</v>
      </c>
      <c r="H68" s="229">
        <v>1.3100000000000001E-2</v>
      </c>
      <c r="I68" s="228">
        <v>105.5</v>
      </c>
      <c r="J68" s="228">
        <v>104.37</v>
      </c>
      <c r="K68" s="228">
        <v>1.1299999999999999</v>
      </c>
      <c r="L68" s="229">
        <v>1.0800000000000001E-2</v>
      </c>
      <c r="M68" s="228">
        <v>106.2</v>
      </c>
      <c r="N68" s="228">
        <v>104.83</v>
      </c>
      <c r="O68" s="228">
        <v>1.37</v>
      </c>
      <c r="P68" s="229">
        <v>1.3100000000000001E-2</v>
      </c>
      <c r="Q68" s="228">
        <v>106.82</v>
      </c>
      <c r="R68" s="228">
        <v>105.48</v>
      </c>
      <c r="S68" s="228">
        <v>1.34</v>
      </c>
      <c r="T68" s="229">
        <v>1.2699999999999999E-2</v>
      </c>
      <c r="U68" s="228">
        <v>107.4</v>
      </c>
      <c r="V68" s="228">
        <v>106.11</v>
      </c>
      <c r="W68" s="228">
        <v>1.29</v>
      </c>
      <c r="X68" s="229">
        <v>1.2200000000000001E-2</v>
      </c>
      <c r="Y68" s="228">
        <v>0.7</v>
      </c>
      <c r="Z68" s="228">
        <v>0.46</v>
      </c>
      <c r="AA68" s="228">
        <v>0.24</v>
      </c>
      <c r="AB68" s="229">
        <v>6.6E-3</v>
      </c>
      <c r="AC68" s="228">
        <v>0.7</v>
      </c>
      <c r="AD68" s="228">
        <v>0.46</v>
      </c>
      <c r="AE68" s="228">
        <v>0.24</v>
      </c>
      <c r="AF68" s="229">
        <v>6.6E-3</v>
      </c>
      <c r="AG68" s="228">
        <v>1.32</v>
      </c>
      <c r="AH68" s="228">
        <v>1.1100000000000001</v>
      </c>
      <c r="AI68" s="228">
        <v>0.21</v>
      </c>
      <c r="AJ68" s="229">
        <v>1.2500000000000001E-2</v>
      </c>
      <c r="AK68" s="228">
        <v>1.9</v>
      </c>
      <c r="AL68" s="228">
        <v>1.74</v>
      </c>
      <c r="AM68" s="228">
        <v>0.16</v>
      </c>
      <c r="AN68" s="229">
        <v>1.7999999999999999E-2</v>
      </c>
      <c r="AO68" s="228">
        <v>105.6</v>
      </c>
      <c r="AP68" s="228">
        <v>106.15</v>
      </c>
      <c r="AQ68" s="228">
        <v>0</v>
      </c>
      <c r="AR68" s="230">
        <v>22396725</v>
      </c>
      <c r="AS68" s="230">
        <v>30306375</v>
      </c>
      <c r="AT68" s="230">
        <v>-7909650</v>
      </c>
      <c r="AU68" s="229">
        <v>-0.26100000000000001</v>
      </c>
      <c r="AV68" s="230">
        <v>21483000</v>
      </c>
      <c r="AW68" s="230">
        <v>29092725</v>
      </c>
      <c r="AX68" s="230">
        <v>-7609725</v>
      </c>
      <c r="AY68" s="229">
        <v>-0.2616</v>
      </c>
      <c r="AZ68" s="230">
        <v>795150</v>
      </c>
      <c r="BA68" s="230">
        <v>1102050</v>
      </c>
      <c r="BB68" s="230">
        <v>-306900</v>
      </c>
      <c r="BC68" s="229">
        <v>-0.27850000000000003</v>
      </c>
      <c r="BD68" s="230">
        <v>118575</v>
      </c>
      <c r="BE68" s="230">
        <v>111600</v>
      </c>
      <c r="BF68" s="230">
        <v>6975</v>
      </c>
      <c r="BG68" s="229">
        <v>6.25E-2</v>
      </c>
      <c r="BH68" s="230">
        <v>61331175</v>
      </c>
      <c r="BI68" s="230">
        <v>70831125</v>
      </c>
      <c r="BJ68" s="230">
        <v>-9499950</v>
      </c>
      <c r="BK68" s="229">
        <v>-0.1341</v>
      </c>
      <c r="BL68" s="230">
        <v>19285875</v>
      </c>
      <c r="BM68" s="230">
        <v>24565950</v>
      </c>
      <c r="BN68" s="230">
        <v>-5280075</v>
      </c>
      <c r="BO68" s="229">
        <v>-0.21490000000000001</v>
      </c>
      <c r="BP68" s="230">
        <v>103013775</v>
      </c>
      <c r="BQ68" s="230">
        <v>125703450</v>
      </c>
      <c r="BR68" s="230">
        <v>-22689675</v>
      </c>
      <c r="BS68" s="229">
        <v>-0.18049999999999999</v>
      </c>
      <c r="BT68" s="230">
        <v>8598840</v>
      </c>
      <c r="BU68" s="230">
        <v>13535325</v>
      </c>
      <c r="BV68" s="230">
        <v>-4936485</v>
      </c>
      <c r="BW68" s="229">
        <v>-0.36470000000000002</v>
      </c>
      <c r="BX68" s="230">
        <v>170482950</v>
      </c>
      <c r="BY68" s="230">
        <v>167734800</v>
      </c>
      <c r="BZ68" s="230">
        <v>2748150</v>
      </c>
      <c r="CA68" s="229">
        <v>1.6400000000000001E-2</v>
      </c>
      <c r="CB68" s="230">
        <v>166758300</v>
      </c>
      <c r="CC68" s="230">
        <v>164142675</v>
      </c>
      <c r="CD68" s="230">
        <v>2615625</v>
      </c>
      <c r="CE68" s="229">
        <v>1.5900000000000001E-2</v>
      </c>
      <c r="CF68" s="230">
        <v>3571200</v>
      </c>
      <c r="CG68" s="230">
        <v>3501450</v>
      </c>
      <c r="CH68" s="230">
        <v>69750</v>
      </c>
      <c r="CI68" s="229">
        <v>1.9900000000000001E-2</v>
      </c>
      <c r="CJ68" s="230">
        <v>153450</v>
      </c>
      <c r="CK68" s="230">
        <v>90675</v>
      </c>
      <c r="CL68" s="230">
        <v>62775</v>
      </c>
      <c r="CM68" s="229">
        <v>0.69230000000000003</v>
      </c>
      <c r="CN68" s="230">
        <v>74555775</v>
      </c>
      <c r="CO68" s="230">
        <v>72805050</v>
      </c>
      <c r="CP68" s="230">
        <v>1750725</v>
      </c>
      <c r="CQ68" s="229">
        <v>2.4E-2</v>
      </c>
      <c r="CR68" s="230">
        <v>45958275</v>
      </c>
      <c r="CS68" s="230">
        <v>43747200</v>
      </c>
      <c r="CT68" s="230">
        <v>2211075</v>
      </c>
      <c r="CU68" s="229">
        <v>5.0500000000000003E-2</v>
      </c>
      <c r="CV68" s="230">
        <v>290997000</v>
      </c>
      <c r="CW68" s="230">
        <v>284287050</v>
      </c>
      <c r="CX68" s="230">
        <v>6709950</v>
      </c>
      <c r="CY68" s="229">
        <v>2.3599999999999999E-2</v>
      </c>
      <c r="CZ68" s="228">
        <v>28.78</v>
      </c>
      <c r="DA68" s="228">
        <v>29.06</v>
      </c>
      <c r="DB68" s="228">
        <v>-0.28000000000000003</v>
      </c>
      <c r="DC68" s="228">
        <v>-0.28000000000000003</v>
      </c>
      <c r="DD68" s="228">
        <v>36.659999999999997</v>
      </c>
      <c r="DE68" s="228">
        <v>36.71</v>
      </c>
      <c r="DF68" s="228">
        <v>-7.88</v>
      </c>
      <c r="DG68" s="228">
        <v>-0.05</v>
      </c>
      <c r="DH68" s="228">
        <v>28.85</v>
      </c>
      <c r="DI68" s="228">
        <v>29.18</v>
      </c>
      <c r="DJ68" s="228">
        <v>-0.33</v>
      </c>
      <c r="DK68" s="228">
        <v>-0.33</v>
      </c>
      <c r="DL68" s="228">
        <v>28.56</v>
      </c>
      <c r="DM68" s="228">
        <v>28.72</v>
      </c>
      <c r="DN68" s="228">
        <v>-0.16</v>
      </c>
      <c r="DO68" s="228">
        <v>-0.16</v>
      </c>
      <c r="DP68" s="228">
        <v>0.62</v>
      </c>
      <c r="DQ68" s="228">
        <v>0.6</v>
      </c>
      <c r="DR68" s="228">
        <v>0.02</v>
      </c>
      <c r="DS68" s="229">
        <v>3.3300000000000003E-2</v>
      </c>
      <c r="DT68" s="228">
        <v>110</v>
      </c>
      <c r="DU68" s="228">
        <v>98</v>
      </c>
      <c r="DV68" s="228">
        <v>0.31</v>
      </c>
      <c r="DW68" s="228">
        <v>0.35</v>
      </c>
      <c r="DX68" s="228">
        <v>-0.04</v>
      </c>
      <c r="DY68" s="229">
        <v>-0.1143</v>
      </c>
      <c r="DZ68" s="229">
        <v>2.18E-2</v>
      </c>
      <c r="EA68" s="230">
        <v>3592125</v>
      </c>
      <c r="EB68" s="229">
        <v>5.7999999999999996E-3</v>
      </c>
      <c r="EC68" s="229">
        <v>2.18E-2</v>
      </c>
      <c r="ED68" s="228">
        <v>0.55000000000000004</v>
      </c>
      <c r="EE68" s="229">
        <v>5.1999999999999998E-3</v>
      </c>
      <c r="EF68" s="230">
        <v>3657242</v>
      </c>
      <c r="EG68" s="230">
        <v>6537585</v>
      </c>
      <c r="EH68" s="229">
        <v>-0.44059999999999999</v>
      </c>
      <c r="EI68" s="229">
        <v>0.42530000000000001</v>
      </c>
      <c r="EJ68" s="231">
        <v>67782.23</v>
      </c>
      <c r="EK68" s="231">
        <v>19938.5</v>
      </c>
      <c r="EL68" s="231">
        <v>23657.16</v>
      </c>
      <c r="EM68" s="231">
        <v>11689</v>
      </c>
      <c r="EN68" s="231">
        <v>111377.89</v>
      </c>
      <c r="EO68" s="231">
        <v>134756.6</v>
      </c>
      <c r="EP68" s="231">
        <v>-23378.71</v>
      </c>
      <c r="EQ68" s="229">
        <v>-0.17349999999999999</v>
      </c>
      <c r="ER68" s="231">
        <v>80738</v>
      </c>
      <c r="ES68" s="231">
        <v>45848</v>
      </c>
      <c r="ET68" s="231">
        <v>181077</v>
      </c>
      <c r="EU68" s="231">
        <v>534704421</v>
      </c>
      <c r="EV68" s="231">
        <v>307663</v>
      </c>
      <c r="EW68" s="231">
        <v>298146</v>
      </c>
      <c r="EX68" s="231">
        <v>9517</v>
      </c>
      <c r="EY68" s="229">
        <v>3.1899999999999998E-2</v>
      </c>
      <c r="EZ68" s="229">
        <v>0.54420000000000002</v>
      </c>
      <c r="FA68" s="227" t="s">
        <v>555</v>
      </c>
      <c r="FB68" s="161">
        <f t="shared" si="1"/>
        <v>3724650</v>
      </c>
    </row>
    <row r="69" spans="1:158" ht="17.25" hidden="1" thickBot="1" x14ac:dyDescent="0.3">
      <c r="A69" s="226">
        <v>46023</v>
      </c>
      <c r="B69" s="227" t="s">
        <v>168</v>
      </c>
      <c r="C69" s="227" t="s">
        <v>217</v>
      </c>
      <c r="D69" s="228">
        <v>500</v>
      </c>
      <c r="E69" s="231">
        <v>1247.7</v>
      </c>
      <c r="F69" s="231">
        <v>1226.8</v>
      </c>
      <c r="G69" s="228">
        <v>20.9</v>
      </c>
      <c r="H69" s="229">
        <v>1.7000000000000001E-2</v>
      </c>
      <c r="I69" s="231">
        <v>1243.4000000000001</v>
      </c>
      <c r="J69" s="231">
        <v>1222.2</v>
      </c>
      <c r="K69" s="228">
        <v>21.2</v>
      </c>
      <c r="L69" s="229">
        <v>1.7299999999999999E-2</v>
      </c>
      <c r="M69" s="231">
        <v>1247.7</v>
      </c>
      <c r="N69" s="231">
        <v>1226.8</v>
      </c>
      <c r="O69" s="228">
        <v>20.9</v>
      </c>
      <c r="P69" s="229">
        <v>1.7000000000000001E-2</v>
      </c>
      <c r="Q69" s="231">
        <v>1250.5</v>
      </c>
      <c r="R69" s="231">
        <v>1230.7</v>
      </c>
      <c r="S69" s="228">
        <v>19.8</v>
      </c>
      <c r="T69" s="229">
        <v>1.61E-2</v>
      </c>
      <c r="U69" s="231">
        <v>1235.5999999999999</v>
      </c>
      <c r="V69" s="231">
        <v>1235.5999999999999</v>
      </c>
      <c r="W69" s="228">
        <v>0</v>
      </c>
      <c r="X69" s="229">
        <v>0</v>
      </c>
      <c r="Y69" s="228">
        <v>4.3</v>
      </c>
      <c r="Z69" s="228">
        <v>4.5999999999999996</v>
      </c>
      <c r="AA69" s="228">
        <v>-0.3</v>
      </c>
      <c r="AB69" s="229">
        <v>3.5000000000000001E-3</v>
      </c>
      <c r="AC69" s="228">
        <v>4.3</v>
      </c>
      <c r="AD69" s="228">
        <v>4.5999999999999996</v>
      </c>
      <c r="AE69" s="228">
        <v>-0.3</v>
      </c>
      <c r="AF69" s="229">
        <v>3.5000000000000001E-3</v>
      </c>
      <c r="AG69" s="228">
        <v>7.1</v>
      </c>
      <c r="AH69" s="228">
        <v>8.5</v>
      </c>
      <c r="AI69" s="228">
        <v>-1.4</v>
      </c>
      <c r="AJ69" s="229">
        <v>5.7000000000000002E-3</v>
      </c>
      <c r="AK69" s="228">
        <v>-7.8</v>
      </c>
      <c r="AL69" s="228">
        <v>13.4</v>
      </c>
      <c r="AM69" s="228">
        <v>-21.2</v>
      </c>
      <c r="AN69" s="229">
        <v>-6.3E-3</v>
      </c>
      <c r="AO69" s="231">
        <v>1240.06</v>
      </c>
      <c r="AP69" s="231">
        <v>1240.32</v>
      </c>
      <c r="AQ69" s="228">
        <v>0</v>
      </c>
      <c r="AR69" s="230">
        <v>1350000</v>
      </c>
      <c r="AS69" s="230">
        <v>1271500</v>
      </c>
      <c r="AT69" s="230">
        <v>78500</v>
      </c>
      <c r="AU69" s="229">
        <v>6.1699999999999998E-2</v>
      </c>
      <c r="AV69" s="230">
        <v>1325000</v>
      </c>
      <c r="AW69" s="230">
        <v>1241500</v>
      </c>
      <c r="AX69" s="230">
        <v>83500</v>
      </c>
      <c r="AY69" s="229">
        <v>6.7299999999999999E-2</v>
      </c>
      <c r="AZ69" s="230">
        <v>25000</v>
      </c>
      <c r="BA69" s="230">
        <v>29000</v>
      </c>
      <c r="BB69" s="230">
        <v>-4000</v>
      </c>
      <c r="BC69" s="229">
        <v>-0.13789999999999999</v>
      </c>
      <c r="BD69" s="228">
        <v>0</v>
      </c>
      <c r="BE69" s="230">
        <v>1000</v>
      </c>
      <c r="BF69" s="230">
        <v>-1000</v>
      </c>
      <c r="BG69" s="229">
        <v>-1</v>
      </c>
      <c r="BH69" s="230">
        <v>1395500</v>
      </c>
      <c r="BI69" s="230">
        <v>1776000</v>
      </c>
      <c r="BJ69" s="230">
        <v>-380500</v>
      </c>
      <c r="BK69" s="229">
        <v>-0.2142</v>
      </c>
      <c r="BL69" s="230">
        <v>870000</v>
      </c>
      <c r="BM69" s="230">
        <v>694000</v>
      </c>
      <c r="BN69" s="230">
        <v>176000</v>
      </c>
      <c r="BO69" s="229">
        <v>0.25359999999999999</v>
      </c>
      <c r="BP69" s="230">
        <v>3615500</v>
      </c>
      <c r="BQ69" s="230">
        <v>3741500</v>
      </c>
      <c r="BR69" s="230">
        <v>-126000</v>
      </c>
      <c r="BS69" s="229">
        <v>-3.3700000000000001E-2</v>
      </c>
      <c r="BT69" s="230">
        <v>657934</v>
      </c>
      <c r="BU69" s="230">
        <v>1418743</v>
      </c>
      <c r="BV69" s="230">
        <v>-760809</v>
      </c>
      <c r="BW69" s="229">
        <v>-0.5363</v>
      </c>
      <c r="BX69" s="230">
        <v>9499000</v>
      </c>
      <c r="BY69" s="230">
        <v>9626500</v>
      </c>
      <c r="BZ69" s="230">
        <v>-127500</v>
      </c>
      <c r="CA69" s="229">
        <v>-1.32E-2</v>
      </c>
      <c r="CB69" s="230">
        <v>9467000</v>
      </c>
      <c r="CC69" s="230">
        <v>9596500</v>
      </c>
      <c r="CD69" s="230">
        <v>-129500</v>
      </c>
      <c r="CE69" s="229">
        <v>-1.35E-2</v>
      </c>
      <c r="CF69" s="230">
        <v>31500</v>
      </c>
      <c r="CG69" s="230">
        <v>29500</v>
      </c>
      <c r="CH69" s="230">
        <v>2000</v>
      </c>
      <c r="CI69" s="229">
        <v>6.7799999999999999E-2</v>
      </c>
      <c r="CJ69" s="228">
        <v>500</v>
      </c>
      <c r="CK69" s="228">
        <v>500</v>
      </c>
      <c r="CL69" s="228">
        <v>0</v>
      </c>
      <c r="CM69" s="229">
        <v>0</v>
      </c>
      <c r="CN69" s="230">
        <v>874000</v>
      </c>
      <c r="CO69" s="230">
        <v>826000</v>
      </c>
      <c r="CP69" s="230">
        <v>48000</v>
      </c>
      <c r="CQ69" s="229">
        <v>5.8099999999999999E-2</v>
      </c>
      <c r="CR69" s="230">
        <v>686500</v>
      </c>
      <c r="CS69" s="230">
        <v>603500</v>
      </c>
      <c r="CT69" s="230">
        <v>83000</v>
      </c>
      <c r="CU69" s="229">
        <v>0.13750000000000001</v>
      </c>
      <c r="CV69" s="230">
        <v>11059500</v>
      </c>
      <c r="CW69" s="230">
        <v>11056000</v>
      </c>
      <c r="CX69" s="230">
        <v>3500</v>
      </c>
      <c r="CY69" s="229">
        <v>2.9999999999999997E-4</v>
      </c>
      <c r="CZ69" s="228">
        <v>21.95</v>
      </c>
      <c r="DA69" s="228">
        <v>22.65</v>
      </c>
      <c r="DB69" s="228">
        <v>-0.7</v>
      </c>
      <c r="DC69" s="228">
        <v>-0.7</v>
      </c>
      <c r="DD69" s="228">
        <v>28.36</v>
      </c>
      <c r="DE69" s="228">
        <v>28.33</v>
      </c>
      <c r="DF69" s="228">
        <v>-6.41</v>
      </c>
      <c r="DG69" s="228">
        <v>0.03</v>
      </c>
      <c r="DH69" s="228">
        <v>21.44</v>
      </c>
      <c r="DI69" s="228">
        <v>22.35</v>
      </c>
      <c r="DJ69" s="228">
        <v>-0.91</v>
      </c>
      <c r="DK69" s="228">
        <v>-0.91</v>
      </c>
      <c r="DL69" s="228">
        <v>22.75</v>
      </c>
      <c r="DM69" s="228">
        <v>23.42</v>
      </c>
      <c r="DN69" s="228">
        <v>-0.67</v>
      </c>
      <c r="DO69" s="228">
        <v>-0.67</v>
      </c>
      <c r="DP69" s="228">
        <v>0.79</v>
      </c>
      <c r="DQ69" s="228">
        <v>0.73</v>
      </c>
      <c r="DR69" s="228">
        <v>0.06</v>
      </c>
      <c r="DS69" s="229">
        <v>8.2199999999999995E-2</v>
      </c>
      <c r="DT69" s="231">
        <v>1220</v>
      </c>
      <c r="DU69" s="231">
        <v>1220</v>
      </c>
      <c r="DV69" s="228">
        <v>0.62</v>
      </c>
      <c r="DW69" s="228">
        <v>0.39</v>
      </c>
      <c r="DX69" s="228">
        <v>0.23</v>
      </c>
      <c r="DY69" s="229">
        <v>0.5897</v>
      </c>
      <c r="DZ69" s="229">
        <v>3.3999999999999998E-3</v>
      </c>
      <c r="EA69" s="230">
        <v>30000</v>
      </c>
      <c r="EB69" s="229">
        <v>2.2000000000000001E-3</v>
      </c>
      <c r="EC69" s="229">
        <v>3.3999999999999998E-3</v>
      </c>
      <c r="ED69" s="228">
        <v>0.26</v>
      </c>
      <c r="EE69" s="229">
        <v>2.0000000000000001E-4</v>
      </c>
      <c r="EF69" s="230">
        <v>379502</v>
      </c>
      <c r="EG69" s="230">
        <v>921863</v>
      </c>
      <c r="EH69" s="229">
        <v>-0.58830000000000005</v>
      </c>
      <c r="EI69" s="229">
        <v>0.57679999999999998</v>
      </c>
      <c r="EJ69" s="231">
        <v>17837.68</v>
      </c>
      <c r="EK69" s="231">
        <v>10620.53</v>
      </c>
      <c r="EL69" s="231">
        <v>16740.86</v>
      </c>
      <c r="EM69" s="231">
        <v>7534</v>
      </c>
      <c r="EN69" s="231">
        <v>45199.07</v>
      </c>
      <c r="EO69" s="231">
        <v>46608.17</v>
      </c>
      <c r="EP69" s="231">
        <v>-1409.1</v>
      </c>
      <c r="EQ69" s="229">
        <v>-3.0200000000000001E-2</v>
      </c>
      <c r="ER69" s="231">
        <v>11039</v>
      </c>
      <c r="ES69" s="231">
        <v>8110</v>
      </c>
      <c r="ET69" s="231">
        <v>118520</v>
      </c>
      <c r="EU69" s="231">
        <v>72031016</v>
      </c>
      <c r="EV69" s="231">
        <v>137668</v>
      </c>
      <c r="EW69" s="231">
        <v>135544</v>
      </c>
      <c r="EX69" s="231">
        <v>2124</v>
      </c>
      <c r="EY69" s="229">
        <v>1.5699999999999999E-2</v>
      </c>
      <c r="EZ69" s="229">
        <v>0.1535</v>
      </c>
      <c r="FA69" s="227" t="s">
        <v>556</v>
      </c>
      <c r="FB69" s="161">
        <f t="shared" si="1"/>
        <v>32000</v>
      </c>
    </row>
    <row r="70" spans="1:158" ht="17.25" hidden="1" thickBot="1" x14ac:dyDescent="0.3">
      <c r="A70" s="226">
        <v>46023</v>
      </c>
      <c r="B70" s="227" t="s">
        <v>206</v>
      </c>
      <c r="C70" s="227" t="s">
        <v>218</v>
      </c>
      <c r="D70" s="228">
        <v>275</v>
      </c>
      <c r="E70" s="231">
        <v>2029.2</v>
      </c>
      <c r="F70" s="231">
        <v>2017.4</v>
      </c>
      <c r="G70" s="228">
        <v>11.8</v>
      </c>
      <c r="H70" s="229">
        <v>5.7999999999999996E-3</v>
      </c>
      <c r="I70" s="231">
        <v>2015.3</v>
      </c>
      <c r="J70" s="231">
        <v>2004.4</v>
      </c>
      <c r="K70" s="228">
        <v>10.9</v>
      </c>
      <c r="L70" s="229">
        <v>5.4000000000000003E-3</v>
      </c>
      <c r="M70" s="231">
        <v>2029.2</v>
      </c>
      <c r="N70" s="231">
        <v>2017.4</v>
      </c>
      <c r="O70" s="228">
        <v>11.8</v>
      </c>
      <c r="P70" s="229">
        <v>5.7999999999999996E-3</v>
      </c>
      <c r="Q70" s="231">
        <v>2042.2</v>
      </c>
      <c r="R70" s="231">
        <v>2030.6</v>
      </c>
      <c r="S70" s="228">
        <v>11.6</v>
      </c>
      <c r="T70" s="229">
        <v>5.7000000000000002E-3</v>
      </c>
      <c r="U70" s="231">
        <v>2053.5</v>
      </c>
      <c r="V70" s="231">
        <v>2042.2</v>
      </c>
      <c r="W70" s="228">
        <v>11.3</v>
      </c>
      <c r="X70" s="229">
        <v>5.4999999999999997E-3</v>
      </c>
      <c r="Y70" s="228">
        <v>13.9</v>
      </c>
      <c r="Z70" s="228">
        <v>13</v>
      </c>
      <c r="AA70" s="228">
        <v>0.9</v>
      </c>
      <c r="AB70" s="229">
        <v>6.8999999999999999E-3</v>
      </c>
      <c r="AC70" s="228">
        <v>13.9</v>
      </c>
      <c r="AD70" s="228">
        <v>13</v>
      </c>
      <c r="AE70" s="228">
        <v>0.9</v>
      </c>
      <c r="AF70" s="229">
        <v>6.8999999999999999E-3</v>
      </c>
      <c r="AG70" s="228">
        <v>26.9</v>
      </c>
      <c r="AH70" s="228">
        <v>26.2</v>
      </c>
      <c r="AI70" s="228">
        <v>0.7</v>
      </c>
      <c r="AJ70" s="229">
        <v>1.3299999999999999E-2</v>
      </c>
      <c r="AK70" s="228">
        <v>38.200000000000003</v>
      </c>
      <c r="AL70" s="228">
        <v>37.799999999999997</v>
      </c>
      <c r="AM70" s="228">
        <v>0.4</v>
      </c>
      <c r="AN70" s="229">
        <v>1.9E-2</v>
      </c>
      <c r="AO70" s="231">
        <v>2027.31</v>
      </c>
      <c r="AP70" s="231">
        <v>2034.88</v>
      </c>
      <c r="AQ70" s="228">
        <v>0</v>
      </c>
      <c r="AR70" s="230">
        <v>783200</v>
      </c>
      <c r="AS70" s="230">
        <v>1019425</v>
      </c>
      <c r="AT70" s="230">
        <v>-236225</v>
      </c>
      <c r="AU70" s="229">
        <v>-0.23169999999999999</v>
      </c>
      <c r="AV70" s="230">
        <v>736725</v>
      </c>
      <c r="AW70" s="230">
        <v>967725</v>
      </c>
      <c r="AX70" s="230">
        <v>-231000</v>
      </c>
      <c r="AY70" s="229">
        <v>-0.2387</v>
      </c>
      <c r="AZ70" s="230">
        <v>41800</v>
      </c>
      <c r="BA70" s="230">
        <v>38775</v>
      </c>
      <c r="BB70" s="230">
        <v>3025</v>
      </c>
      <c r="BC70" s="229">
        <v>7.8E-2</v>
      </c>
      <c r="BD70" s="230">
        <v>4675</v>
      </c>
      <c r="BE70" s="230">
        <v>12925</v>
      </c>
      <c r="BF70" s="230">
        <v>-8250</v>
      </c>
      <c r="BG70" s="229">
        <v>-0.63829999999999998</v>
      </c>
      <c r="BH70" s="230">
        <v>1185250</v>
      </c>
      <c r="BI70" s="230">
        <v>1762475</v>
      </c>
      <c r="BJ70" s="230">
        <v>-577225</v>
      </c>
      <c r="BK70" s="229">
        <v>-0.32750000000000001</v>
      </c>
      <c r="BL70" s="230">
        <v>515625</v>
      </c>
      <c r="BM70" s="230">
        <v>739475</v>
      </c>
      <c r="BN70" s="230">
        <v>-223850</v>
      </c>
      <c r="BO70" s="229">
        <v>-0.30270000000000002</v>
      </c>
      <c r="BP70" s="230">
        <v>2484075</v>
      </c>
      <c r="BQ70" s="230">
        <v>3521375</v>
      </c>
      <c r="BR70" s="230">
        <v>-1037300</v>
      </c>
      <c r="BS70" s="229">
        <v>-0.29459999999999997</v>
      </c>
      <c r="BT70" s="230">
        <v>292491</v>
      </c>
      <c r="BU70" s="230">
        <v>406365</v>
      </c>
      <c r="BV70" s="230">
        <v>-113874</v>
      </c>
      <c r="BW70" s="229">
        <v>-0.2802</v>
      </c>
      <c r="BX70" s="230">
        <v>9127800</v>
      </c>
      <c r="BY70" s="230">
        <v>9036500</v>
      </c>
      <c r="BZ70" s="230">
        <v>91300</v>
      </c>
      <c r="CA70" s="229">
        <v>1.01E-2</v>
      </c>
      <c r="CB70" s="230">
        <v>8969400</v>
      </c>
      <c r="CC70" s="230">
        <v>8886075</v>
      </c>
      <c r="CD70" s="230">
        <v>83325</v>
      </c>
      <c r="CE70" s="229">
        <v>9.4000000000000004E-3</v>
      </c>
      <c r="CF70" s="230">
        <v>153725</v>
      </c>
      <c r="CG70" s="230">
        <v>144375</v>
      </c>
      <c r="CH70" s="230">
        <v>9350</v>
      </c>
      <c r="CI70" s="229">
        <v>6.4799999999999996E-2</v>
      </c>
      <c r="CJ70" s="230">
        <v>4675</v>
      </c>
      <c r="CK70" s="230">
        <v>6050</v>
      </c>
      <c r="CL70" s="230">
        <v>-1375</v>
      </c>
      <c r="CM70" s="229">
        <v>-0.2273</v>
      </c>
      <c r="CN70" s="230">
        <v>1621675</v>
      </c>
      <c r="CO70" s="230">
        <v>1521300</v>
      </c>
      <c r="CP70" s="230">
        <v>100375</v>
      </c>
      <c r="CQ70" s="229">
        <v>6.6000000000000003E-2</v>
      </c>
      <c r="CR70" s="230">
        <v>1316975</v>
      </c>
      <c r="CS70" s="230">
        <v>1260325</v>
      </c>
      <c r="CT70" s="230">
        <v>56650</v>
      </c>
      <c r="CU70" s="229">
        <v>4.4900000000000002E-2</v>
      </c>
      <c r="CV70" s="230">
        <v>12066450</v>
      </c>
      <c r="CW70" s="230">
        <v>11818125</v>
      </c>
      <c r="CX70" s="230">
        <v>248325</v>
      </c>
      <c r="CY70" s="229">
        <v>2.1000000000000001E-2</v>
      </c>
      <c r="CZ70" s="228">
        <v>25.74</v>
      </c>
      <c r="DA70" s="228">
        <v>26.14</v>
      </c>
      <c r="DB70" s="228">
        <v>-0.4</v>
      </c>
      <c r="DC70" s="228">
        <v>-0.4</v>
      </c>
      <c r="DD70" s="228">
        <v>41.62</v>
      </c>
      <c r="DE70" s="228">
        <v>41.71</v>
      </c>
      <c r="DF70" s="228">
        <v>-15.88</v>
      </c>
      <c r="DG70" s="228">
        <v>-0.09</v>
      </c>
      <c r="DH70" s="228">
        <v>25.59</v>
      </c>
      <c r="DI70" s="228">
        <v>26</v>
      </c>
      <c r="DJ70" s="228">
        <v>-0.41</v>
      </c>
      <c r="DK70" s="228">
        <v>-0.41</v>
      </c>
      <c r="DL70" s="228">
        <v>26.07</v>
      </c>
      <c r="DM70" s="228">
        <v>26.48</v>
      </c>
      <c r="DN70" s="228">
        <v>-0.41</v>
      </c>
      <c r="DO70" s="228">
        <v>-0.41</v>
      </c>
      <c r="DP70" s="228">
        <v>0.81</v>
      </c>
      <c r="DQ70" s="228">
        <v>0.83</v>
      </c>
      <c r="DR70" s="228">
        <v>-0.02</v>
      </c>
      <c r="DS70" s="229">
        <v>-2.41E-2</v>
      </c>
      <c r="DT70" s="231">
        <v>2000</v>
      </c>
      <c r="DU70" s="231">
        <v>2000</v>
      </c>
      <c r="DV70" s="228">
        <v>0.44</v>
      </c>
      <c r="DW70" s="228">
        <v>0.42</v>
      </c>
      <c r="DX70" s="228">
        <v>0.02</v>
      </c>
      <c r="DY70" s="229">
        <v>4.7600000000000003E-2</v>
      </c>
      <c r="DZ70" s="229">
        <v>1.7399999999999999E-2</v>
      </c>
      <c r="EA70" s="230">
        <v>150425</v>
      </c>
      <c r="EB70" s="229">
        <v>6.4000000000000003E-3</v>
      </c>
      <c r="EC70" s="229">
        <v>1.7399999999999999E-2</v>
      </c>
      <c r="ED70" s="228">
        <v>7.57</v>
      </c>
      <c r="EE70" s="229">
        <v>3.7000000000000002E-3</v>
      </c>
      <c r="EF70" s="230">
        <v>169326</v>
      </c>
      <c r="EG70" s="230">
        <v>227729</v>
      </c>
      <c r="EH70" s="229">
        <v>-0.25650000000000001</v>
      </c>
      <c r="EI70" s="229">
        <v>0.57889999999999997</v>
      </c>
      <c r="EJ70" s="231">
        <v>25142.22</v>
      </c>
      <c r="EK70" s="231">
        <v>10260.91</v>
      </c>
      <c r="EL70" s="231">
        <v>15882.39</v>
      </c>
      <c r="EM70" s="231">
        <v>13951</v>
      </c>
      <c r="EN70" s="231">
        <v>51285.52</v>
      </c>
      <c r="EO70" s="231">
        <v>72485.16</v>
      </c>
      <c r="EP70" s="231">
        <v>-21199.64</v>
      </c>
      <c r="EQ70" s="229">
        <v>-0.29249999999999998</v>
      </c>
      <c r="ER70" s="231">
        <v>33600</v>
      </c>
      <c r="ES70" s="231">
        <v>26253</v>
      </c>
      <c r="ET70" s="231">
        <v>185242</v>
      </c>
      <c r="EU70" s="231">
        <v>17263909</v>
      </c>
      <c r="EV70" s="231">
        <v>245095</v>
      </c>
      <c r="EW70" s="231">
        <v>238869</v>
      </c>
      <c r="EX70" s="231">
        <v>6226</v>
      </c>
      <c r="EY70" s="229">
        <v>2.6100000000000002E-2</v>
      </c>
      <c r="EZ70" s="229">
        <v>0.69889999999999997</v>
      </c>
      <c r="FA70" s="227" t="s">
        <v>555</v>
      </c>
      <c r="FB70" s="161">
        <f t="shared" si="1"/>
        <v>158400</v>
      </c>
    </row>
    <row r="71" spans="1:158" ht="17.25" hidden="1" thickBot="1" x14ac:dyDescent="0.3">
      <c r="A71" s="226">
        <v>46023</v>
      </c>
      <c r="B71" s="227" t="s">
        <v>157</v>
      </c>
      <c r="C71" s="227" t="s">
        <v>219</v>
      </c>
      <c r="D71" s="228">
        <v>250</v>
      </c>
      <c r="E71" s="231">
        <v>2871</v>
      </c>
      <c r="F71" s="231">
        <v>2843.1</v>
      </c>
      <c r="G71" s="228">
        <v>27.9</v>
      </c>
      <c r="H71" s="229">
        <v>9.7999999999999997E-3</v>
      </c>
      <c r="I71" s="231">
        <v>2851.7</v>
      </c>
      <c r="J71" s="231">
        <v>2829</v>
      </c>
      <c r="K71" s="228">
        <v>22.7</v>
      </c>
      <c r="L71" s="229">
        <v>8.0000000000000002E-3</v>
      </c>
      <c r="M71" s="231">
        <v>2871</v>
      </c>
      <c r="N71" s="231">
        <v>2843.1</v>
      </c>
      <c r="O71" s="228">
        <v>27.9</v>
      </c>
      <c r="P71" s="229">
        <v>9.7999999999999997E-3</v>
      </c>
      <c r="Q71" s="231">
        <v>2886.8</v>
      </c>
      <c r="R71" s="231">
        <v>2860.8</v>
      </c>
      <c r="S71" s="228">
        <v>26</v>
      </c>
      <c r="T71" s="229">
        <v>9.1000000000000004E-3</v>
      </c>
      <c r="U71" s="231">
        <v>2910</v>
      </c>
      <c r="V71" s="228">
        <v>0</v>
      </c>
      <c r="W71" s="231">
        <v>2910</v>
      </c>
      <c r="X71" s="229">
        <v>0</v>
      </c>
      <c r="Y71" s="228">
        <v>19.3</v>
      </c>
      <c r="Z71" s="228">
        <v>14.1</v>
      </c>
      <c r="AA71" s="228">
        <v>5.2</v>
      </c>
      <c r="AB71" s="229">
        <v>6.7999999999999996E-3</v>
      </c>
      <c r="AC71" s="228">
        <v>19.3</v>
      </c>
      <c r="AD71" s="228">
        <v>14.1</v>
      </c>
      <c r="AE71" s="228">
        <v>5.2</v>
      </c>
      <c r="AF71" s="229">
        <v>6.7999999999999996E-3</v>
      </c>
      <c r="AG71" s="228">
        <v>35.1</v>
      </c>
      <c r="AH71" s="228">
        <v>31.8</v>
      </c>
      <c r="AI71" s="228">
        <v>3.3</v>
      </c>
      <c r="AJ71" s="229">
        <v>1.23E-2</v>
      </c>
      <c r="AK71" s="228">
        <v>58.3</v>
      </c>
      <c r="AL71" s="228">
        <v>0</v>
      </c>
      <c r="AM71" s="228">
        <v>58.3</v>
      </c>
      <c r="AN71" s="229">
        <v>2.0400000000000001E-2</v>
      </c>
      <c r="AO71" s="231">
        <v>2859.57</v>
      </c>
      <c r="AP71" s="231">
        <v>2869.82</v>
      </c>
      <c r="AQ71" s="228">
        <v>0</v>
      </c>
      <c r="AR71" s="230">
        <v>498000</v>
      </c>
      <c r="AS71" s="230">
        <v>1061750</v>
      </c>
      <c r="AT71" s="230">
        <v>-563750</v>
      </c>
      <c r="AU71" s="229">
        <v>-0.53100000000000003</v>
      </c>
      <c r="AV71" s="230">
        <v>471500</v>
      </c>
      <c r="AW71" s="230">
        <v>1042750</v>
      </c>
      <c r="AX71" s="230">
        <v>-571250</v>
      </c>
      <c r="AY71" s="229">
        <v>-0.54779999999999995</v>
      </c>
      <c r="AZ71" s="230">
        <v>22500</v>
      </c>
      <c r="BA71" s="230">
        <v>19000</v>
      </c>
      <c r="BB71" s="230">
        <v>3500</v>
      </c>
      <c r="BC71" s="229">
        <v>0.1842</v>
      </c>
      <c r="BD71" s="230">
        <v>4000</v>
      </c>
      <c r="BE71" s="228">
        <v>0</v>
      </c>
      <c r="BF71" s="230">
        <v>4000</v>
      </c>
      <c r="BG71" s="229">
        <v>0</v>
      </c>
      <c r="BH71" s="230">
        <v>824500</v>
      </c>
      <c r="BI71" s="230">
        <v>1281250</v>
      </c>
      <c r="BJ71" s="230">
        <v>-456750</v>
      </c>
      <c r="BK71" s="229">
        <v>-0.35649999999999998</v>
      </c>
      <c r="BL71" s="230">
        <v>411500</v>
      </c>
      <c r="BM71" s="230">
        <v>1181250</v>
      </c>
      <c r="BN71" s="230">
        <v>-769750</v>
      </c>
      <c r="BO71" s="229">
        <v>-0.65159999999999996</v>
      </c>
      <c r="BP71" s="230">
        <v>1734000</v>
      </c>
      <c r="BQ71" s="230">
        <v>3524250</v>
      </c>
      <c r="BR71" s="230">
        <v>-1790250</v>
      </c>
      <c r="BS71" s="229">
        <v>-0.50800000000000001</v>
      </c>
      <c r="BT71" s="230">
        <v>456304</v>
      </c>
      <c r="BU71" s="230">
        <v>338029</v>
      </c>
      <c r="BV71" s="230">
        <v>118275</v>
      </c>
      <c r="BW71" s="229">
        <v>0.34989999999999999</v>
      </c>
      <c r="BX71" s="230">
        <v>15745000</v>
      </c>
      <c r="BY71" s="230">
        <v>15598500</v>
      </c>
      <c r="BZ71" s="230">
        <v>146500</v>
      </c>
      <c r="CA71" s="229">
        <v>9.4000000000000004E-3</v>
      </c>
      <c r="CB71" s="230">
        <v>15697500</v>
      </c>
      <c r="CC71" s="230">
        <v>15562000</v>
      </c>
      <c r="CD71" s="230">
        <v>135500</v>
      </c>
      <c r="CE71" s="229">
        <v>8.6999999999999994E-3</v>
      </c>
      <c r="CF71" s="230">
        <v>43750</v>
      </c>
      <c r="CG71" s="230">
        <v>36500</v>
      </c>
      <c r="CH71" s="230">
        <v>7250</v>
      </c>
      <c r="CI71" s="229">
        <v>0.1986</v>
      </c>
      <c r="CJ71" s="230">
        <v>3750</v>
      </c>
      <c r="CK71" s="228">
        <v>0</v>
      </c>
      <c r="CL71" s="230">
        <v>3750</v>
      </c>
      <c r="CM71" s="229">
        <v>0</v>
      </c>
      <c r="CN71" s="230">
        <v>989250</v>
      </c>
      <c r="CO71" s="230">
        <v>885000</v>
      </c>
      <c r="CP71" s="230">
        <v>104250</v>
      </c>
      <c r="CQ71" s="229">
        <v>0.1178</v>
      </c>
      <c r="CR71" s="230">
        <v>1026750</v>
      </c>
      <c r="CS71" s="230">
        <v>954750</v>
      </c>
      <c r="CT71" s="230">
        <v>72000</v>
      </c>
      <c r="CU71" s="229">
        <v>7.5399999999999995E-2</v>
      </c>
      <c r="CV71" s="230">
        <v>17761000</v>
      </c>
      <c r="CW71" s="230">
        <v>17438250</v>
      </c>
      <c r="CX71" s="230">
        <v>322750</v>
      </c>
      <c r="CY71" s="229">
        <v>1.8499999999999999E-2</v>
      </c>
      <c r="CZ71" s="228">
        <v>16.989999999999998</v>
      </c>
      <c r="DA71" s="228">
        <v>17.399999999999999</v>
      </c>
      <c r="DB71" s="228">
        <v>-0.41</v>
      </c>
      <c r="DC71" s="228">
        <v>-0.41</v>
      </c>
      <c r="DD71" s="228">
        <v>25</v>
      </c>
      <c r="DE71" s="228">
        <v>25.04</v>
      </c>
      <c r="DF71" s="228">
        <v>-8.01</v>
      </c>
      <c r="DG71" s="228">
        <v>-0.04</v>
      </c>
      <c r="DH71" s="228">
        <v>16.829999999999998</v>
      </c>
      <c r="DI71" s="228">
        <v>17.22</v>
      </c>
      <c r="DJ71" s="228">
        <v>-0.39</v>
      </c>
      <c r="DK71" s="228">
        <v>-0.39</v>
      </c>
      <c r="DL71" s="228">
        <v>17.32</v>
      </c>
      <c r="DM71" s="228">
        <v>17.600000000000001</v>
      </c>
      <c r="DN71" s="228">
        <v>-0.28000000000000003</v>
      </c>
      <c r="DO71" s="228">
        <v>-0.28000000000000003</v>
      </c>
      <c r="DP71" s="228">
        <v>1.04</v>
      </c>
      <c r="DQ71" s="228">
        <v>1.08</v>
      </c>
      <c r="DR71" s="228">
        <v>-0.04</v>
      </c>
      <c r="DS71" s="229">
        <v>-3.6999999999999998E-2</v>
      </c>
      <c r="DT71" s="231">
        <v>2900</v>
      </c>
      <c r="DU71" s="231">
        <v>2740</v>
      </c>
      <c r="DV71" s="228">
        <v>0.5</v>
      </c>
      <c r="DW71" s="228">
        <v>0.92</v>
      </c>
      <c r="DX71" s="228">
        <v>-0.42</v>
      </c>
      <c r="DY71" s="229">
        <v>-0.45650000000000002</v>
      </c>
      <c r="DZ71" s="229">
        <v>3.0000000000000001E-3</v>
      </c>
      <c r="EA71" s="230">
        <v>36500</v>
      </c>
      <c r="EB71" s="229">
        <v>5.4999999999999997E-3</v>
      </c>
      <c r="EC71" s="229">
        <v>3.0000000000000001E-3</v>
      </c>
      <c r="ED71" s="228">
        <v>10.25</v>
      </c>
      <c r="EE71" s="229">
        <v>3.5999999999999999E-3</v>
      </c>
      <c r="EF71" s="230">
        <v>288635</v>
      </c>
      <c r="EG71" s="230">
        <v>176087</v>
      </c>
      <c r="EH71" s="229">
        <v>0.63919999999999999</v>
      </c>
      <c r="EI71" s="229">
        <v>0.63249999999999995</v>
      </c>
      <c r="EJ71" s="231">
        <v>24264.45</v>
      </c>
      <c r="EK71" s="231">
        <v>11556.47</v>
      </c>
      <c r="EL71" s="231">
        <v>14244.05</v>
      </c>
      <c r="EM71" s="231">
        <v>23724</v>
      </c>
      <c r="EN71" s="231">
        <v>50064.97</v>
      </c>
      <c r="EO71" s="231">
        <v>101164.19</v>
      </c>
      <c r="EP71" s="231">
        <v>-51099.22</v>
      </c>
      <c r="EQ71" s="229">
        <v>-0.50509999999999999</v>
      </c>
      <c r="ER71" s="231">
        <v>28948</v>
      </c>
      <c r="ES71" s="231">
        <v>28274</v>
      </c>
      <c r="ET71" s="231">
        <v>452047</v>
      </c>
      <c r="EU71" s="231">
        <v>38505832</v>
      </c>
      <c r="EV71" s="231">
        <v>509270</v>
      </c>
      <c r="EW71" s="231">
        <v>495687</v>
      </c>
      <c r="EX71" s="231">
        <v>13583</v>
      </c>
      <c r="EY71" s="229">
        <v>2.7400000000000001E-2</v>
      </c>
      <c r="EZ71" s="229">
        <v>0.46129999999999999</v>
      </c>
      <c r="FA71" s="227" t="s">
        <v>555</v>
      </c>
      <c r="FB71" s="161">
        <f t="shared" si="1"/>
        <v>47500</v>
      </c>
    </row>
    <row r="72" spans="1:158" ht="17.25" hidden="1" thickBot="1" x14ac:dyDescent="0.3">
      <c r="A72" s="226">
        <v>46023</v>
      </c>
      <c r="B72" s="227" t="s">
        <v>184</v>
      </c>
      <c r="C72" s="227" t="s">
        <v>513</v>
      </c>
      <c r="D72" s="228">
        <v>150</v>
      </c>
      <c r="E72" s="231">
        <v>4417.5</v>
      </c>
      <c r="F72" s="231">
        <v>4411.7</v>
      </c>
      <c r="G72" s="228">
        <v>5.8</v>
      </c>
      <c r="H72" s="229">
        <v>1.2999999999999999E-3</v>
      </c>
      <c r="I72" s="231">
        <v>4397.8999999999996</v>
      </c>
      <c r="J72" s="231">
        <v>4388.7</v>
      </c>
      <c r="K72" s="228">
        <v>9.1999999999999993</v>
      </c>
      <c r="L72" s="229">
        <v>2.0999999999999999E-3</v>
      </c>
      <c r="M72" s="231">
        <v>4417.5</v>
      </c>
      <c r="N72" s="231">
        <v>4411.7</v>
      </c>
      <c r="O72" s="228">
        <v>5.8</v>
      </c>
      <c r="P72" s="229">
        <v>1.2999999999999999E-3</v>
      </c>
      <c r="Q72" s="231">
        <v>4426.5</v>
      </c>
      <c r="R72" s="231">
        <v>4423.6000000000004</v>
      </c>
      <c r="S72" s="228">
        <v>2.9</v>
      </c>
      <c r="T72" s="229">
        <v>6.9999999999999999E-4</v>
      </c>
      <c r="U72" s="231">
        <v>4443.5</v>
      </c>
      <c r="V72" s="231">
        <v>4440.1000000000004</v>
      </c>
      <c r="W72" s="228">
        <v>3.4</v>
      </c>
      <c r="X72" s="229">
        <v>8.0000000000000004E-4</v>
      </c>
      <c r="Y72" s="228">
        <v>19.600000000000001</v>
      </c>
      <c r="Z72" s="228">
        <v>23</v>
      </c>
      <c r="AA72" s="228">
        <v>-3.4</v>
      </c>
      <c r="AB72" s="229">
        <v>4.4999999999999997E-3</v>
      </c>
      <c r="AC72" s="228">
        <v>19.600000000000001</v>
      </c>
      <c r="AD72" s="228">
        <v>23</v>
      </c>
      <c r="AE72" s="228">
        <v>-3.4</v>
      </c>
      <c r="AF72" s="229">
        <v>4.4999999999999997E-3</v>
      </c>
      <c r="AG72" s="228">
        <v>28.6</v>
      </c>
      <c r="AH72" s="228">
        <v>34.9</v>
      </c>
      <c r="AI72" s="228">
        <v>-6.3</v>
      </c>
      <c r="AJ72" s="229">
        <v>6.4999999999999997E-3</v>
      </c>
      <c r="AK72" s="228">
        <v>45.6</v>
      </c>
      <c r="AL72" s="228">
        <v>51.4</v>
      </c>
      <c r="AM72" s="228">
        <v>-5.8</v>
      </c>
      <c r="AN72" s="229">
        <v>1.04E-2</v>
      </c>
      <c r="AO72" s="231">
        <v>4399.72</v>
      </c>
      <c r="AP72" s="231">
        <v>4410.71</v>
      </c>
      <c r="AQ72" s="228">
        <v>0</v>
      </c>
      <c r="AR72" s="230">
        <v>819300</v>
      </c>
      <c r="AS72" s="230">
        <v>887550</v>
      </c>
      <c r="AT72" s="230">
        <v>-68250</v>
      </c>
      <c r="AU72" s="229">
        <v>-7.6899999999999996E-2</v>
      </c>
      <c r="AV72" s="230">
        <v>587100</v>
      </c>
      <c r="AW72" s="230">
        <v>757500</v>
      </c>
      <c r="AX72" s="230">
        <v>-170400</v>
      </c>
      <c r="AY72" s="229">
        <v>-0.22500000000000001</v>
      </c>
      <c r="AZ72" s="230">
        <v>221700</v>
      </c>
      <c r="BA72" s="230">
        <v>115950</v>
      </c>
      <c r="BB72" s="230">
        <v>105750</v>
      </c>
      <c r="BC72" s="229">
        <v>0.91200000000000003</v>
      </c>
      <c r="BD72" s="230">
        <v>10500</v>
      </c>
      <c r="BE72" s="230">
        <v>14100</v>
      </c>
      <c r="BF72" s="230">
        <v>-3600</v>
      </c>
      <c r="BG72" s="229">
        <v>-0.25530000000000003</v>
      </c>
      <c r="BH72" s="230">
        <v>2079150</v>
      </c>
      <c r="BI72" s="230">
        <v>3782700</v>
      </c>
      <c r="BJ72" s="230">
        <v>-1703550</v>
      </c>
      <c r="BK72" s="229">
        <v>-0.45040000000000002</v>
      </c>
      <c r="BL72" s="230">
        <v>1077750</v>
      </c>
      <c r="BM72" s="230">
        <v>1349700</v>
      </c>
      <c r="BN72" s="230">
        <v>-271950</v>
      </c>
      <c r="BO72" s="229">
        <v>-0.20150000000000001</v>
      </c>
      <c r="BP72" s="230">
        <v>3976200</v>
      </c>
      <c r="BQ72" s="230">
        <v>6019950</v>
      </c>
      <c r="BR72" s="230">
        <v>-2043750</v>
      </c>
      <c r="BS72" s="229">
        <v>-0.33950000000000002</v>
      </c>
      <c r="BT72" s="230">
        <v>400352</v>
      </c>
      <c r="BU72" s="230">
        <v>570661</v>
      </c>
      <c r="BV72" s="230">
        <v>-170309</v>
      </c>
      <c r="BW72" s="229">
        <v>-0.2984</v>
      </c>
      <c r="BX72" s="230">
        <v>9637950</v>
      </c>
      <c r="BY72" s="230">
        <v>9632850</v>
      </c>
      <c r="BZ72" s="230">
        <v>5100</v>
      </c>
      <c r="CA72" s="229">
        <v>5.0000000000000001E-4</v>
      </c>
      <c r="CB72" s="230">
        <v>8899500</v>
      </c>
      <c r="CC72" s="230">
        <v>9057150</v>
      </c>
      <c r="CD72" s="230">
        <v>-157650</v>
      </c>
      <c r="CE72" s="229">
        <v>-1.7399999999999999E-2</v>
      </c>
      <c r="CF72" s="230">
        <v>720900</v>
      </c>
      <c r="CG72" s="230">
        <v>563700</v>
      </c>
      <c r="CH72" s="230">
        <v>157200</v>
      </c>
      <c r="CI72" s="229">
        <v>0.27889999999999998</v>
      </c>
      <c r="CJ72" s="230">
        <v>17550</v>
      </c>
      <c r="CK72" s="230">
        <v>12000</v>
      </c>
      <c r="CL72" s="230">
        <v>5550</v>
      </c>
      <c r="CM72" s="229">
        <v>0.46250000000000002</v>
      </c>
      <c r="CN72" s="230">
        <v>3594450</v>
      </c>
      <c r="CO72" s="230">
        <v>3403500</v>
      </c>
      <c r="CP72" s="230">
        <v>190950</v>
      </c>
      <c r="CQ72" s="229">
        <v>5.6099999999999997E-2</v>
      </c>
      <c r="CR72" s="230">
        <v>2524050</v>
      </c>
      <c r="CS72" s="230">
        <v>2404050</v>
      </c>
      <c r="CT72" s="230">
        <v>120000</v>
      </c>
      <c r="CU72" s="229">
        <v>4.99E-2</v>
      </c>
      <c r="CV72" s="230">
        <v>15756450</v>
      </c>
      <c r="CW72" s="230">
        <v>15440400</v>
      </c>
      <c r="CX72" s="230">
        <v>316050</v>
      </c>
      <c r="CY72" s="229">
        <v>2.0500000000000001E-2</v>
      </c>
      <c r="CZ72" s="228">
        <v>23.45</v>
      </c>
      <c r="DA72" s="228">
        <v>23.44</v>
      </c>
      <c r="DB72" s="228">
        <v>0.01</v>
      </c>
      <c r="DC72" s="228">
        <v>0.01</v>
      </c>
      <c r="DD72" s="228">
        <v>37</v>
      </c>
      <c r="DE72" s="228">
        <v>37.1</v>
      </c>
      <c r="DF72" s="228">
        <v>-13.55</v>
      </c>
      <c r="DG72" s="228">
        <v>-0.1</v>
      </c>
      <c r="DH72" s="228">
        <v>23.59</v>
      </c>
      <c r="DI72" s="228">
        <v>23.58</v>
      </c>
      <c r="DJ72" s="228">
        <v>0.01</v>
      </c>
      <c r="DK72" s="228">
        <v>0.01</v>
      </c>
      <c r="DL72" s="228">
        <v>23.17</v>
      </c>
      <c r="DM72" s="228">
        <v>23.06</v>
      </c>
      <c r="DN72" s="228">
        <v>0.11</v>
      </c>
      <c r="DO72" s="228">
        <v>0.11</v>
      </c>
      <c r="DP72" s="228">
        <v>0.7</v>
      </c>
      <c r="DQ72" s="228">
        <v>0.71</v>
      </c>
      <c r="DR72" s="228">
        <v>-0.01</v>
      </c>
      <c r="DS72" s="229">
        <v>-1.41E-2</v>
      </c>
      <c r="DT72" s="231">
        <v>5000</v>
      </c>
      <c r="DU72" s="231">
        <v>4400</v>
      </c>
      <c r="DV72" s="228">
        <v>0.52</v>
      </c>
      <c r="DW72" s="228">
        <v>0.36</v>
      </c>
      <c r="DX72" s="228">
        <v>0.16</v>
      </c>
      <c r="DY72" s="229">
        <v>0.44440000000000002</v>
      </c>
      <c r="DZ72" s="229">
        <v>7.6600000000000001E-2</v>
      </c>
      <c r="EA72" s="230">
        <v>575700</v>
      </c>
      <c r="EB72" s="229">
        <v>2E-3</v>
      </c>
      <c r="EC72" s="229">
        <v>7.6600000000000001E-2</v>
      </c>
      <c r="ED72" s="228">
        <v>10.99</v>
      </c>
      <c r="EE72" s="229">
        <v>2.5000000000000001E-3</v>
      </c>
      <c r="EF72" s="230">
        <v>184893</v>
      </c>
      <c r="EG72" s="230">
        <v>261111</v>
      </c>
      <c r="EH72" s="229">
        <v>-0.29189999999999999</v>
      </c>
      <c r="EI72" s="229">
        <v>0.46179999999999999</v>
      </c>
      <c r="EJ72" s="231">
        <v>96856.76</v>
      </c>
      <c r="EK72" s="231">
        <v>47357.06</v>
      </c>
      <c r="EL72" s="231">
        <v>36073.29</v>
      </c>
      <c r="EM72" s="231">
        <v>29884</v>
      </c>
      <c r="EN72" s="231">
        <v>180287.11</v>
      </c>
      <c r="EO72" s="231">
        <v>273701.03999999998</v>
      </c>
      <c r="EP72" s="231">
        <v>-93413.93</v>
      </c>
      <c r="EQ72" s="229">
        <v>-0.34129999999999999</v>
      </c>
      <c r="ER72" s="231">
        <v>167495</v>
      </c>
      <c r="ES72" s="231">
        <v>112029</v>
      </c>
      <c r="ET72" s="231">
        <v>425826</v>
      </c>
      <c r="EU72" s="231">
        <v>28450886</v>
      </c>
      <c r="EV72" s="231">
        <v>705350</v>
      </c>
      <c r="EW72" s="231">
        <v>690217</v>
      </c>
      <c r="EX72" s="231">
        <v>15133</v>
      </c>
      <c r="EY72" s="229">
        <v>2.1899999999999999E-2</v>
      </c>
      <c r="EZ72" s="229">
        <v>0.55379999999999996</v>
      </c>
      <c r="FA72" s="227" t="s">
        <v>555</v>
      </c>
      <c r="FB72" s="161">
        <f t="shared" si="1"/>
        <v>738450</v>
      </c>
    </row>
    <row r="73" spans="1:158" ht="17.25" hidden="1" thickBot="1" x14ac:dyDescent="0.3">
      <c r="A73" s="226">
        <v>46023</v>
      </c>
      <c r="B73" s="227" t="s">
        <v>184</v>
      </c>
      <c r="C73" s="227" t="s">
        <v>220</v>
      </c>
      <c r="D73" s="228">
        <v>500</v>
      </c>
      <c r="E73" s="231">
        <v>1424.8</v>
      </c>
      <c r="F73" s="231">
        <v>1432.5</v>
      </c>
      <c r="G73" s="228">
        <v>-7.7</v>
      </c>
      <c r="H73" s="229">
        <v>-5.4000000000000003E-3</v>
      </c>
      <c r="I73" s="231">
        <v>1417.5</v>
      </c>
      <c r="J73" s="231">
        <v>1424.9</v>
      </c>
      <c r="K73" s="228">
        <v>-7.4</v>
      </c>
      <c r="L73" s="229">
        <v>-5.1999999999999998E-3</v>
      </c>
      <c r="M73" s="231">
        <v>1424.8</v>
      </c>
      <c r="N73" s="231">
        <v>1432.5</v>
      </c>
      <c r="O73" s="228">
        <v>-7.7</v>
      </c>
      <c r="P73" s="229">
        <v>-5.4000000000000003E-3</v>
      </c>
      <c r="Q73" s="231">
        <v>1431.7</v>
      </c>
      <c r="R73" s="231">
        <v>1438.3</v>
      </c>
      <c r="S73" s="228">
        <v>-6.6</v>
      </c>
      <c r="T73" s="229">
        <v>-4.5999999999999999E-3</v>
      </c>
      <c r="U73" s="231">
        <v>1435.7</v>
      </c>
      <c r="V73" s="231">
        <v>1447.6</v>
      </c>
      <c r="W73" s="228">
        <v>-11.9</v>
      </c>
      <c r="X73" s="229">
        <v>-8.2000000000000007E-3</v>
      </c>
      <c r="Y73" s="228">
        <v>7.3</v>
      </c>
      <c r="Z73" s="228">
        <v>7.6</v>
      </c>
      <c r="AA73" s="228">
        <v>-0.3</v>
      </c>
      <c r="AB73" s="229">
        <v>5.1000000000000004E-3</v>
      </c>
      <c r="AC73" s="228">
        <v>7.3</v>
      </c>
      <c r="AD73" s="228">
        <v>7.6</v>
      </c>
      <c r="AE73" s="228">
        <v>-0.3</v>
      </c>
      <c r="AF73" s="229">
        <v>5.1000000000000004E-3</v>
      </c>
      <c r="AG73" s="228">
        <v>14.2</v>
      </c>
      <c r="AH73" s="228">
        <v>13.4</v>
      </c>
      <c r="AI73" s="228">
        <v>0.8</v>
      </c>
      <c r="AJ73" s="229">
        <v>0.01</v>
      </c>
      <c r="AK73" s="228">
        <v>18.2</v>
      </c>
      <c r="AL73" s="228">
        <v>22.7</v>
      </c>
      <c r="AM73" s="228">
        <v>-4.5</v>
      </c>
      <c r="AN73" s="229">
        <v>1.2800000000000001E-2</v>
      </c>
      <c r="AO73" s="231">
        <v>1426.85</v>
      </c>
      <c r="AP73" s="231">
        <v>1432.27</v>
      </c>
      <c r="AQ73" s="228">
        <v>0</v>
      </c>
      <c r="AR73" s="230">
        <v>488000</v>
      </c>
      <c r="AS73" s="230">
        <v>721000</v>
      </c>
      <c r="AT73" s="230">
        <v>-233000</v>
      </c>
      <c r="AU73" s="229">
        <v>-0.32319999999999999</v>
      </c>
      <c r="AV73" s="230">
        <v>460000</v>
      </c>
      <c r="AW73" s="230">
        <v>679500</v>
      </c>
      <c r="AX73" s="230">
        <v>-219500</v>
      </c>
      <c r="AY73" s="229">
        <v>-0.32300000000000001</v>
      </c>
      <c r="AZ73" s="230">
        <v>25500</v>
      </c>
      <c r="BA73" s="230">
        <v>38500</v>
      </c>
      <c r="BB73" s="230">
        <v>-13000</v>
      </c>
      <c r="BC73" s="229">
        <v>-0.3377</v>
      </c>
      <c r="BD73" s="230">
        <v>2500</v>
      </c>
      <c r="BE73" s="230">
        <v>3000</v>
      </c>
      <c r="BF73" s="228">
        <v>-500</v>
      </c>
      <c r="BG73" s="229">
        <v>-0.16669999999999999</v>
      </c>
      <c r="BH73" s="230">
        <v>994000</v>
      </c>
      <c r="BI73" s="230">
        <v>1101000</v>
      </c>
      <c r="BJ73" s="230">
        <v>-107000</v>
      </c>
      <c r="BK73" s="229">
        <v>-9.7199999999999995E-2</v>
      </c>
      <c r="BL73" s="230">
        <v>446000</v>
      </c>
      <c r="BM73" s="230">
        <v>693500</v>
      </c>
      <c r="BN73" s="230">
        <v>-247500</v>
      </c>
      <c r="BO73" s="229">
        <v>-0.3569</v>
      </c>
      <c r="BP73" s="230">
        <v>1928000</v>
      </c>
      <c r="BQ73" s="230">
        <v>2515500</v>
      </c>
      <c r="BR73" s="230">
        <v>-587500</v>
      </c>
      <c r="BS73" s="229">
        <v>-0.2336</v>
      </c>
      <c r="BT73" s="230">
        <v>332169</v>
      </c>
      <c r="BU73" s="230">
        <v>522137</v>
      </c>
      <c r="BV73" s="230">
        <v>-189968</v>
      </c>
      <c r="BW73" s="229">
        <v>-0.36380000000000001</v>
      </c>
      <c r="BX73" s="230">
        <v>7828500</v>
      </c>
      <c r="BY73" s="230">
        <v>7807000</v>
      </c>
      <c r="BZ73" s="230">
        <v>21500</v>
      </c>
      <c r="CA73" s="229">
        <v>2.8E-3</v>
      </c>
      <c r="CB73" s="230">
        <v>7598500</v>
      </c>
      <c r="CC73" s="230">
        <v>7585500</v>
      </c>
      <c r="CD73" s="230">
        <v>13000</v>
      </c>
      <c r="CE73" s="229">
        <v>1.6999999999999999E-3</v>
      </c>
      <c r="CF73" s="230">
        <v>227000</v>
      </c>
      <c r="CG73" s="230">
        <v>219000</v>
      </c>
      <c r="CH73" s="230">
        <v>8000</v>
      </c>
      <c r="CI73" s="229">
        <v>3.6499999999999998E-2</v>
      </c>
      <c r="CJ73" s="230">
        <v>3000</v>
      </c>
      <c r="CK73" s="230">
        <v>2500</v>
      </c>
      <c r="CL73" s="228">
        <v>500</v>
      </c>
      <c r="CM73" s="229">
        <v>0.2</v>
      </c>
      <c r="CN73" s="230">
        <v>1335000</v>
      </c>
      <c r="CO73" s="230">
        <v>1132500</v>
      </c>
      <c r="CP73" s="230">
        <v>202500</v>
      </c>
      <c r="CQ73" s="229">
        <v>0.17879999999999999</v>
      </c>
      <c r="CR73" s="230">
        <v>1479000</v>
      </c>
      <c r="CS73" s="230">
        <v>1350000</v>
      </c>
      <c r="CT73" s="230">
        <v>129000</v>
      </c>
      <c r="CU73" s="229">
        <v>9.5600000000000004E-2</v>
      </c>
      <c r="CV73" s="230">
        <v>10642500</v>
      </c>
      <c r="CW73" s="230">
        <v>10289500</v>
      </c>
      <c r="CX73" s="230">
        <v>353000</v>
      </c>
      <c r="CY73" s="229">
        <v>3.4299999999999997E-2</v>
      </c>
      <c r="CZ73" s="228">
        <v>20.45</v>
      </c>
      <c r="DA73" s="228">
        <v>21.56</v>
      </c>
      <c r="DB73" s="228">
        <v>-1.1100000000000001</v>
      </c>
      <c r="DC73" s="228">
        <v>-1.1100000000000001</v>
      </c>
      <c r="DD73" s="228">
        <v>26.6</v>
      </c>
      <c r="DE73" s="228">
        <v>26.66</v>
      </c>
      <c r="DF73" s="228">
        <v>-6.15</v>
      </c>
      <c r="DG73" s="228">
        <v>-0.06</v>
      </c>
      <c r="DH73" s="228">
        <v>20.5</v>
      </c>
      <c r="DI73" s="228">
        <v>21.14</v>
      </c>
      <c r="DJ73" s="228">
        <v>-0.64</v>
      </c>
      <c r="DK73" s="228">
        <v>-0.64</v>
      </c>
      <c r="DL73" s="228">
        <v>20.329999999999998</v>
      </c>
      <c r="DM73" s="228">
        <v>22.23</v>
      </c>
      <c r="DN73" s="228">
        <v>-1.9</v>
      </c>
      <c r="DO73" s="228">
        <v>-1.9</v>
      </c>
      <c r="DP73" s="228">
        <v>1.1100000000000001</v>
      </c>
      <c r="DQ73" s="228">
        <v>1.19</v>
      </c>
      <c r="DR73" s="228">
        <v>-0.08</v>
      </c>
      <c r="DS73" s="229">
        <v>-6.7199999999999996E-2</v>
      </c>
      <c r="DT73" s="231">
        <v>1440</v>
      </c>
      <c r="DU73" s="231">
        <v>1420</v>
      </c>
      <c r="DV73" s="228">
        <v>0.45</v>
      </c>
      <c r="DW73" s="228">
        <v>0.63</v>
      </c>
      <c r="DX73" s="228">
        <v>-0.18</v>
      </c>
      <c r="DY73" s="229">
        <v>-0.28570000000000001</v>
      </c>
      <c r="DZ73" s="229">
        <v>2.9399999999999999E-2</v>
      </c>
      <c r="EA73" s="230">
        <v>221500</v>
      </c>
      <c r="EB73" s="229">
        <v>4.7999999999999996E-3</v>
      </c>
      <c r="EC73" s="229">
        <v>2.9399999999999999E-2</v>
      </c>
      <c r="ED73" s="228">
        <v>5.42</v>
      </c>
      <c r="EE73" s="229">
        <v>3.8E-3</v>
      </c>
      <c r="EF73" s="230">
        <v>252950</v>
      </c>
      <c r="EG73" s="230">
        <v>430975</v>
      </c>
      <c r="EH73" s="229">
        <v>-0.41310000000000002</v>
      </c>
      <c r="EI73" s="229">
        <v>0.76149999999999995</v>
      </c>
      <c r="EJ73" s="231">
        <v>14679.67</v>
      </c>
      <c r="EK73" s="231">
        <v>6340.86</v>
      </c>
      <c r="EL73" s="231">
        <v>6964.77</v>
      </c>
      <c r="EM73" s="231">
        <v>7104</v>
      </c>
      <c r="EN73" s="231">
        <v>27985.3</v>
      </c>
      <c r="EO73" s="231">
        <v>36763.769999999997</v>
      </c>
      <c r="EP73" s="231">
        <v>-8778.4699999999993</v>
      </c>
      <c r="EQ73" s="229">
        <v>-0.23880000000000001</v>
      </c>
      <c r="ER73" s="231">
        <v>19675</v>
      </c>
      <c r="ES73" s="231">
        <v>20726</v>
      </c>
      <c r="ET73" s="231">
        <v>111556</v>
      </c>
      <c r="EU73" s="231">
        <v>35667502</v>
      </c>
      <c r="EV73" s="231">
        <v>151957</v>
      </c>
      <c r="EW73" s="231">
        <v>147464</v>
      </c>
      <c r="EX73" s="231">
        <v>4493</v>
      </c>
      <c r="EY73" s="229">
        <v>3.0499999999999999E-2</v>
      </c>
      <c r="EZ73" s="229">
        <v>0.2984</v>
      </c>
      <c r="FA73" s="227" t="s">
        <v>567</v>
      </c>
      <c r="FB73" s="161">
        <f t="shared" si="1"/>
        <v>230000</v>
      </c>
    </row>
    <row r="74" spans="1:158" ht="17.25" hidden="1" thickBot="1" x14ac:dyDescent="0.3">
      <c r="A74" s="226">
        <v>46023</v>
      </c>
      <c r="B74" s="227" t="s">
        <v>221</v>
      </c>
      <c r="C74" s="227" t="s">
        <v>222</v>
      </c>
      <c r="D74" s="228">
        <v>350</v>
      </c>
      <c r="E74" s="231">
        <v>1628.5</v>
      </c>
      <c r="F74" s="231">
        <v>1618.3</v>
      </c>
      <c r="G74" s="228">
        <v>10.199999999999999</v>
      </c>
      <c r="H74" s="229">
        <v>6.3E-3</v>
      </c>
      <c r="I74" s="231">
        <v>1634.5</v>
      </c>
      <c r="J74" s="231">
        <v>1623.3</v>
      </c>
      <c r="K74" s="228">
        <v>11.2</v>
      </c>
      <c r="L74" s="229">
        <v>6.8999999999999999E-3</v>
      </c>
      <c r="M74" s="231">
        <v>1628.5</v>
      </c>
      <c r="N74" s="231">
        <v>1618.3</v>
      </c>
      <c r="O74" s="228">
        <v>10.199999999999999</v>
      </c>
      <c r="P74" s="229">
        <v>6.3E-3</v>
      </c>
      <c r="Q74" s="231">
        <v>1636.5</v>
      </c>
      <c r="R74" s="231">
        <v>1627.5</v>
      </c>
      <c r="S74" s="228">
        <v>9</v>
      </c>
      <c r="T74" s="229">
        <v>5.4999999999999997E-3</v>
      </c>
      <c r="U74" s="231">
        <v>1647.1</v>
      </c>
      <c r="V74" s="231">
        <v>1637.8</v>
      </c>
      <c r="W74" s="228">
        <v>9.3000000000000007</v>
      </c>
      <c r="X74" s="229">
        <v>5.7000000000000002E-3</v>
      </c>
      <c r="Y74" s="228">
        <v>-6</v>
      </c>
      <c r="Z74" s="228">
        <v>-5</v>
      </c>
      <c r="AA74" s="228">
        <v>-1</v>
      </c>
      <c r="AB74" s="229">
        <v>-3.7000000000000002E-3</v>
      </c>
      <c r="AC74" s="228">
        <v>-6</v>
      </c>
      <c r="AD74" s="228">
        <v>-5</v>
      </c>
      <c r="AE74" s="228">
        <v>-1</v>
      </c>
      <c r="AF74" s="229">
        <v>-3.7000000000000002E-3</v>
      </c>
      <c r="AG74" s="228">
        <v>2</v>
      </c>
      <c r="AH74" s="228">
        <v>4.2</v>
      </c>
      <c r="AI74" s="228">
        <v>-2.2000000000000002</v>
      </c>
      <c r="AJ74" s="229">
        <v>1.1999999999999999E-3</v>
      </c>
      <c r="AK74" s="228">
        <v>12.6</v>
      </c>
      <c r="AL74" s="228">
        <v>14.5</v>
      </c>
      <c r="AM74" s="228">
        <v>-1.9</v>
      </c>
      <c r="AN74" s="229">
        <v>7.7000000000000002E-3</v>
      </c>
      <c r="AO74" s="231">
        <v>1629.38</v>
      </c>
      <c r="AP74" s="231">
        <v>1637.04</v>
      </c>
      <c r="AQ74" s="228">
        <v>0</v>
      </c>
      <c r="AR74" s="230">
        <v>1038100</v>
      </c>
      <c r="AS74" s="230">
        <v>1309700</v>
      </c>
      <c r="AT74" s="230">
        <v>-271600</v>
      </c>
      <c r="AU74" s="229">
        <v>-0.2074</v>
      </c>
      <c r="AV74" s="230">
        <v>980000</v>
      </c>
      <c r="AW74" s="230">
        <v>1282050</v>
      </c>
      <c r="AX74" s="230">
        <v>-302050</v>
      </c>
      <c r="AY74" s="229">
        <v>-0.2356</v>
      </c>
      <c r="AZ74" s="230">
        <v>38150</v>
      </c>
      <c r="BA74" s="230">
        <v>24150</v>
      </c>
      <c r="BB74" s="230">
        <v>14000</v>
      </c>
      <c r="BC74" s="229">
        <v>0.57969999999999999</v>
      </c>
      <c r="BD74" s="230">
        <v>19950</v>
      </c>
      <c r="BE74" s="230">
        <v>3500</v>
      </c>
      <c r="BF74" s="230">
        <v>16450</v>
      </c>
      <c r="BG74" s="229">
        <v>4.7</v>
      </c>
      <c r="BH74" s="230">
        <v>4666900</v>
      </c>
      <c r="BI74" s="230">
        <v>3595900</v>
      </c>
      <c r="BJ74" s="230">
        <v>1071000</v>
      </c>
      <c r="BK74" s="229">
        <v>0.29780000000000001</v>
      </c>
      <c r="BL74" s="230">
        <v>1883700</v>
      </c>
      <c r="BM74" s="230">
        <v>1955100</v>
      </c>
      <c r="BN74" s="230">
        <v>-71400</v>
      </c>
      <c r="BO74" s="229">
        <v>-3.6499999999999998E-2</v>
      </c>
      <c r="BP74" s="230">
        <v>7588700</v>
      </c>
      <c r="BQ74" s="230">
        <v>6860700</v>
      </c>
      <c r="BR74" s="230">
        <v>728000</v>
      </c>
      <c r="BS74" s="229">
        <v>0.1061</v>
      </c>
      <c r="BT74" s="230">
        <v>880709</v>
      </c>
      <c r="BU74" s="230">
        <v>1417380</v>
      </c>
      <c r="BV74" s="230">
        <v>-536671</v>
      </c>
      <c r="BW74" s="229">
        <v>-0.37859999999999999</v>
      </c>
      <c r="BX74" s="230">
        <v>15955450</v>
      </c>
      <c r="BY74" s="230">
        <v>15907500</v>
      </c>
      <c r="BZ74" s="230">
        <v>47950</v>
      </c>
      <c r="CA74" s="229">
        <v>3.0000000000000001E-3</v>
      </c>
      <c r="CB74" s="230">
        <v>15740900</v>
      </c>
      <c r="CC74" s="230">
        <v>15714300</v>
      </c>
      <c r="CD74" s="230">
        <v>26600</v>
      </c>
      <c r="CE74" s="229">
        <v>1.6999999999999999E-3</v>
      </c>
      <c r="CF74" s="230">
        <v>196000</v>
      </c>
      <c r="CG74" s="230">
        <v>189700</v>
      </c>
      <c r="CH74" s="230">
        <v>6300</v>
      </c>
      <c r="CI74" s="229">
        <v>3.32E-2</v>
      </c>
      <c r="CJ74" s="230">
        <v>18550</v>
      </c>
      <c r="CK74" s="230">
        <v>3500</v>
      </c>
      <c r="CL74" s="230">
        <v>15050</v>
      </c>
      <c r="CM74" s="229">
        <v>4.3</v>
      </c>
      <c r="CN74" s="230">
        <v>3659600</v>
      </c>
      <c r="CO74" s="230">
        <v>2881550</v>
      </c>
      <c r="CP74" s="230">
        <v>778050</v>
      </c>
      <c r="CQ74" s="229">
        <v>0.27</v>
      </c>
      <c r="CR74" s="230">
        <v>2229850</v>
      </c>
      <c r="CS74" s="230">
        <v>2020550</v>
      </c>
      <c r="CT74" s="230">
        <v>209300</v>
      </c>
      <c r="CU74" s="229">
        <v>0.1036</v>
      </c>
      <c r="CV74" s="230">
        <v>21844900</v>
      </c>
      <c r="CW74" s="230">
        <v>20809600</v>
      </c>
      <c r="CX74" s="230">
        <v>1035300</v>
      </c>
      <c r="CY74" s="229">
        <v>4.9799999999999997E-2</v>
      </c>
      <c r="CZ74" s="228">
        <v>23.69</v>
      </c>
      <c r="DA74" s="228">
        <v>24.15</v>
      </c>
      <c r="DB74" s="228">
        <v>-0.46</v>
      </c>
      <c r="DC74" s="228">
        <v>-0.46</v>
      </c>
      <c r="DD74" s="228">
        <v>27.69</v>
      </c>
      <c r="DE74" s="228">
        <v>27.74</v>
      </c>
      <c r="DF74" s="228">
        <v>-4</v>
      </c>
      <c r="DG74" s="228">
        <v>-0.05</v>
      </c>
      <c r="DH74" s="228">
        <v>23.52</v>
      </c>
      <c r="DI74" s="228">
        <v>23.96</v>
      </c>
      <c r="DJ74" s="228">
        <v>-0.44</v>
      </c>
      <c r="DK74" s="228">
        <v>-0.44</v>
      </c>
      <c r="DL74" s="228">
        <v>24.13</v>
      </c>
      <c r="DM74" s="228">
        <v>24.5</v>
      </c>
      <c r="DN74" s="228">
        <v>-0.37</v>
      </c>
      <c r="DO74" s="228">
        <v>-0.37</v>
      </c>
      <c r="DP74" s="228">
        <v>0.61</v>
      </c>
      <c r="DQ74" s="228">
        <v>0.7</v>
      </c>
      <c r="DR74" s="228">
        <v>-0.09</v>
      </c>
      <c r="DS74" s="229">
        <v>-0.12859999999999999</v>
      </c>
      <c r="DT74" s="231">
        <v>1700</v>
      </c>
      <c r="DU74" s="231">
        <v>1600</v>
      </c>
      <c r="DV74" s="228">
        <v>0.4</v>
      </c>
      <c r="DW74" s="228">
        <v>0.54</v>
      </c>
      <c r="DX74" s="228">
        <v>-0.14000000000000001</v>
      </c>
      <c r="DY74" s="229">
        <v>-0.25929999999999997</v>
      </c>
      <c r="DZ74" s="229">
        <v>1.34E-2</v>
      </c>
      <c r="EA74" s="230">
        <v>193200</v>
      </c>
      <c r="EB74" s="229">
        <v>4.8999999999999998E-3</v>
      </c>
      <c r="EC74" s="229">
        <v>1.34E-2</v>
      </c>
      <c r="ED74" s="228">
        <v>7.66</v>
      </c>
      <c r="EE74" s="229">
        <v>4.7000000000000002E-3</v>
      </c>
      <c r="EF74" s="230">
        <v>442990</v>
      </c>
      <c r="EG74" s="230">
        <v>870302</v>
      </c>
      <c r="EH74" s="229">
        <v>-0.49099999999999999</v>
      </c>
      <c r="EI74" s="229">
        <v>0.503</v>
      </c>
      <c r="EJ74" s="231">
        <v>80319.56</v>
      </c>
      <c r="EK74" s="231">
        <v>30254.15</v>
      </c>
      <c r="EL74" s="231">
        <v>16921.96</v>
      </c>
      <c r="EM74" s="231">
        <v>20638</v>
      </c>
      <c r="EN74" s="231">
        <v>127495.67</v>
      </c>
      <c r="EO74" s="231">
        <v>113673.71</v>
      </c>
      <c r="EP74" s="231">
        <v>13821.96</v>
      </c>
      <c r="EQ74" s="229">
        <v>0.1216</v>
      </c>
      <c r="ER74" s="231">
        <v>62918</v>
      </c>
      <c r="ES74" s="231">
        <v>35014</v>
      </c>
      <c r="ET74" s="231">
        <v>259854</v>
      </c>
      <c r="EU74" s="231">
        <v>106857976</v>
      </c>
      <c r="EV74" s="231">
        <v>357786</v>
      </c>
      <c r="EW74" s="231">
        <v>338505</v>
      </c>
      <c r="EX74" s="231">
        <v>19281</v>
      </c>
      <c r="EY74" s="229">
        <v>5.7000000000000002E-2</v>
      </c>
      <c r="EZ74" s="229">
        <v>0.2044</v>
      </c>
      <c r="FA74" s="227" t="s">
        <v>555</v>
      </c>
      <c r="FB74" s="161">
        <f t="shared" si="1"/>
        <v>214550</v>
      </c>
    </row>
    <row r="75" spans="1:158" ht="17.25" hidden="1" thickBot="1" x14ac:dyDescent="0.3">
      <c r="A75" s="226">
        <v>46023</v>
      </c>
      <c r="B75" s="227" t="s">
        <v>175</v>
      </c>
      <c r="C75" s="227" t="s">
        <v>475</v>
      </c>
      <c r="D75" s="228">
        <v>300</v>
      </c>
      <c r="E75" s="231">
        <v>2663.1</v>
      </c>
      <c r="F75" s="231">
        <v>2687.2</v>
      </c>
      <c r="G75" s="228">
        <v>-24.1</v>
      </c>
      <c r="H75" s="229">
        <v>-8.9999999999999993E-3</v>
      </c>
      <c r="I75" s="231">
        <v>2648.2</v>
      </c>
      <c r="J75" s="231">
        <v>2672.2</v>
      </c>
      <c r="K75" s="228">
        <v>-24</v>
      </c>
      <c r="L75" s="229">
        <v>-8.9999999999999993E-3</v>
      </c>
      <c r="M75" s="231">
        <v>2663.1</v>
      </c>
      <c r="N75" s="231">
        <v>2687.2</v>
      </c>
      <c r="O75" s="228">
        <v>-24.1</v>
      </c>
      <c r="P75" s="229">
        <v>-8.9999999999999993E-3</v>
      </c>
      <c r="Q75" s="231">
        <v>2683.2</v>
      </c>
      <c r="R75" s="231">
        <v>2707.4</v>
      </c>
      <c r="S75" s="228">
        <v>-24.2</v>
      </c>
      <c r="T75" s="229">
        <v>-8.8999999999999999E-3</v>
      </c>
      <c r="U75" s="231">
        <v>2717.3</v>
      </c>
      <c r="V75" s="231">
        <v>2717.3</v>
      </c>
      <c r="W75" s="228">
        <v>0</v>
      </c>
      <c r="X75" s="229">
        <v>0</v>
      </c>
      <c r="Y75" s="228">
        <v>14.9</v>
      </c>
      <c r="Z75" s="228">
        <v>15</v>
      </c>
      <c r="AA75" s="228">
        <v>-0.1</v>
      </c>
      <c r="AB75" s="229">
        <v>5.5999999999999999E-3</v>
      </c>
      <c r="AC75" s="228">
        <v>14.9</v>
      </c>
      <c r="AD75" s="228">
        <v>15</v>
      </c>
      <c r="AE75" s="228">
        <v>-0.1</v>
      </c>
      <c r="AF75" s="229">
        <v>5.5999999999999999E-3</v>
      </c>
      <c r="AG75" s="228">
        <v>35</v>
      </c>
      <c r="AH75" s="228">
        <v>35.200000000000003</v>
      </c>
      <c r="AI75" s="228">
        <v>-0.2</v>
      </c>
      <c r="AJ75" s="229">
        <v>1.32E-2</v>
      </c>
      <c r="AK75" s="228">
        <v>69.099999999999994</v>
      </c>
      <c r="AL75" s="228">
        <v>45.1</v>
      </c>
      <c r="AM75" s="228">
        <v>24</v>
      </c>
      <c r="AN75" s="229">
        <v>2.6100000000000002E-2</v>
      </c>
      <c r="AO75" s="231">
        <v>2662.76</v>
      </c>
      <c r="AP75" s="231">
        <v>2677.33</v>
      </c>
      <c r="AQ75" s="228">
        <v>0</v>
      </c>
      <c r="AR75" s="230">
        <v>327000</v>
      </c>
      <c r="AS75" s="230">
        <v>690900</v>
      </c>
      <c r="AT75" s="230">
        <v>-363900</v>
      </c>
      <c r="AU75" s="229">
        <v>-0.52669999999999995</v>
      </c>
      <c r="AV75" s="230">
        <v>316500</v>
      </c>
      <c r="AW75" s="230">
        <v>678000</v>
      </c>
      <c r="AX75" s="230">
        <v>-361500</v>
      </c>
      <c r="AY75" s="229">
        <v>-0.53320000000000001</v>
      </c>
      <c r="AZ75" s="230">
        <v>10500</v>
      </c>
      <c r="BA75" s="230">
        <v>10200</v>
      </c>
      <c r="BB75" s="228">
        <v>300</v>
      </c>
      <c r="BC75" s="229">
        <v>2.9399999999999999E-2</v>
      </c>
      <c r="BD75" s="228">
        <v>0</v>
      </c>
      <c r="BE75" s="230">
        <v>2700</v>
      </c>
      <c r="BF75" s="230">
        <v>-2700</v>
      </c>
      <c r="BG75" s="229">
        <v>-1</v>
      </c>
      <c r="BH75" s="230">
        <v>1005600</v>
      </c>
      <c r="BI75" s="230">
        <v>1734000</v>
      </c>
      <c r="BJ75" s="230">
        <v>-728400</v>
      </c>
      <c r="BK75" s="229">
        <v>-0.42009999999999997</v>
      </c>
      <c r="BL75" s="230">
        <v>423000</v>
      </c>
      <c r="BM75" s="230">
        <v>744300</v>
      </c>
      <c r="BN75" s="230">
        <v>-321300</v>
      </c>
      <c r="BO75" s="229">
        <v>-0.43169999999999997</v>
      </c>
      <c r="BP75" s="230">
        <v>1755600</v>
      </c>
      <c r="BQ75" s="230">
        <v>3169200</v>
      </c>
      <c r="BR75" s="230">
        <v>-1413600</v>
      </c>
      <c r="BS75" s="229">
        <v>-0.44600000000000001</v>
      </c>
      <c r="BT75" s="230">
        <v>348657</v>
      </c>
      <c r="BU75" s="230">
        <v>519311</v>
      </c>
      <c r="BV75" s="230">
        <v>-170654</v>
      </c>
      <c r="BW75" s="229">
        <v>-0.3286</v>
      </c>
      <c r="BX75" s="230">
        <v>5935800</v>
      </c>
      <c r="BY75" s="230">
        <v>5925900</v>
      </c>
      <c r="BZ75" s="230">
        <v>9900</v>
      </c>
      <c r="CA75" s="229">
        <v>1.6999999999999999E-3</v>
      </c>
      <c r="CB75" s="230">
        <v>5859300</v>
      </c>
      <c r="CC75" s="230">
        <v>5851800</v>
      </c>
      <c r="CD75" s="230">
        <v>7500</v>
      </c>
      <c r="CE75" s="229">
        <v>1.2999999999999999E-3</v>
      </c>
      <c r="CF75" s="230">
        <v>73800</v>
      </c>
      <c r="CG75" s="230">
        <v>71400</v>
      </c>
      <c r="CH75" s="230">
        <v>2400</v>
      </c>
      <c r="CI75" s="229">
        <v>3.3599999999999998E-2</v>
      </c>
      <c r="CJ75" s="230">
        <v>2700</v>
      </c>
      <c r="CK75" s="230">
        <v>2700</v>
      </c>
      <c r="CL75" s="228">
        <v>0</v>
      </c>
      <c r="CM75" s="229">
        <v>0</v>
      </c>
      <c r="CN75" s="230">
        <v>1116900</v>
      </c>
      <c r="CO75" s="230">
        <v>1006200</v>
      </c>
      <c r="CP75" s="230">
        <v>110700</v>
      </c>
      <c r="CQ75" s="229">
        <v>0.11</v>
      </c>
      <c r="CR75" s="230">
        <v>817500</v>
      </c>
      <c r="CS75" s="230">
        <v>746400</v>
      </c>
      <c r="CT75" s="230">
        <v>71100</v>
      </c>
      <c r="CU75" s="229">
        <v>9.5299999999999996E-2</v>
      </c>
      <c r="CV75" s="230">
        <v>7870200</v>
      </c>
      <c r="CW75" s="230">
        <v>7678500</v>
      </c>
      <c r="CX75" s="230">
        <v>191700</v>
      </c>
      <c r="CY75" s="229">
        <v>2.5000000000000001E-2</v>
      </c>
      <c r="CZ75" s="228">
        <v>23.42</v>
      </c>
      <c r="DA75" s="228">
        <v>23.29</v>
      </c>
      <c r="DB75" s="228">
        <v>0.13</v>
      </c>
      <c r="DC75" s="228">
        <v>0.13</v>
      </c>
      <c r="DD75" s="228">
        <v>33.92</v>
      </c>
      <c r="DE75" s="228">
        <v>33.979999999999997</v>
      </c>
      <c r="DF75" s="228">
        <v>-10.5</v>
      </c>
      <c r="DG75" s="228">
        <v>-0.06</v>
      </c>
      <c r="DH75" s="228">
        <v>23.36</v>
      </c>
      <c r="DI75" s="228">
        <v>23.05</v>
      </c>
      <c r="DJ75" s="228">
        <v>0.31</v>
      </c>
      <c r="DK75" s="228">
        <v>0.31</v>
      </c>
      <c r="DL75" s="228">
        <v>23.55</v>
      </c>
      <c r="DM75" s="228">
        <v>23.86</v>
      </c>
      <c r="DN75" s="228">
        <v>-0.31</v>
      </c>
      <c r="DO75" s="228">
        <v>-0.31</v>
      </c>
      <c r="DP75" s="228">
        <v>0.73</v>
      </c>
      <c r="DQ75" s="228">
        <v>0.74</v>
      </c>
      <c r="DR75" s="228">
        <v>-0.01</v>
      </c>
      <c r="DS75" s="229">
        <v>-1.35E-2</v>
      </c>
      <c r="DT75" s="231">
        <v>2700</v>
      </c>
      <c r="DU75" s="231">
        <v>2600</v>
      </c>
      <c r="DV75" s="228">
        <v>0.42</v>
      </c>
      <c r="DW75" s="228">
        <v>0.43</v>
      </c>
      <c r="DX75" s="228">
        <v>-0.01</v>
      </c>
      <c r="DY75" s="229">
        <v>-2.3300000000000001E-2</v>
      </c>
      <c r="DZ75" s="229">
        <v>1.29E-2</v>
      </c>
      <c r="EA75" s="230">
        <v>74100</v>
      </c>
      <c r="EB75" s="229">
        <v>7.4999999999999997E-3</v>
      </c>
      <c r="EC75" s="229">
        <v>1.29E-2</v>
      </c>
      <c r="ED75" s="228">
        <v>14.57</v>
      </c>
      <c r="EE75" s="229">
        <v>5.4999999999999997E-3</v>
      </c>
      <c r="EF75" s="230">
        <v>200881</v>
      </c>
      <c r="EG75" s="230">
        <v>298955</v>
      </c>
      <c r="EH75" s="229">
        <v>-0.3281</v>
      </c>
      <c r="EI75" s="229">
        <v>0.57620000000000005</v>
      </c>
      <c r="EJ75" s="231">
        <v>27943.46</v>
      </c>
      <c r="EK75" s="231">
        <v>11175.18</v>
      </c>
      <c r="EL75" s="231">
        <v>8708.75</v>
      </c>
      <c r="EM75" s="231">
        <v>8180</v>
      </c>
      <c r="EN75" s="231">
        <v>47827.39</v>
      </c>
      <c r="EO75" s="231">
        <v>86323.12</v>
      </c>
      <c r="EP75" s="231">
        <v>-38495.730000000003</v>
      </c>
      <c r="EQ75" s="229">
        <v>-0.44590000000000002</v>
      </c>
      <c r="ER75" s="231">
        <v>30901</v>
      </c>
      <c r="ES75" s="231">
        <v>21026</v>
      </c>
      <c r="ET75" s="231">
        <v>158093</v>
      </c>
      <c r="EU75" s="231">
        <v>30592324</v>
      </c>
      <c r="EV75" s="231">
        <v>210020</v>
      </c>
      <c r="EW75" s="231">
        <v>206355</v>
      </c>
      <c r="EX75" s="231">
        <v>3665</v>
      </c>
      <c r="EY75" s="229">
        <v>1.78E-2</v>
      </c>
      <c r="EZ75" s="229">
        <v>0.25729999999999997</v>
      </c>
      <c r="FA75" s="227" t="s">
        <v>567</v>
      </c>
      <c r="FB75" s="161">
        <f t="shared" si="1"/>
        <v>76500</v>
      </c>
    </row>
    <row r="76" spans="1:158" ht="17.25" hidden="1" thickBot="1" x14ac:dyDescent="0.3">
      <c r="A76" s="226">
        <v>46023</v>
      </c>
      <c r="B76" s="227" t="s">
        <v>172</v>
      </c>
      <c r="C76" s="227" t="s">
        <v>224</v>
      </c>
      <c r="D76" s="228">
        <v>550</v>
      </c>
      <c r="E76" s="228">
        <v>995.35</v>
      </c>
      <c r="F76" s="228">
        <v>997.4</v>
      </c>
      <c r="G76" s="228">
        <v>-2.0499999999999998</v>
      </c>
      <c r="H76" s="229">
        <v>-2.0999999999999999E-3</v>
      </c>
      <c r="I76" s="228">
        <v>991.15</v>
      </c>
      <c r="J76" s="228">
        <v>991.2</v>
      </c>
      <c r="K76" s="228">
        <v>-0.05</v>
      </c>
      <c r="L76" s="229">
        <v>-1E-4</v>
      </c>
      <c r="M76" s="228">
        <v>995.35</v>
      </c>
      <c r="N76" s="228">
        <v>997.4</v>
      </c>
      <c r="O76" s="228">
        <v>-2.0499999999999998</v>
      </c>
      <c r="P76" s="229">
        <v>-2.0999999999999999E-3</v>
      </c>
      <c r="Q76" s="231">
        <v>1000.95</v>
      </c>
      <c r="R76" s="231">
        <v>1003.5</v>
      </c>
      <c r="S76" s="228">
        <v>-2.5499999999999998</v>
      </c>
      <c r="T76" s="229">
        <v>-2.5000000000000001E-3</v>
      </c>
      <c r="U76" s="231">
        <v>1007.4</v>
      </c>
      <c r="V76" s="231">
        <v>1009.3</v>
      </c>
      <c r="W76" s="228">
        <v>-1.9</v>
      </c>
      <c r="X76" s="229">
        <v>-1.9E-3</v>
      </c>
      <c r="Y76" s="228">
        <v>4.2</v>
      </c>
      <c r="Z76" s="228">
        <v>6.2</v>
      </c>
      <c r="AA76" s="228">
        <v>-2</v>
      </c>
      <c r="AB76" s="229">
        <v>4.1999999999999997E-3</v>
      </c>
      <c r="AC76" s="228">
        <v>4.2</v>
      </c>
      <c r="AD76" s="228">
        <v>6.2</v>
      </c>
      <c r="AE76" s="228">
        <v>-2</v>
      </c>
      <c r="AF76" s="229">
        <v>4.1999999999999997E-3</v>
      </c>
      <c r="AG76" s="228">
        <v>9.8000000000000007</v>
      </c>
      <c r="AH76" s="228">
        <v>12.3</v>
      </c>
      <c r="AI76" s="228">
        <v>-2.5</v>
      </c>
      <c r="AJ76" s="229">
        <v>9.9000000000000008E-3</v>
      </c>
      <c r="AK76" s="228">
        <v>16.25</v>
      </c>
      <c r="AL76" s="228">
        <v>18.100000000000001</v>
      </c>
      <c r="AM76" s="228">
        <v>-1.85</v>
      </c>
      <c r="AN76" s="229">
        <v>1.6400000000000001E-2</v>
      </c>
      <c r="AO76" s="228">
        <v>997.6</v>
      </c>
      <c r="AP76" s="231">
        <v>1003.2</v>
      </c>
      <c r="AQ76" s="228">
        <v>0</v>
      </c>
      <c r="AR76" s="230">
        <v>7789100</v>
      </c>
      <c r="AS76" s="230">
        <v>11396000</v>
      </c>
      <c r="AT76" s="230">
        <v>-3606900</v>
      </c>
      <c r="AU76" s="229">
        <v>-0.3165</v>
      </c>
      <c r="AV76" s="230">
        <v>7380450</v>
      </c>
      <c r="AW76" s="230">
        <v>11156200</v>
      </c>
      <c r="AX76" s="230">
        <v>-3775750</v>
      </c>
      <c r="AY76" s="229">
        <v>-0.33839999999999998</v>
      </c>
      <c r="AZ76" s="230">
        <v>197450</v>
      </c>
      <c r="BA76" s="230">
        <v>192500</v>
      </c>
      <c r="BB76" s="230">
        <v>4950</v>
      </c>
      <c r="BC76" s="229">
        <v>2.5700000000000001E-2</v>
      </c>
      <c r="BD76" s="230">
        <v>211200</v>
      </c>
      <c r="BE76" s="230">
        <v>47300</v>
      </c>
      <c r="BF76" s="230">
        <v>163900</v>
      </c>
      <c r="BG76" s="229">
        <v>3.4651000000000001</v>
      </c>
      <c r="BH76" s="230">
        <v>15072200</v>
      </c>
      <c r="BI76" s="230">
        <v>33634150</v>
      </c>
      <c r="BJ76" s="230">
        <v>-18561950</v>
      </c>
      <c r="BK76" s="229">
        <v>-0.55189999999999995</v>
      </c>
      <c r="BL76" s="230">
        <v>9459450</v>
      </c>
      <c r="BM76" s="230">
        <v>20233950</v>
      </c>
      <c r="BN76" s="230">
        <v>-10774500</v>
      </c>
      <c r="BO76" s="229">
        <v>-0.53249999999999997</v>
      </c>
      <c r="BP76" s="230">
        <v>32320750</v>
      </c>
      <c r="BQ76" s="230">
        <v>65264100</v>
      </c>
      <c r="BR76" s="230">
        <v>-32943350</v>
      </c>
      <c r="BS76" s="229">
        <v>-0.50480000000000003</v>
      </c>
      <c r="BT76" s="230">
        <v>8187417</v>
      </c>
      <c r="BU76" s="230">
        <v>11361950</v>
      </c>
      <c r="BV76" s="230">
        <v>-3174533</v>
      </c>
      <c r="BW76" s="229">
        <v>-0.27939999999999998</v>
      </c>
      <c r="BX76" s="230">
        <v>219615000</v>
      </c>
      <c r="BY76" s="230">
        <v>219823450</v>
      </c>
      <c r="BZ76" s="230">
        <v>-208450</v>
      </c>
      <c r="CA76" s="229">
        <v>-8.9999999999999998E-4</v>
      </c>
      <c r="CB76" s="230">
        <v>217689450</v>
      </c>
      <c r="CC76" s="230">
        <v>218205350</v>
      </c>
      <c r="CD76" s="230">
        <v>-515900</v>
      </c>
      <c r="CE76" s="229">
        <v>-2.3999999999999998E-3</v>
      </c>
      <c r="CF76" s="230">
        <v>1711600</v>
      </c>
      <c r="CG76" s="230">
        <v>1592800</v>
      </c>
      <c r="CH76" s="230">
        <v>118800</v>
      </c>
      <c r="CI76" s="229">
        <v>7.46E-2</v>
      </c>
      <c r="CJ76" s="230">
        <v>213950</v>
      </c>
      <c r="CK76" s="230">
        <v>25300</v>
      </c>
      <c r="CL76" s="230">
        <v>188650</v>
      </c>
      <c r="CM76" s="229">
        <v>7.4565000000000001</v>
      </c>
      <c r="CN76" s="230">
        <v>21236050</v>
      </c>
      <c r="CO76" s="230">
        <v>19016250</v>
      </c>
      <c r="CP76" s="230">
        <v>2219800</v>
      </c>
      <c r="CQ76" s="229">
        <v>0.1167</v>
      </c>
      <c r="CR76" s="230">
        <v>18256700</v>
      </c>
      <c r="CS76" s="230">
        <v>16967500</v>
      </c>
      <c r="CT76" s="230">
        <v>1289200</v>
      </c>
      <c r="CU76" s="229">
        <v>7.5999999999999998E-2</v>
      </c>
      <c r="CV76" s="230">
        <v>259107750</v>
      </c>
      <c r="CW76" s="230">
        <v>255807200</v>
      </c>
      <c r="CX76" s="230">
        <v>3300550</v>
      </c>
      <c r="CY76" s="229">
        <v>1.29E-2</v>
      </c>
      <c r="CZ76" s="228">
        <v>15.85</v>
      </c>
      <c r="DA76" s="228">
        <v>15.93</v>
      </c>
      <c r="DB76" s="228">
        <v>-0.08</v>
      </c>
      <c r="DC76" s="228">
        <v>-0.08</v>
      </c>
      <c r="DD76" s="228">
        <v>19.579999999999998</v>
      </c>
      <c r="DE76" s="228">
        <v>19.63</v>
      </c>
      <c r="DF76" s="228">
        <v>-3.73</v>
      </c>
      <c r="DG76" s="228">
        <v>-0.05</v>
      </c>
      <c r="DH76" s="228">
        <v>15.64</v>
      </c>
      <c r="DI76" s="228">
        <v>15.64</v>
      </c>
      <c r="DJ76" s="228">
        <v>0</v>
      </c>
      <c r="DK76" s="228">
        <v>0</v>
      </c>
      <c r="DL76" s="228">
        <v>16.190000000000001</v>
      </c>
      <c r="DM76" s="228">
        <v>16.41</v>
      </c>
      <c r="DN76" s="228">
        <v>-0.22</v>
      </c>
      <c r="DO76" s="228">
        <v>-0.22</v>
      </c>
      <c r="DP76" s="228">
        <v>0.86</v>
      </c>
      <c r="DQ76" s="228">
        <v>0.89</v>
      </c>
      <c r="DR76" s="228">
        <v>-0.03</v>
      </c>
      <c r="DS76" s="229">
        <v>-3.3700000000000001E-2</v>
      </c>
      <c r="DT76" s="231">
        <v>1000</v>
      </c>
      <c r="DU76" s="228">
        <v>940</v>
      </c>
      <c r="DV76" s="228">
        <v>0.63</v>
      </c>
      <c r="DW76" s="228">
        <v>0.6</v>
      </c>
      <c r="DX76" s="228">
        <v>0.03</v>
      </c>
      <c r="DY76" s="229">
        <v>0.05</v>
      </c>
      <c r="DZ76" s="229">
        <v>8.8000000000000005E-3</v>
      </c>
      <c r="EA76" s="230">
        <v>1618100</v>
      </c>
      <c r="EB76" s="229">
        <v>5.5999999999999999E-3</v>
      </c>
      <c r="EC76" s="229">
        <v>8.8000000000000005E-3</v>
      </c>
      <c r="ED76" s="228">
        <v>5.6</v>
      </c>
      <c r="EE76" s="229">
        <v>5.5999999999999999E-3</v>
      </c>
      <c r="EF76" s="230">
        <v>2797470</v>
      </c>
      <c r="EG76" s="230">
        <v>7252728</v>
      </c>
      <c r="EH76" s="229">
        <v>-0.61429999999999996</v>
      </c>
      <c r="EI76" s="229">
        <v>0.3417</v>
      </c>
      <c r="EJ76" s="231">
        <v>154512.29999999999</v>
      </c>
      <c r="EK76" s="231">
        <v>93235.01</v>
      </c>
      <c r="EL76" s="231">
        <v>77739.63</v>
      </c>
      <c r="EM76" s="231">
        <v>116584</v>
      </c>
      <c r="EN76" s="231">
        <v>325486.94</v>
      </c>
      <c r="EO76" s="231">
        <v>658250.77</v>
      </c>
      <c r="EP76" s="231">
        <v>-332763.83</v>
      </c>
      <c r="EQ76" s="229">
        <v>-0.50549999999999995</v>
      </c>
      <c r="ER76" s="231">
        <v>217314</v>
      </c>
      <c r="ES76" s="231">
        <v>175809</v>
      </c>
      <c r="ET76" s="231">
        <v>2186060</v>
      </c>
      <c r="EU76" s="231">
        <v>1330694977</v>
      </c>
      <c r="EV76" s="231">
        <v>2579183</v>
      </c>
      <c r="EW76" s="231">
        <v>2550754</v>
      </c>
      <c r="EX76" s="231">
        <v>28429</v>
      </c>
      <c r="EY76" s="229">
        <v>1.11E-2</v>
      </c>
      <c r="EZ76" s="229">
        <v>0.19470000000000001</v>
      </c>
      <c r="FA76" s="227" t="s">
        <v>568</v>
      </c>
      <c r="FB76" s="161">
        <f t="shared" si="1"/>
        <v>1925550</v>
      </c>
    </row>
    <row r="77" spans="1:158" ht="17.25" hidden="1" thickBot="1" x14ac:dyDescent="0.3">
      <c r="A77" s="226">
        <v>46023</v>
      </c>
      <c r="B77" s="227" t="s">
        <v>175</v>
      </c>
      <c r="C77" s="227" t="s">
        <v>225</v>
      </c>
      <c r="D77" s="228">
        <v>1100</v>
      </c>
      <c r="E77" s="228">
        <v>753.85</v>
      </c>
      <c r="F77" s="228">
        <v>754.15</v>
      </c>
      <c r="G77" s="228">
        <v>-0.3</v>
      </c>
      <c r="H77" s="229">
        <v>-4.0000000000000002E-4</v>
      </c>
      <c r="I77" s="228">
        <v>750.1</v>
      </c>
      <c r="J77" s="228">
        <v>749.85</v>
      </c>
      <c r="K77" s="228">
        <v>0.25</v>
      </c>
      <c r="L77" s="229">
        <v>2.9999999999999997E-4</v>
      </c>
      <c r="M77" s="228">
        <v>753.85</v>
      </c>
      <c r="N77" s="228">
        <v>754.15</v>
      </c>
      <c r="O77" s="228">
        <v>-0.3</v>
      </c>
      <c r="P77" s="229">
        <v>-4.0000000000000002E-4</v>
      </c>
      <c r="Q77" s="228">
        <v>758.1</v>
      </c>
      <c r="R77" s="228">
        <v>758.55</v>
      </c>
      <c r="S77" s="228">
        <v>-0.45</v>
      </c>
      <c r="T77" s="229">
        <v>-5.9999999999999995E-4</v>
      </c>
      <c r="U77" s="228">
        <v>762.2</v>
      </c>
      <c r="V77" s="228">
        <v>763.9</v>
      </c>
      <c r="W77" s="228">
        <v>-1.7</v>
      </c>
      <c r="X77" s="229">
        <v>-2.2000000000000001E-3</v>
      </c>
      <c r="Y77" s="228">
        <v>3.75</v>
      </c>
      <c r="Z77" s="228">
        <v>4.3</v>
      </c>
      <c r="AA77" s="228">
        <v>-0.55000000000000004</v>
      </c>
      <c r="AB77" s="229">
        <v>5.0000000000000001E-3</v>
      </c>
      <c r="AC77" s="228">
        <v>3.75</v>
      </c>
      <c r="AD77" s="228">
        <v>4.3</v>
      </c>
      <c r="AE77" s="228">
        <v>-0.55000000000000004</v>
      </c>
      <c r="AF77" s="229">
        <v>5.0000000000000001E-3</v>
      </c>
      <c r="AG77" s="228">
        <v>8</v>
      </c>
      <c r="AH77" s="228">
        <v>8.6999999999999993</v>
      </c>
      <c r="AI77" s="228">
        <v>-0.7</v>
      </c>
      <c r="AJ77" s="229">
        <v>1.0699999999999999E-2</v>
      </c>
      <c r="AK77" s="228">
        <v>12.1</v>
      </c>
      <c r="AL77" s="228">
        <v>14.05</v>
      </c>
      <c r="AM77" s="228">
        <v>-1.95</v>
      </c>
      <c r="AN77" s="229">
        <v>1.61E-2</v>
      </c>
      <c r="AO77" s="228">
        <v>753.77</v>
      </c>
      <c r="AP77" s="228">
        <v>758.11</v>
      </c>
      <c r="AQ77" s="228">
        <v>0</v>
      </c>
      <c r="AR77" s="230">
        <v>1306800</v>
      </c>
      <c r="AS77" s="230">
        <v>2404600</v>
      </c>
      <c r="AT77" s="230">
        <v>-1097800</v>
      </c>
      <c r="AU77" s="229">
        <v>-0.45650000000000002</v>
      </c>
      <c r="AV77" s="230">
        <v>1266100</v>
      </c>
      <c r="AW77" s="230">
        <v>2334200</v>
      </c>
      <c r="AX77" s="230">
        <v>-1068100</v>
      </c>
      <c r="AY77" s="229">
        <v>-0.45760000000000001</v>
      </c>
      <c r="AZ77" s="230">
        <v>26400</v>
      </c>
      <c r="BA77" s="230">
        <v>59400</v>
      </c>
      <c r="BB77" s="230">
        <v>-33000</v>
      </c>
      <c r="BC77" s="229">
        <v>-0.55559999999999998</v>
      </c>
      <c r="BD77" s="230">
        <v>14300</v>
      </c>
      <c r="BE77" s="230">
        <v>11000</v>
      </c>
      <c r="BF77" s="230">
        <v>3300</v>
      </c>
      <c r="BG77" s="229">
        <v>0.3</v>
      </c>
      <c r="BH77" s="230">
        <v>4138200</v>
      </c>
      <c r="BI77" s="230">
        <v>7441500</v>
      </c>
      <c r="BJ77" s="230">
        <v>-3303300</v>
      </c>
      <c r="BK77" s="229">
        <v>-0.44390000000000002</v>
      </c>
      <c r="BL77" s="230">
        <v>1835900</v>
      </c>
      <c r="BM77" s="230">
        <v>3505700</v>
      </c>
      <c r="BN77" s="230">
        <v>-1669800</v>
      </c>
      <c r="BO77" s="229">
        <v>-0.4763</v>
      </c>
      <c r="BP77" s="230">
        <v>7280900</v>
      </c>
      <c r="BQ77" s="230">
        <v>13351800</v>
      </c>
      <c r="BR77" s="230">
        <v>-6070900</v>
      </c>
      <c r="BS77" s="229">
        <v>-0.45469999999999999</v>
      </c>
      <c r="BT77" s="230">
        <v>901342</v>
      </c>
      <c r="BU77" s="230">
        <v>2560194</v>
      </c>
      <c r="BV77" s="230">
        <v>-1658852</v>
      </c>
      <c r="BW77" s="229">
        <v>-0.64790000000000003</v>
      </c>
      <c r="BX77" s="230">
        <v>34578500</v>
      </c>
      <c r="BY77" s="230">
        <v>34452000</v>
      </c>
      <c r="BZ77" s="230">
        <v>126500</v>
      </c>
      <c r="CA77" s="229">
        <v>3.7000000000000002E-3</v>
      </c>
      <c r="CB77" s="230">
        <v>34196800</v>
      </c>
      <c r="CC77" s="230">
        <v>34087900</v>
      </c>
      <c r="CD77" s="230">
        <v>108900</v>
      </c>
      <c r="CE77" s="229">
        <v>3.2000000000000002E-3</v>
      </c>
      <c r="CF77" s="230">
        <v>359700</v>
      </c>
      <c r="CG77" s="230">
        <v>355300</v>
      </c>
      <c r="CH77" s="230">
        <v>4400</v>
      </c>
      <c r="CI77" s="229">
        <v>1.24E-2</v>
      </c>
      <c r="CJ77" s="230">
        <v>22000</v>
      </c>
      <c r="CK77" s="230">
        <v>8800</v>
      </c>
      <c r="CL77" s="230">
        <v>13200</v>
      </c>
      <c r="CM77" s="229">
        <v>1.5</v>
      </c>
      <c r="CN77" s="230">
        <v>6964100</v>
      </c>
      <c r="CO77" s="230">
        <v>5670500</v>
      </c>
      <c r="CP77" s="230">
        <v>1293600</v>
      </c>
      <c r="CQ77" s="229">
        <v>0.2281</v>
      </c>
      <c r="CR77" s="230">
        <v>4554000</v>
      </c>
      <c r="CS77" s="230">
        <v>4153600</v>
      </c>
      <c r="CT77" s="230">
        <v>400400</v>
      </c>
      <c r="CU77" s="229">
        <v>9.64E-2</v>
      </c>
      <c r="CV77" s="230">
        <v>46096600</v>
      </c>
      <c r="CW77" s="230">
        <v>44276100</v>
      </c>
      <c r="CX77" s="230">
        <v>1820500</v>
      </c>
      <c r="CY77" s="229">
        <v>4.1099999999999998E-2</v>
      </c>
      <c r="CZ77" s="228">
        <v>19.59</v>
      </c>
      <c r="DA77" s="228">
        <v>19.97</v>
      </c>
      <c r="DB77" s="228">
        <v>-0.38</v>
      </c>
      <c r="DC77" s="228">
        <v>-0.38</v>
      </c>
      <c r="DD77" s="228">
        <v>24.89</v>
      </c>
      <c r="DE77" s="228">
        <v>24.95</v>
      </c>
      <c r="DF77" s="228">
        <v>-5.3</v>
      </c>
      <c r="DG77" s="228">
        <v>-0.06</v>
      </c>
      <c r="DH77" s="228">
        <v>19.41</v>
      </c>
      <c r="DI77" s="228">
        <v>19.86</v>
      </c>
      <c r="DJ77" s="228">
        <v>-0.45</v>
      </c>
      <c r="DK77" s="228">
        <v>-0.45</v>
      </c>
      <c r="DL77" s="228">
        <v>20.010000000000002</v>
      </c>
      <c r="DM77" s="228">
        <v>20.190000000000001</v>
      </c>
      <c r="DN77" s="228">
        <v>-0.18</v>
      </c>
      <c r="DO77" s="228">
        <v>-0.18</v>
      </c>
      <c r="DP77" s="228">
        <v>0.65</v>
      </c>
      <c r="DQ77" s="228">
        <v>0.73</v>
      </c>
      <c r="DR77" s="228">
        <v>-0.08</v>
      </c>
      <c r="DS77" s="229">
        <v>-0.1096</v>
      </c>
      <c r="DT77" s="228">
        <v>770</v>
      </c>
      <c r="DU77" s="228">
        <v>750</v>
      </c>
      <c r="DV77" s="228">
        <v>0.44</v>
      </c>
      <c r="DW77" s="228">
        <v>0.47</v>
      </c>
      <c r="DX77" s="228">
        <v>-0.03</v>
      </c>
      <c r="DY77" s="229">
        <v>-6.3799999999999996E-2</v>
      </c>
      <c r="DZ77" s="229">
        <v>1.0999999999999999E-2</v>
      </c>
      <c r="EA77" s="230">
        <v>364100</v>
      </c>
      <c r="EB77" s="229">
        <v>5.5999999999999999E-3</v>
      </c>
      <c r="EC77" s="229">
        <v>1.0999999999999999E-2</v>
      </c>
      <c r="ED77" s="228">
        <v>4.34</v>
      </c>
      <c r="EE77" s="229">
        <v>5.7999999999999996E-3</v>
      </c>
      <c r="EF77" s="230">
        <v>560002</v>
      </c>
      <c r="EG77" s="230">
        <v>1687011</v>
      </c>
      <c r="EH77" s="229">
        <v>-0.66810000000000003</v>
      </c>
      <c r="EI77" s="229">
        <v>0.62129999999999996</v>
      </c>
      <c r="EJ77" s="231">
        <v>32668.560000000001</v>
      </c>
      <c r="EK77" s="231">
        <v>13595.96</v>
      </c>
      <c r="EL77" s="231">
        <v>9852.82</v>
      </c>
      <c r="EM77" s="231">
        <v>14204</v>
      </c>
      <c r="EN77" s="231">
        <v>56117.34</v>
      </c>
      <c r="EO77" s="231">
        <v>102747.01</v>
      </c>
      <c r="EP77" s="231">
        <v>-46629.67</v>
      </c>
      <c r="EQ77" s="229">
        <v>-0.45379999999999998</v>
      </c>
      <c r="ER77" s="231">
        <v>54682</v>
      </c>
      <c r="ES77" s="231">
        <v>33433</v>
      </c>
      <c r="ET77" s="231">
        <v>260687</v>
      </c>
      <c r="EU77" s="231">
        <v>128849634</v>
      </c>
      <c r="EV77" s="231">
        <v>348802</v>
      </c>
      <c r="EW77" s="231">
        <v>334887</v>
      </c>
      <c r="EX77" s="231">
        <v>13915</v>
      </c>
      <c r="EY77" s="229">
        <v>4.1599999999999998E-2</v>
      </c>
      <c r="EZ77" s="229">
        <v>0.35780000000000001</v>
      </c>
      <c r="FA77" s="227" t="s">
        <v>567</v>
      </c>
      <c r="FB77" s="161">
        <f t="shared" si="1"/>
        <v>381700</v>
      </c>
    </row>
    <row r="78" spans="1:158" ht="17.25" hidden="1" thickBot="1" x14ac:dyDescent="0.3">
      <c r="A78" s="226">
        <v>46023</v>
      </c>
      <c r="B78" s="227" t="s">
        <v>162</v>
      </c>
      <c r="C78" s="227" t="s">
        <v>226</v>
      </c>
      <c r="D78" s="228">
        <v>150</v>
      </c>
      <c r="E78" s="231">
        <v>5860.5</v>
      </c>
      <c r="F78" s="231">
        <v>5793</v>
      </c>
      <c r="G78" s="228">
        <v>67.5</v>
      </c>
      <c r="H78" s="229">
        <v>1.17E-2</v>
      </c>
      <c r="I78" s="231">
        <v>5841.5</v>
      </c>
      <c r="J78" s="231">
        <v>5771</v>
      </c>
      <c r="K78" s="228">
        <v>70.5</v>
      </c>
      <c r="L78" s="229">
        <v>1.2200000000000001E-2</v>
      </c>
      <c r="M78" s="231">
        <v>5860.5</v>
      </c>
      <c r="N78" s="231">
        <v>5793</v>
      </c>
      <c r="O78" s="228">
        <v>67.5</v>
      </c>
      <c r="P78" s="229">
        <v>1.17E-2</v>
      </c>
      <c r="Q78" s="231">
        <v>5847</v>
      </c>
      <c r="R78" s="231">
        <v>5787.5</v>
      </c>
      <c r="S78" s="228">
        <v>59.5</v>
      </c>
      <c r="T78" s="229">
        <v>1.03E-2</v>
      </c>
      <c r="U78" s="231">
        <v>5882</v>
      </c>
      <c r="V78" s="231">
        <v>5817</v>
      </c>
      <c r="W78" s="228">
        <v>65</v>
      </c>
      <c r="X78" s="229">
        <v>1.12E-2</v>
      </c>
      <c r="Y78" s="228">
        <v>19</v>
      </c>
      <c r="Z78" s="228">
        <v>22</v>
      </c>
      <c r="AA78" s="228">
        <v>-3</v>
      </c>
      <c r="AB78" s="229">
        <v>3.3E-3</v>
      </c>
      <c r="AC78" s="228">
        <v>19</v>
      </c>
      <c r="AD78" s="228">
        <v>22</v>
      </c>
      <c r="AE78" s="228">
        <v>-3</v>
      </c>
      <c r="AF78" s="229">
        <v>3.3E-3</v>
      </c>
      <c r="AG78" s="228">
        <v>5.5</v>
      </c>
      <c r="AH78" s="228">
        <v>16.5</v>
      </c>
      <c r="AI78" s="228">
        <v>-11</v>
      </c>
      <c r="AJ78" s="229">
        <v>8.9999999999999998E-4</v>
      </c>
      <c r="AK78" s="228">
        <v>40.5</v>
      </c>
      <c r="AL78" s="228">
        <v>46</v>
      </c>
      <c r="AM78" s="228">
        <v>-5.5</v>
      </c>
      <c r="AN78" s="229">
        <v>6.8999999999999999E-3</v>
      </c>
      <c r="AO78" s="231">
        <v>5827.35</v>
      </c>
      <c r="AP78" s="231">
        <v>5809.91</v>
      </c>
      <c r="AQ78" s="228">
        <v>0</v>
      </c>
      <c r="AR78" s="230">
        <v>807300</v>
      </c>
      <c r="AS78" s="230">
        <v>858000</v>
      </c>
      <c r="AT78" s="230">
        <v>-50700</v>
      </c>
      <c r="AU78" s="229">
        <v>-5.91E-2</v>
      </c>
      <c r="AV78" s="230">
        <v>757200</v>
      </c>
      <c r="AW78" s="230">
        <v>831900</v>
      </c>
      <c r="AX78" s="230">
        <v>-74700</v>
      </c>
      <c r="AY78" s="229">
        <v>-8.9800000000000005E-2</v>
      </c>
      <c r="AZ78" s="230">
        <v>46800</v>
      </c>
      <c r="BA78" s="230">
        <v>24600</v>
      </c>
      <c r="BB78" s="230">
        <v>22200</v>
      </c>
      <c r="BC78" s="229">
        <v>0.90239999999999998</v>
      </c>
      <c r="BD78" s="230">
        <v>3300</v>
      </c>
      <c r="BE78" s="230">
        <v>1500</v>
      </c>
      <c r="BF78" s="230">
        <v>1800</v>
      </c>
      <c r="BG78" s="229">
        <v>1.2</v>
      </c>
      <c r="BH78" s="230">
        <v>3652800</v>
      </c>
      <c r="BI78" s="230">
        <v>4405350</v>
      </c>
      <c r="BJ78" s="230">
        <v>-752550</v>
      </c>
      <c r="BK78" s="229">
        <v>-0.17080000000000001</v>
      </c>
      <c r="BL78" s="230">
        <v>1690050</v>
      </c>
      <c r="BM78" s="230">
        <v>1621950</v>
      </c>
      <c r="BN78" s="230">
        <v>68100</v>
      </c>
      <c r="BO78" s="229">
        <v>4.2000000000000003E-2</v>
      </c>
      <c r="BP78" s="230">
        <v>6150150</v>
      </c>
      <c r="BQ78" s="230">
        <v>6885300</v>
      </c>
      <c r="BR78" s="230">
        <v>-735150</v>
      </c>
      <c r="BS78" s="229">
        <v>-0.10680000000000001</v>
      </c>
      <c r="BT78" s="230">
        <v>393850</v>
      </c>
      <c r="BU78" s="230">
        <v>486472</v>
      </c>
      <c r="BV78" s="230">
        <v>-92622</v>
      </c>
      <c r="BW78" s="229">
        <v>-0.19040000000000001</v>
      </c>
      <c r="BX78" s="230">
        <v>5772300</v>
      </c>
      <c r="BY78" s="230">
        <v>5747400</v>
      </c>
      <c r="BZ78" s="230">
        <v>24900</v>
      </c>
      <c r="CA78" s="229">
        <v>4.3E-3</v>
      </c>
      <c r="CB78" s="230">
        <v>5684400</v>
      </c>
      <c r="CC78" s="230">
        <v>5668200</v>
      </c>
      <c r="CD78" s="230">
        <v>16200</v>
      </c>
      <c r="CE78" s="229">
        <v>2.8999999999999998E-3</v>
      </c>
      <c r="CF78" s="230">
        <v>85050</v>
      </c>
      <c r="CG78" s="230">
        <v>77700</v>
      </c>
      <c r="CH78" s="230">
        <v>7350</v>
      </c>
      <c r="CI78" s="229">
        <v>9.4600000000000004E-2</v>
      </c>
      <c r="CJ78" s="230">
        <v>2850</v>
      </c>
      <c r="CK78" s="230">
        <v>1500</v>
      </c>
      <c r="CL78" s="230">
        <v>1350</v>
      </c>
      <c r="CM78" s="229">
        <v>0.9</v>
      </c>
      <c r="CN78" s="230">
        <v>1491300</v>
      </c>
      <c r="CO78" s="230">
        <v>1493550</v>
      </c>
      <c r="CP78" s="230">
        <v>-2250</v>
      </c>
      <c r="CQ78" s="229">
        <v>-1.5E-3</v>
      </c>
      <c r="CR78" s="230">
        <v>1041300</v>
      </c>
      <c r="CS78" s="230">
        <v>991500</v>
      </c>
      <c r="CT78" s="230">
        <v>49800</v>
      </c>
      <c r="CU78" s="229">
        <v>5.0200000000000002E-2</v>
      </c>
      <c r="CV78" s="230">
        <v>8304900</v>
      </c>
      <c r="CW78" s="230">
        <v>8232450</v>
      </c>
      <c r="CX78" s="230">
        <v>72450</v>
      </c>
      <c r="CY78" s="229">
        <v>8.8000000000000005E-3</v>
      </c>
      <c r="CZ78" s="228">
        <v>21.67</v>
      </c>
      <c r="DA78" s="228">
        <v>22.22</v>
      </c>
      <c r="DB78" s="228">
        <v>-0.55000000000000004</v>
      </c>
      <c r="DC78" s="228">
        <v>-0.55000000000000004</v>
      </c>
      <c r="DD78" s="228">
        <v>30.16</v>
      </c>
      <c r="DE78" s="228">
        <v>30.19</v>
      </c>
      <c r="DF78" s="228">
        <v>-8.49</v>
      </c>
      <c r="DG78" s="228">
        <v>-0.03</v>
      </c>
      <c r="DH78" s="228">
        <v>21.48</v>
      </c>
      <c r="DI78" s="228">
        <v>21.97</v>
      </c>
      <c r="DJ78" s="228">
        <v>-0.49</v>
      </c>
      <c r="DK78" s="228">
        <v>-0.49</v>
      </c>
      <c r="DL78" s="228">
        <v>22.07</v>
      </c>
      <c r="DM78" s="228">
        <v>22.87</v>
      </c>
      <c r="DN78" s="228">
        <v>-0.8</v>
      </c>
      <c r="DO78" s="228">
        <v>-0.8</v>
      </c>
      <c r="DP78" s="228">
        <v>0.7</v>
      </c>
      <c r="DQ78" s="228">
        <v>0.66</v>
      </c>
      <c r="DR78" s="228">
        <v>0.04</v>
      </c>
      <c r="DS78" s="229">
        <v>6.0600000000000001E-2</v>
      </c>
      <c r="DT78" s="231">
        <v>6000</v>
      </c>
      <c r="DU78" s="231">
        <v>5700</v>
      </c>
      <c r="DV78" s="228">
        <v>0.46</v>
      </c>
      <c r="DW78" s="228">
        <v>0.37</v>
      </c>
      <c r="DX78" s="228">
        <v>0.09</v>
      </c>
      <c r="DY78" s="229">
        <v>0.2432</v>
      </c>
      <c r="DZ78" s="229">
        <v>1.52E-2</v>
      </c>
      <c r="EA78" s="230">
        <v>79200</v>
      </c>
      <c r="EB78" s="229">
        <v>-2.3E-3</v>
      </c>
      <c r="EC78" s="229">
        <v>1.52E-2</v>
      </c>
      <c r="ED78" s="228">
        <v>-17.440000000000001</v>
      </c>
      <c r="EE78" s="229">
        <v>-3.0000000000000001E-3</v>
      </c>
      <c r="EF78" s="230">
        <v>176773</v>
      </c>
      <c r="EG78" s="230">
        <v>275319</v>
      </c>
      <c r="EH78" s="229">
        <v>-0.3579</v>
      </c>
      <c r="EI78" s="229">
        <v>0.44879999999999998</v>
      </c>
      <c r="EJ78" s="231">
        <v>221382.51</v>
      </c>
      <c r="EK78" s="231">
        <v>97285.759999999995</v>
      </c>
      <c r="EL78" s="231">
        <v>47036.13</v>
      </c>
      <c r="EM78" s="231">
        <v>19039</v>
      </c>
      <c r="EN78" s="231">
        <v>365704.4</v>
      </c>
      <c r="EO78" s="231">
        <v>406532.73</v>
      </c>
      <c r="EP78" s="231">
        <v>-40828.33</v>
      </c>
      <c r="EQ78" s="229">
        <v>-0.1004</v>
      </c>
      <c r="ER78" s="231">
        <v>89853</v>
      </c>
      <c r="ES78" s="231">
        <v>58139</v>
      </c>
      <c r="ET78" s="231">
        <v>338275</v>
      </c>
      <c r="EU78" s="231">
        <v>19586951</v>
      </c>
      <c r="EV78" s="231">
        <v>486267</v>
      </c>
      <c r="EW78" s="231">
        <v>477852</v>
      </c>
      <c r="EX78" s="231">
        <v>8415</v>
      </c>
      <c r="EY78" s="229">
        <v>1.7600000000000001E-2</v>
      </c>
      <c r="EZ78" s="229">
        <v>0.42399999999999999</v>
      </c>
      <c r="FA78" s="227" t="s">
        <v>555</v>
      </c>
      <c r="FB78" s="161">
        <f t="shared" si="1"/>
        <v>87900</v>
      </c>
    </row>
    <row r="79" spans="1:158" ht="17.25" hidden="1" thickBot="1" x14ac:dyDescent="0.3">
      <c r="A79" s="226">
        <v>46023</v>
      </c>
      <c r="B79" s="227" t="s">
        <v>227</v>
      </c>
      <c r="C79" s="227" t="s">
        <v>228</v>
      </c>
      <c r="D79" s="228">
        <v>700</v>
      </c>
      <c r="E79" s="228">
        <v>898.55</v>
      </c>
      <c r="F79" s="228">
        <v>890.2</v>
      </c>
      <c r="G79" s="228">
        <v>8.35</v>
      </c>
      <c r="H79" s="229">
        <v>9.4000000000000004E-3</v>
      </c>
      <c r="I79" s="228">
        <v>894.95</v>
      </c>
      <c r="J79" s="228">
        <v>886.7</v>
      </c>
      <c r="K79" s="228">
        <v>8.25</v>
      </c>
      <c r="L79" s="229">
        <v>9.2999999999999992E-3</v>
      </c>
      <c r="M79" s="228">
        <v>898.55</v>
      </c>
      <c r="N79" s="228">
        <v>890.2</v>
      </c>
      <c r="O79" s="228">
        <v>8.35</v>
      </c>
      <c r="P79" s="229">
        <v>9.4000000000000004E-3</v>
      </c>
      <c r="Q79" s="228">
        <v>903.95</v>
      </c>
      <c r="R79" s="228">
        <v>894.95</v>
      </c>
      <c r="S79" s="228">
        <v>9</v>
      </c>
      <c r="T79" s="229">
        <v>1.01E-2</v>
      </c>
      <c r="U79" s="228">
        <v>908.8</v>
      </c>
      <c r="V79" s="228">
        <v>900.95</v>
      </c>
      <c r="W79" s="228">
        <v>7.85</v>
      </c>
      <c r="X79" s="229">
        <v>8.6999999999999994E-3</v>
      </c>
      <c r="Y79" s="228">
        <v>3.6</v>
      </c>
      <c r="Z79" s="228">
        <v>3.5</v>
      </c>
      <c r="AA79" s="228">
        <v>0.1</v>
      </c>
      <c r="AB79" s="229">
        <v>4.0000000000000001E-3</v>
      </c>
      <c r="AC79" s="228">
        <v>3.6</v>
      </c>
      <c r="AD79" s="228">
        <v>3.5</v>
      </c>
      <c r="AE79" s="228">
        <v>0.1</v>
      </c>
      <c r="AF79" s="229">
        <v>4.0000000000000001E-3</v>
      </c>
      <c r="AG79" s="228">
        <v>9</v>
      </c>
      <c r="AH79" s="228">
        <v>8.25</v>
      </c>
      <c r="AI79" s="228">
        <v>0.75</v>
      </c>
      <c r="AJ79" s="229">
        <v>1.01E-2</v>
      </c>
      <c r="AK79" s="228">
        <v>13.85</v>
      </c>
      <c r="AL79" s="228">
        <v>14.25</v>
      </c>
      <c r="AM79" s="228">
        <v>-0.4</v>
      </c>
      <c r="AN79" s="229">
        <v>1.55E-2</v>
      </c>
      <c r="AO79" s="228">
        <v>894.88</v>
      </c>
      <c r="AP79" s="228">
        <v>899.37</v>
      </c>
      <c r="AQ79" s="228">
        <v>0</v>
      </c>
      <c r="AR79" s="230">
        <v>4108300</v>
      </c>
      <c r="AS79" s="230">
        <v>6027000</v>
      </c>
      <c r="AT79" s="230">
        <v>-1918700</v>
      </c>
      <c r="AU79" s="229">
        <v>-0.31840000000000002</v>
      </c>
      <c r="AV79" s="230">
        <v>3906000</v>
      </c>
      <c r="AW79" s="230">
        <v>5856200</v>
      </c>
      <c r="AX79" s="230">
        <v>-1950200</v>
      </c>
      <c r="AY79" s="229">
        <v>-0.33300000000000002</v>
      </c>
      <c r="AZ79" s="230">
        <v>147000</v>
      </c>
      <c r="BA79" s="230">
        <v>145600</v>
      </c>
      <c r="BB79" s="230">
        <v>1400</v>
      </c>
      <c r="BC79" s="229">
        <v>9.5999999999999992E-3</v>
      </c>
      <c r="BD79" s="230">
        <v>55300</v>
      </c>
      <c r="BE79" s="230">
        <v>25200</v>
      </c>
      <c r="BF79" s="230">
        <v>30100</v>
      </c>
      <c r="BG79" s="229">
        <v>1.1943999999999999</v>
      </c>
      <c r="BH79" s="230">
        <v>12676300</v>
      </c>
      <c r="BI79" s="230">
        <v>24026100</v>
      </c>
      <c r="BJ79" s="230">
        <v>-11349800</v>
      </c>
      <c r="BK79" s="229">
        <v>-0.47239999999999999</v>
      </c>
      <c r="BL79" s="230">
        <v>8463000</v>
      </c>
      <c r="BM79" s="230">
        <v>10309600</v>
      </c>
      <c r="BN79" s="230">
        <v>-1846600</v>
      </c>
      <c r="BO79" s="229">
        <v>-0.17910000000000001</v>
      </c>
      <c r="BP79" s="230">
        <v>25247600</v>
      </c>
      <c r="BQ79" s="230">
        <v>40362700</v>
      </c>
      <c r="BR79" s="230">
        <v>-15115100</v>
      </c>
      <c r="BS79" s="229">
        <v>-0.3745</v>
      </c>
      <c r="BT79" s="230">
        <v>2623017</v>
      </c>
      <c r="BU79" s="230">
        <v>3677234</v>
      </c>
      <c r="BV79" s="230">
        <v>-1054217</v>
      </c>
      <c r="BW79" s="229">
        <v>-0.28670000000000001</v>
      </c>
      <c r="BX79" s="230">
        <v>66119900</v>
      </c>
      <c r="BY79" s="230">
        <v>66920000</v>
      </c>
      <c r="BZ79" s="230">
        <v>-800100</v>
      </c>
      <c r="CA79" s="229">
        <v>-1.2E-2</v>
      </c>
      <c r="CB79" s="230">
        <v>65576000</v>
      </c>
      <c r="CC79" s="230">
        <v>66435600</v>
      </c>
      <c r="CD79" s="230">
        <v>-859600</v>
      </c>
      <c r="CE79" s="229">
        <v>-1.29E-2</v>
      </c>
      <c r="CF79" s="230">
        <v>492800</v>
      </c>
      <c r="CG79" s="230">
        <v>467600</v>
      </c>
      <c r="CH79" s="230">
        <v>25200</v>
      </c>
      <c r="CI79" s="229">
        <v>5.3900000000000003E-2</v>
      </c>
      <c r="CJ79" s="230">
        <v>51100</v>
      </c>
      <c r="CK79" s="230">
        <v>16800</v>
      </c>
      <c r="CL79" s="230">
        <v>34300</v>
      </c>
      <c r="CM79" s="229">
        <v>2.0417000000000001</v>
      </c>
      <c r="CN79" s="230">
        <v>9578100</v>
      </c>
      <c r="CO79" s="230">
        <v>9184000</v>
      </c>
      <c r="CP79" s="230">
        <v>394100</v>
      </c>
      <c r="CQ79" s="229">
        <v>4.2900000000000001E-2</v>
      </c>
      <c r="CR79" s="230">
        <v>8917300</v>
      </c>
      <c r="CS79" s="230">
        <v>8458100</v>
      </c>
      <c r="CT79" s="230">
        <v>459200</v>
      </c>
      <c r="CU79" s="229">
        <v>5.4300000000000001E-2</v>
      </c>
      <c r="CV79" s="230">
        <v>84615300</v>
      </c>
      <c r="CW79" s="230">
        <v>84562100</v>
      </c>
      <c r="CX79" s="230">
        <v>53200</v>
      </c>
      <c r="CY79" s="229">
        <v>5.9999999999999995E-4</v>
      </c>
      <c r="CZ79" s="228">
        <v>23.26</v>
      </c>
      <c r="DA79" s="228">
        <v>23.69</v>
      </c>
      <c r="DB79" s="228">
        <v>-0.43</v>
      </c>
      <c r="DC79" s="228">
        <v>-0.43</v>
      </c>
      <c r="DD79" s="228">
        <v>32.090000000000003</v>
      </c>
      <c r="DE79" s="228">
        <v>32.14</v>
      </c>
      <c r="DF79" s="228">
        <v>-8.83</v>
      </c>
      <c r="DG79" s="228">
        <v>-0.05</v>
      </c>
      <c r="DH79" s="228">
        <v>22.49</v>
      </c>
      <c r="DI79" s="228">
        <v>23.29</v>
      </c>
      <c r="DJ79" s="228">
        <v>-0.8</v>
      </c>
      <c r="DK79" s="228">
        <v>-0.8</v>
      </c>
      <c r="DL79" s="228">
        <v>24.41</v>
      </c>
      <c r="DM79" s="228">
        <v>24.62</v>
      </c>
      <c r="DN79" s="228">
        <v>-0.21</v>
      </c>
      <c r="DO79" s="228">
        <v>-0.21</v>
      </c>
      <c r="DP79" s="228">
        <v>0.93</v>
      </c>
      <c r="DQ79" s="228">
        <v>0.92</v>
      </c>
      <c r="DR79" s="228">
        <v>0.01</v>
      </c>
      <c r="DS79" s="229">
        <v>1.09E-2</v>
      </c>
      <c r="DT79" s="228">
        <v>900</v>
      </c>
      <c r="DU79" s="228">
        <v>880</v>
      </c>
      <c r="DV79" s="228">
        <v>0.67</v>
      </c>
      <c r="DW79" s="228">
        <v>0.43</v>
      </c>
      <c r="DX79" s="228">
        <v>0.24</v>
      </c>
      <c r="DY79" s="229">
        <v>0.55810000000000004</v>
      </c>
      <c r="DZ79" s="229">
        <v>8.2000000000000007E-3</v>
      </c>
      <c r="EA79" s="230">
        <v>484400</v>
      </c>
      <c r="EB79" s="229">
        <v>6.0000000000000001E-3</v>
      </c>
      <c r="EC79" s="229">
        <v>8.2000000000000007E-3</v>
      </c>
      <c r="ED79" s="228">
        <v>4.49</v>
      </c>
      <c r="EE79" s="229">
        <v>5.0000000000000001E-3</v>
      </c>
      <c r="EF79" s="230">
        <v>1332695</v>
      </c>
      <c r="EG79" s="230">
        <v>1993025</v>
      </c>
      <c r="EH79" s="229">
        <v>-0.33129999999999998</v>
      </c>
      <c r="EI79" s="229">
        <v>0.5081</v>
      </c>
      <c r="EJ79" s="231">
        <v>117673.64</v>
      </c>
      <c r="EK79" s="231">
        <v>73391.179999999993</v>
      </c>
      <c r="EL79" s="231">
        <v>36777.65</v>
      </c>
      <c r="EM79" s="231">
        <v>35277</v>
      </c>
      <c r="EN79" s="231">
        <v>227842.47</v>
      </c>
      <c r="EO79" s="231">
        <v>366033.34</v>
      </c>
      <c r="EP79" s="231">
        <v>-138190.87</v>
      </c>
      <c r="EQ79" s="229">
        <v>-0.3775</v>
      </c>
      <c r="ER79" s="231">
        <v>87187</v>
      </c>
      <c r="ES79" s="231">
        <v>74967</v>
      </c>
      <c r="ET79" s="231">
        <v>594152</v>
      </c>
      <c r="EU79" s="231">
        <v>212176873</v>
      </c>
      <c r="EV79" s="231">
        <v>756306</v>
      </c>
      <c r="EW79" s="231">
        <v>749747</v>
      </c>
      <c r="EX79" s="231">
        <v>6559</v>
      </c>
      <c r="EY79" s="229">
        <v>8.6999999999999994E-3</v>
      </c>
      <c r="EZ79" s="229">
        <v>0.39879999999999999</v>
      </c>
      <c r="FA79" s="227" t="s">
        <v>556</v>
      </c>
      <c r="FB79" s="161">
        <f t="shared" si="1"/>
        <v>543900</v>
      </c>
    </row>
    <row r="80" spans="1:158" ht="17.25" hidden="1" thickBot="1" x14ac:dyDescent="0.3">
      <c r="A80" s="226">
        <v>46023</v>
      </c>
      <c r="B80" s="227" t="s">
        <v>193</v>
      </c>
      <c r="C80" s="227" t="s">
        <v>229</v>
      </c>
      <c r="D80" s="228">
        <v>2025</v>
      </c>
      <c r="E80" s="228">
        <v>500.45</v>
      </c>
      <c r="F80" s="228">
        <v>501.1</v>
      </c>
      <c r="G80" s="228">
        <v>-0.65</v>
      </c>
      <c r="H80" s="229">
        <v>-1.2999999999999999E-3</v>
      </c>
      <c r="I80" s="228">
        <v>498.6</v>
      </c>
      <c r="J80" s="228">
        <v>499.05</v>
      </c>
      <c r="K80" s="228">
        <v>-0.45</v>
      </c>
      <c r="L80" s="229">
        <v>-8.9999999999999998E-4</v>
      </c>
      <c r="M80" s="228">
        <v>500.45</v>
      </c>
      <c r="N80" s="228">
        <v>501.1</v>
      </c>
      <c r="O80" s="228">
        <v>-0.65</v>
      </c>
      <c r="P80" s="229">
        <v>-1.2999999999999999E-3</v>
      </c>
      <c r="Q80" s="228">
        <v>498.6</v>
      </c>
      <c r="R80" s="228">
        <v>499.35</v>
      </c>
      <c r="S80" s="228">
        <v>-0.75</v>
      </c>
      <c r="T80" s="229">
        <v>-1.5E-3</v>
      </c>
      <c r="U80" s="228">
        <v>496.9</v>
      </c>
      <c r="V80" s="228">
        <v>501.15</v>
      </c>
      <c r="W80" s="228">
        <v>-4.25</v>
      </c>
      <c r="X80" s="229">
        <v>-8.5000000000000006E-3</v>
      </c>
      <c r="Y80" s="228">
        <v>1.85</v>
      </c>
      <c r="Z80" s="228">
        <v>2.0499999999999998</v>
      </c>
      <c r="AA80" s="228">
        <v>-0.2</v>
      </c>
      <c r="AB80" s="229">
        <v>3.7000000000000002E-3</v>
      </c>
      <c r="AC80" s="228">
        <v>1.85</v>
      </c>
      <c r="AD80" s="228">
        <v>2.0499999999999998</v>
      </c>
      <c r="AE80" s="228">
        <v>-0.2</v>
      </c>
      <c r="AF80" s="229">
        <v>3.7000000000000002E-3</v>
      </c>
      <c r="AG80" s="228">
        <v>0</v>
      </c>
      <c r="AH80" s="228">
        <v>0.3</v>
      </c>
      <c r="AI80" s="228">
        <v>-0.3</v>
      </c>
      <c r="AJ80" s="229">
        <v>0</v>
      </c>
      <c r="AK80" s="228">
        <v>-1.7</v>
      </c>
      <c r="AL80" s="228">
        <v>2.1</v>
      </c>
      <c r="AM80" s="228">
        <v>-3.8</v>
      </c>
      <c r="AN80" s="229">
        <v>-3.3999999999999998E-3</v>
      </c>
      <c r="AO80" s="228">
        <v>500.21</v>
      </c>
      <c r="AP80" s="228">
        <v>498.19</v>
      </c>
      <c r="AQ80" s="228">
        <v>0</v>
      </c>
      <c r="AR80" s="230">
        <v>6129675</v>
      </c>
      <c r="AS80" s="230">
        <v>14006925</v>
      </c>
      <c r="AT80" s="230">
        <v>-7877250</v>
      </c>
      <c r="AU80" s="229">
        <v>-0.56240000000000001</v>
      </c>
      <c r="AV80" s="230">
        <v>5848200</v>
      </c>
      <c r="AW80" s="230">
        <v>13362975</v>
      </c>
      <c r="AX80" s="230">
        <v>-7514775</v>
      </c>
      <c r="AY80" s="229">
        <v>-0.56240000000000001</v>
      </c>
      <c r="AZ80" s="230">
        <v>249075</v>
      </c>
      <c r="BA80" s="230">
        <v>601425</v>
      </c>
      <c r="BB80" s="230">
        <v>-352350</v>
      </c>
      <c r="BC80" s="229">
        <v>-0.58589999999999998</v>
      </c>
      <c r="BD80" s="230">
        <v>32400</v>
      </c>
      <c r="BE80" s="230">
        <v>42525</v>
      </c>
      <c r="BF80" s="230">
        <v>-10125</v>
      </c>
      <c r="BG80" s="229">
        <v>-0.23810000000000001</v>
      </c>
      <c r="BH80" s="230">
        <v>21062025</v>
      </c>
      <c r="BI80" s="230">
        <v>59735475</v>
      </c>
      <c r="BJ80" s="230">
        <v>-38673450</v>
      </c>
      <c r="BK80" s="229">
        <v>-0.64739999999999998</v>
      </c>
      <c r="BL80" s="230">
        <v>12548925</v>
      </c>
      <c r="BM80" s="230">
        <v>23307750</v>
      </c>
      <c r="BN80" s="230">
        <v>-10758825</v>
      </c>
      <c r="BO80" s="229">
        <v>-0.46160000000000001</v>
      </c>
      <c r="BP80" s="230">
        <v>39740625</v>
      </c>
      <c r="BQ80" s="230">
        <v>97050150</v>
      </c>
      <c r="BR80" s="230">
        <v>-57309525</v>
      </c>
      <c r="BS80" s="229">
        <v>-0.59050000000000002</v>
      </c>
      <c r="BT80" s="230">
        <v>3464633</v>
      </c>
      <c r="BU80" s="230">
        <v>12399570</v>
      </c>
      <c r="BV80" s="230">
        <v>-8934937</v>
      </c>
      <c r="BW80" s="229">
        <v>-0.72060000000000002</v>
      </c>
      <c r="BX80" s="230">
        <v>36018675</v>
      </c>
      <c r="BY80" s="230">
        <v>35401050</v>
      </c>
      <c r="BZ80" s="230">
        <v>617625</v>
      </c>
      <c r="CA80" s="229">
        <v>1.7399999999999999E-2</v>
      </c>
      <c r="CB80" s="230">
        <v>35309925</v>
      </c>
      <c r="CC80" s="230">
        <v>34686225</v>
      </c>
      <c r="CD80" s="230">
        <v>623700</v>
      </c>
      <c r="CE80" s="229">
        <v>1.7999999999999999E-2</v>
      </c>
      <c r="CF80" s="230">
        <v>672300</v>
      </c>
      <c r="CG80" s="230">
        <v>682425</v>
      </c>
      <c r="CH80" s="230">
        <v>-10125</v>
      </c>
      <c r="CI80" s="229">
        <v>-1.4800000000000001E-2</v>
      </c>
      <c r="CJ80" s="230">
        <v>36450</v>
      </c>
      <c r="CK80" s="230">
        <v>32400</v>
      </c>
      <c r="CL80" s="230">
        <v>4050</v>
      </c>
      <c r="CM80" s="229">
        <v>0.125</v>
      </c>
      <c r="CN80" s="230">
        <v>10843875</v>
      </c>
      <c r="CO80" s="230">
        <v>10635300</v>
      </c>
      <c r="CP80" s="230">
        <v>208575</v>
      </c>
      <c r="CQ80" s="229">
        <v>1.9599999999999999E-2</v>
      </c>
      <c r="CR80" s="230">
        <v>8371350</v>
      </c>
      <c r="CS80" s="230">
        <v>8667000</v>
      </c>
      <c r="CT80" s="230">
        <v>-295650</v>
      </c>
      <c r="CU80" s="229">
        <v>-3.4099999999999998E-2</v>
      </c>
      <c r="CV80" s="230">
        <v>55233900</v>
      </c>
      <c r="CW80" s="230">
        <v>54703350</v>
      </c>
      <c r="CX80" s="230">
        <v>530550</v>
      </c>
      <c r="CY80" s="229">
        <v>9.7000000000000003E-3</v>
      </c>
      <c r="CZ80" s="228">
        <v>26.79</v>
      </c>
      <c r="DA80" s="228">
        <v>28.41</v>
      </c>
      <c r="DB80" s="228">
        <v>-1.62</v>
      </c>
      <c r="DC80" s="228">
        <v>-1.62</v>
      </c>
      <c r="DD80" s="228">
        <v>38.44</v>
      </c>
      <c r="DE80" s="228">
        <v>38.54</v>
      </c>
      <c r="DF80" s="228">
        <v>-11.65</v>
      </c>
      <c r="DG80" s="228">
        <v>-0.1</v>
      </c>
      <c r="DH80" s="228">
        <v>26.56</v>
      </c>
      <c r="DI80" s="228">
        <v>27.99</v>
      </c>
      <c r="DJ80" s="228">
        <v>-1.43</v>
      </c>
      <c r="DK80" s="228">
        <v>-1.43</v>
      </c>
      <c r="DL80" s="228">
        <v>27.17</v>
      </c>
      <c r="DM80" s="228">
        <v>29.49</v>
      </c>
      <c r="DN80" s="228">
        <v>-2.3199999999999998</v>
      </c>
      <c r="DO80" s="228">
        <v>-2.3199999999999998</v>
      </c>
      <c r="DP80" s="228">
        <v>0.77</v>
      </c>
      <c r="DQ80" s="228">
        <v>0.81</v>
      </c>
      <c r="DR80" s="228">
        <v>-0.04</v>
      </c>
      <c r="DS80" s="229">
        <v>-4.9399999999999999E-2</v>
      </c>
      <c r="DT80" s="228">
        <v>500</v>
      </c>
      <c r="DU80" s="228">
        <v>480</v>
      </c>
      <c r="DV80" s="228">
        <v>0.6</v>
      </c>
      <c r="DW80" s="228">
        <v>0.39</v>
      </c>
      <c r="DX80" s="228">
        <v>0.21</v>
      </c>
      <c r="DY80" s="229">
        <v>0.53849999999999998</v>
      </c>
      <c r="DZ80" s="229">
        <v>1.9699999999999999E-2</v>
      </c>
      <c r="EA80" s="230">
        <v>714825</v>
      </c>
      <c r="EB80" s="229">
        <v>-3.7000000000000002E-3</v>
      </c>
      <c r="EC80" s="229">
        <v>1.9699999999999999E-2</v>
      </c>
      <c r="ED80" s="228">
        <v>-2.02</v>
      </c>
      <c r="EE80" s="229">
        <v>-4.0000000000000001E-3</v>
      </c>
      <c r="EF80" s="230">
        <v>1377515</v>
      </c>
      <c r="EG80" s="230">
        <v>5527225</v>
      </c>
      <c r="EH80" s="229">
        <v>-0.75080000000000002</v>
      </c>
      <c r="EI80" s="229">
        <v>0.39760000000000001</v>
      </c>
      <c r="EJ80" s="231">
        <v>110308.61</v>
      </c>
      <c r="EK80" s="231">
        <v>61483.41</v>
      </c>
      <c r="EL80" s="231">
        <v>30656.26</v>
      </c>
      <c r="EM80" s="231">
        <v>10211</v>
      </c>
      <c r="EN80" s="231">
        <v>202448.28</v>
      </c>
      <c r="EO80" s="231">
        <v>488480.25</v>
      </c>
      <c r="EP80" s="231">
        <v>-286031.96999999997</v>
      </c>
      <c r="EQ80" s="229">
        <v>-0.58560000000000001</v>
      </c>
      <c r="ER80" s="231">
        <v>54860</v>
      </c>
      <c r="ES80" s="231">
        <v>39351</v>
      </c>
      <c r="ET80" s="231">
        <v>180242</v>
      </c>
      <c r="EU80" s="231">
        <v>143933168</v>
      </c>
      <c r="EV80" s="231">
        <v>274453</v>
      </c>
      <c r="EW80" s="231">
        <v>271646</v>
      </c>
      <c r="EX80" s="231">
        <v>2807</v>
      </c>
      <c r="EY80" s="229">
        <v>1.03E-2</v>
      </c>
      <c r="EZ80" s="229">
        <v>0.38369999999999999</v>
      </c>
      <c r="FA80" s="227" t="s">
        <v>567</v>
      </c>
      <c r="FB80" s="161">
        <f t="shared" si="1"/>
        <v>708750</v>
      </c>
    </row>
    <row r="81" spans="1:158" ht="17.25" hidden="1" thickBot="1" x14ac:dyDescent="0.3">
      <c r="A81" s="226">
        <v>46023</v>
      </c>
      <c r="B81" s="227" t="s">
        <v>168</v>
      </c>
      <c r="C81" s="227" t="s">
        <v>230</v>
      </c>
      <c r="D81" s="228">
        <v>300</v>
      </c>
      <c r="E81" s="231">
        <v>2331.1999999999998</v>
      </c>
      <c r="F81" s="231">
        <v>2324.4</v>
      </c>
      <c r="G81" s="228">
        <v>6.8</v>
      </c>
      <c r="H81" s="229">
        <v>2.8999999999999998E-3</v>
      </c>
      <c r="I81" s="231">
        <v>2323</v>
      </c>
      <c r="J81" s="231">
        <v>2315.9</v>
      </c>
      <c r="K81" s="228">
        <v>7.1</v>
      </c>
      <c r="L81" s="229">
        <v>3.0999999999999999E-3</v>
      </c>
      <c r="M81" s="231">
        <v>2331.1999999999998</v>
      </c>
      <c r="N81" s="231">
        <v>2324.4</v>
      </c>
      <c r="O81" s="228">
        <v>6.8</v>
      </c>
      <c r="P81" s="229">
        <v>2.8999999999999998E-3</v>
      </c>
      <c r="Q81" s="231">
        <v>2343.8000000000002</v>
      </c>
      <c r="R81" s="231">
        <v>2339</v>
      </c>
      <c r="S81" s="228">
        <v>4.8</v>
      </c>
      <c r="T81" s="229">
        <v>2.0999999999999999E-3</v>
      </c>
      <c r="U81" s="231">
        <v>2362.1</v>
      </c>
      <c r="V81" s="231">
        <v>2355.1</v>
      </c>
      <c r="W81" s="228">
        <v>7</v>
      </c>
      <c r="X81" s="229">
        <v>3.0000000000000001E-3</v>
      </c>
      <c r="Y81" s="228">
        <v>8.1999999999999993</v>
      </c>
      <c r="Z81" s="228">
        <v>8.5</v>
      </c>
      <c r="AA81" s="228">
        <v>-0.3</v>
      </c>
      <c r="AB81" s="229">
        <v>3.5000000000000001E-3</v>
      </c>
      <c r="AC81" s="228">
        <v>8.1999999999999993</v>
      </c>
      <c r="AD81" s="228">
        <v>8.5</v>
      </c>
      <c r="AE81" s="228">
        <v>-0.3</v>
      </c>
      <c r="AF81" s="229">
        <v>3.5000000000000001E-3</v>
      </c>
      <c r="AG81" s="228">
        <v>20.8</v>
      </c>
      <c r="AH81" s="228">
        <v>23.1</v>
      </c>
      <c r="AI81" s="228">
        <v>-2.2999999999999998</v>
      </c>
      <c r="AJ81" s="229">
        <v>8.9999999999999993E-3</v>
      </c>
      <c r="AK81" s="228">
        <v>39.1</v>
      </c>
      <c r="AL81" s="228">
        <v>39.200000000000003</v>
      </c>
      <c r="AM81" s="228">
        <v>-0.1</v>
      </c>
      <c r="AN81" s="229">
        <v>1.6799999999999999E-2</v>
      </c>
      <c r="AO81" s="231">
        <v>2321.91</v>
      </c>
      <c r="AP81" s="231">
        <v>2331.29</v>
      </c>
      <c r="AQ81" s="228">
        <v>0</v>
      </c>
      <c r="AR81" s="230">
        <v>1140300</v>
      </c>
      <c r="AS81" s="230">
        <v>1790400</v>
      </c>
      <c r="AT81" s="230">
        <v>-650100</v>
      </c>
      <c r="AU81" s="229">
        <v>-0.36309999999999998</v>
      </c>
      <c r="AV81" s="230">
        <v>1079400</v>
      </c>
      <c r="AW81" s="230">
        <v>1711800</v>
      </c>
      <c r="AX81" s="230">
        <v>-632400</v>
      </c>
      <c r="AY81" s="229">
        <v>-0.36940000000000001</v>
      </c>
      <c r="AZ81" s="230">
        <v>45900</v>
      </c>
      <c r="BA81" s="230">
        <v>70500</v>
      </c>
      <c r="BB81" s="230">
        <v>-24600</v>
      </c>
      <c r="BC81" s="229">
        <v>-0.34889999999999999</v>
      </c>
      <c r="BD81" s="230">
        <v>15000</v>
      </c>
      <c r="BE81" s="230">
        <v>8100</v>
      </c>
      <c r="BF81" s="230">
        <v>6900</v>
      </c>
      <c r="BG81" s="229">
        <v>0.85189999999999999</v>
      </c>
      <c r="BH81" s="230">
        <v>4235700</v>
      </c>
      <c r="BI81" s="230">
        <v>6125100</v>
      </c>
      <c r="BJ81" s="230">
        <v>-1889400</v>
      </c>
      <c r="BK81" s="229">
        <v>-0.3085</v>
      </c>
      <c r="BL81" s="230">
        <v>2454300</v>
      </c>
      <c r="BM81" s="230">
        <v>2781000</v>
      </c>
      <c r="BN81" s="230">
        <v>-326700</v>
      </c>
      <c r="BO81" s="229">
        <v>-0.11749999999999999</v>
      </c>
      <c r="BP81" s="230">
        <v>7830300</v>
      </c>
      <c r="BQ81" s="230">
        <v>10696500</v>
      </c>
      <c r="BR81" s="230">
        <v>-2866200</v>
      </c>
      <c r="BS81" s="229">
        <v>-0.26800000000000002</v>
      </c>
      <c r="BT81" s="230">
        <v>887913</v>
      </c>
      <c r="BU81" s="230">
        <v>1387208</v>
      </c>
      <c r="BV81" s="230">
        <v>-499295</v>
      </c>
      <c r="BW81" s="229">
        <v>-0.3599</v>
      </c>
      <c r="BX81" s="230">
        <v>12162900</v>
      </c>
      <c r="BY81" s="230">
        <v>12450900</v>
      </c>
      <c r="BZ81" s="230">
        <v>-288000</v>
      </c>
      <c r="CA81" s="229">
        <v>-2.3099999999999999E-2</v>
      </c>
      <c r="CB81" s="230">
        <v>11907900</v>
      </c>
      <c r="CC81" s="230">
        <v>12215700</v>
      </c>
      <c r="CD81" s="230">
        <v>-307800</v>
      </c>
      <c r="CE81" s="229">
        <v>-2.52E-2</v>
      </c>
      <c r="CF81" s="230">
        <v>234600</v>
      </c>
      <c r="CG81" s="230">
        <v>229200</v>
      </c>
      <c r="CH81" s="230">
        <v>5400</v>
      </c>
      <c r="CI81" s="229">
        <v>2.3599999999999999E-2</v>
      </c>
      <c r="CJ81" s="230">
        <v>20400</v>
      </c>
      <c r="CK81" s="230">
        <v>6000</v>
      </c>
      <c r="CL81" s="230">
        <v>14400</v>
      </c>
      <c r="CM81" s="229">
        <v>2.4</v>
      </c>
      <c r="CN81" s="230">
        <v>4322700</v>
      </c>
      <c r="CO81" s="230">
        <v>3442200</v>
      </c>
      <c r="CP81" s="230">
        <v>880500</v>
      </c>
      <c r="CQ81" s="229">
        <v>0.25580000000000003</v>
      </c>
      <c r="CR81" s="230">
        <v>2991000</v>
      </c>
      <c r="CS81" s="230">
        <v>2638200</v>
      </c>
      <c r="CT81" s="230">
        <v>352800</v>
      </c>
      <c r="CU81" s="229">
        <v>0.13370000000000001</v>
      </c>
      <c r="CV81" s="230">
        <v>19476600</v>
      </c>
      <c r="CW81" s="230">
        <v>18531300</v>
      </c>
      <c r="CX81" s="230">
        <v>945300</v>
      </c>
      <c r="CY81" s="229">
        <v>5.0999999999999997E-2</v>
      </c>
      <c r="CZ81" s="228">
        <v>15.62</v>
      </c>
      <c r="DA81" s="228">
        <v>16.14</v>
      </c>
      <c r="DB81" s="228">
        <v>-0.52</v>
      </c>
      <c r="DC81" s="228">
        <v>-0.52</v>
      </c>
      <c r="DD81" s="228">
        <v>21.74</v>
      </c>
      <c r="DE81" s="228">
        <v>21.79</v>
      </c>
      <c r="DF81" s="228">
        <v>-6.12</v>
      </c>
      <c r="DG81" s="228">
        <v>-0.05</v>
      </c>
      <c r="DH81" s="228">
        <v>15.2</v>
      </c>
      <c r="DI81" s="228">
        <v>15.88</v>
      </c>
      <c r="DJ81" s="228">
        <v>-0.68</v>
      </c>
      <c r="DK81" s="228">
        <v>-0.68</v>
      </c>
      <c r="DL81" s="228">
        <v>16.36</v>
      </c>
      <c r="DM81" s="228">
        <v>16.71</v>
      </c>
      <c r="DN81" s="228">
        <v>-0.35</v>
      </c>
      <c r="DO81" s="228">
        <v>-0.35</v>
      </c>
      <c r="DP81" s="228">
        <v>0.69</v>
      </c>
      <c r="DQ81" s="228">
        <v>0.77</v>
      </c>
      <c r="DR81" s="228">
        <v>-0.08</v>
      </c>
      <c r="DS81" s="229">
        <v>-0.10390000000000001</v>
      </c>
      <c r="DT81" s="231">
        <v>2340</v>
      </c>
      <c r="DU81" s="231">
        <v>2300</v>
      </c>
      <c r="DV81" s="228">
        <v>0.57999999999999996</v>
      </c>
      <c r="DW81" s="228">
        <v>0.45</v>
      </c>
      <c r="DX81" s="228">
        <v>0.13</v>
      </c>
      <c r="DY81" s="229">
        <v>0.28889999999999999</v>
      </c>
      <c r="DZ81" s="229">
        <v>2.1000000000000001E-2</v>
      </c>
      <c r="EA81" s="230">
        <v>235200</v>
      </c>
      <c r="EB81" s="229">
        <v>5.4000000000000003E-3</v>
      </c>
      <c r="EC81" s="229">
        <v>2.1000000000000001E-2</v>
      </c>
      <c r="ED81" s="228">
        <v>9.3800000000000008</v>
      </c>
      <c r="EE81" s="229">
        <v>4.0000000000000001E-3</v>
      </c>
      <c r="EF81" s="230">
        <v>472038</v>
      </c>
      <c r="EG81" s="230">
        <v>956536</v>
      </c>
      <c r="EH81" s="229">
        <v>-0.50649999999999995</v>
      </c>
      <c r="EI81" s="229">
        <v>0.53159999999999996</v>
      </c>
      <c r="EJ81" s="231">
        <v>101152.35</v>
      </c>
      <c r="EK81" s="231">
        <v>56277.86</v>
      </c>
      <c r="EL81" s="231">
        <v>26484.54</v>
      </c>
      <c r="EM81" s="231">
        <v>17191</v>
      </c>
      <c r="EN81" s="231">
        <v>183914.75</v>
      </c>
      <c r="EO81" s="231">
        <v>251723.17</v>
      </c>
      <c r="EP81" s="231">
        <v>-67808.42</v>
      </c>
      <c r="EQ81" s="229">
        <v>-0.26939999999999997</v>
      </c>
      <c r="ER81" s="231">
        <v>102354</v>
      </c>
      <c r="ES81" s="231">
        <v>67709</v>
      </c>
      <c r="ET81" s="231">
        <v>283577</v>
      </c>
      <c r="EU81" s="231">
        <v>91001773</v>
      </c>
      <c r="EV81" s="231">
        <v>453641</v>
      </c>
      <c r="EW81" s="231">
        <v>430711</v>
      </c>
      <c r="EX81" s="231">
        <v>22930</v>
      </c>
      <c r="EY81" s="229">
        <v>5.3199999999999997E-2</v>
      </c>
      <c r="EZ81" s="229">
        <v>0.214</v>
      </c>
      <c r="FA81" s="227" t="s">
        <v>556</v>
      </c>
      <c r="FB81" s="161">
        <f t="shared" si="1"/>
        <v>255000</v>
      </c>
    </row>
    <row r="82" spans="1:158" ht="17.25" hidden="1" thickBot="1" x14ac:dyDescent="0.3">
      <c r="A82" s="226">
        <v>46023</v>
      </c>
      <c r="B82" s="227" t="s">
        <v>227</v>
      </c>
      <c r="C82" s="227" t="s">
        <v>668</v>
      </c>
      <c r="D82" s="228">
        <v>1225</v>
      </c>
      <c r="E82" s="228">
        <v>615.35</v>
      </c>
      <c r="F82" s="228">
        <v>616.29999999999995</v>
      </c>
      <c r="G82" s="228">
        <v>-0.95</v>
      </c>
      <c r="H82" s="229">
        <v>-1.5E-3</v>
      </c>
      <c r="I82" s="228">
        <v>611.95000000000005</v>
      </c>
      <c r="J82" s="228">
        <v>612.45000000000005</v>
      </c>
      <c r="K82" s="228">
        <v>-0.5</v>
      </c>
      <c r="L82" s="229">
        <v>-8.0000000000000004E-4</v>
      </c>
      <c r="M82" s="228">
        <v>615.35</v>
      </c>
      <c r="N82" s="228">
        <v>616.29999999999995</v>
      </c>
      <c r="O82" s="228">
        <v>-0.95</v>
      </c>
      <c r="P82" s="229">
        <v>-1.5E-3</v>
      </c>
      <c r="Q82" s="228">
        <v>618.65</v>
      </c>
      <c r="R82" s="228">
        <v>619.75</v>
      </c>
      <c r="S82" s="228">
        <v>-1.1000000000000001</v>
      </c>
      <c r="T82" s="229">
        <v>-1.8E-3</v>
      </c>
      <c r="U82" s="228">
        <v>622.6</v>
      </c>
      <c r="V82" s="228">
        <v>623.95000000000005</v>
      </c>
      <c r="W82" s="228">
        <v>-1.35</v>
      </c>
      <c r="X82" s="229">
        <v>-2.2000000000000001E-3</v>
      </c>
      <c r="Y82" s="228">
        <v>3.4</v>
      </c>
      <c r="Z82" s="228">
        <v>3.85</v>
      </c>
      <c r="AA82" s="228">
        <v>-0.45</v>
      </c>
      <c r="AB82" s="229">
        <v>5.5999999999999999E-3</v>
      </c>
      <c r="AC82" s="228">
        <v>3.4</v>
      </c>
      <c r="AD82" s="228">
        <v>3.85</v>
      </c>
      <c r="AE82" s="228">
        <v>-0.45</v>
      </c>
      <c r="AF82" s="229">
        <v>5.5999999999999999E-3</v>
      </c>
      <c r="AG82" s="228">
        <v>6.7</v>
      </c>
      <c r="AH82" s="228">
        <v>7.3</v>
      </c>
      <c r="AI82" s="228">
        <v>-0.6</v>
      </c>
      <c r="AJ82" s="229">
        <v>1.09E-2</v>
      </c>
      <c r="AK82" s="228">
        <v>10.65</v>
      </c>
      <c r="AL82" s="228">
        <v>11.5</v>
      </c>
      <c r="AM82" s="228">
        <v>-0.85</v>
      </c>
      <c r="AN82" s="229">
        <v>1.7399999999999999E-2</v>
      </c>
      <c r="AO82" s="228">
        <v>614.9</v>
      </c>
      <c r="AP82" s="228">
        <v>618.54</v>
      </c>
      <c r="AQ82" s="228">
        <v>0</v>
      </c>
      <c r="AR82" s="230">
        <v>6673800</v>
      </c>
      <c r="AS82" s="230">
        <v>15103025</v>
      </c>
      <c r="AT82" s="230">
        <v>-8429225</v>
      </c>
      <c r="AU82" s="229">
        <v>-0.55810000000000004</v>
      </c>
      <c r="AV82" s="230">
        <v>6347950</v>
      </c>
      <c r="AW82" s="230">
        <v>14151200</v>
      </c>
      <c r="AX82" s="230">
        <v>-7803250</v>
      </c>
      <c r="AY82" s="229">
        <v>-0.5514</v>
      </c>
      <c r="AZ82" s="230">
        <v>275625</v>
      </c>
      <c r="BA82" s="230">
        <v>895475</v>
      </c>
      <c r="BB82" s="230">
        <v>-619850</v>
      </c>
      <c r="BC82" s="229">
        <v>-0.69220000000000004</v>
      </c>
      <c r="BD82" s="230">
        <v>50225</v>
      </c>
      <c r="BE82" s="230">
        <v>56350</v>
      </c>
      <c r="BF82" s="230">
        <v>-6125</v>
      </c>
      <c r="BG82" s="229">
        <v>-0.1087</v>
      </c>
      <c r="BH82" s="230">
        <v>21949550</v>
      </c>
      <c r="BI82" s="230">
        <v>45906875</v>
      </c>
      <c r="BJ82" s="230">
        <v>-23957325</v>
      </c>
      <c r="BK82" s="229">
        <v>-0.52190000000000003</v>
      </c>
      <c r="BL82" s="230">
        <v>13347600</v>
      </c>
      <c r="BM82" s="230">
        <v>30872450</v>
      </c>
      <c r="BN82" s="230">
        <v>-17524850</v>
      </c>
      <c r="BO82" s="229">
        <v>-0.56769999999999998</v>
      </c>
      <c r="BP82" s="230">
        <v>41970950</v>
      </c>
      <c r="BQ82" s="230">
        <v>91882350</v>
      </c>
      <c r="BR82" s="230">
        <v>-49911400</v>
      </c>
      <c r="BS82" s="229">
        <v>-0.54320000000000002</v>
      </c>
      <c r="BT82" s="230">
        <v>4937720</v>
      </c>
      <c r="BU82" s="230">
        <v>10030523</v>
      </c>
      <c r="BV82" s="230">
        <v>-5092803</v>
      </c>
      <c r="BW82" s="229">
        <v>-0.50770000000000004</v>
      </c>
      <c r="BX82" s="230">
        <v>34968850</v>
      </c>
      <c r="BY82" s="230">
        <v>35173425</v>
      </c>
      <c r="BZ82" s="230">
        <v>-204575</v>
      </c>
      <c r="CA82" s="229">
        <v>-5.7999999999999996E-3</v>
      </c>
      <c r="CB82" s="230">
        <v>32498025</v>
      </c>
      <c r="CC82" s="230">
        <v>32744250</v>
      </c>
      <c r="CD82" s="230">
        <v>-246225</v>
      </c>
      <c r="CE82" s="229">
        <v>-7.4999999999999997E-3</v>
      </c>
      <c r="CF82" s="230">
        <v>2415700</v>
      </c>
      <c r="CG82" s="230">
        <v>2396100</v>
      </c>
      <c r="CH82" s="230">
        <v>19600</v>
      </c>
      <c r="CI82" s="229">
        <v>8.2000000000000007E-3</v>
      </c>
      <c r="CJ82" s="230">
        <v>55125</v>
      </c>
      <c r="CK82" s="230">
        <v>33075</v>
      </c>
      <c r="CL82" s="230">
        <v>22050</v>
      </c>
      <c r="CM82" s="229">
        <v>0.66669999999999996</v>
      </c>
      <c r="CN82" s="230">
        <v>34987225</v>
      </c>
      <c r="CO82" s="230">
        <v>35119525</v>
      </c>
      <c r="CP82" s="230">
        <v>-132300</v>
      </c>
      <c r="CQ82" s="229">
        <v>-3.8E-3</v>
      </c>
      <c r="CR82" s="230">
        <v>22173725</v>
      </c>
      <c r="CS82" s="230">
        <v>22034075</v>
      </c>
      <c r="CT82" s="230">
        <v>139650</v>
      </c>
      <c r="CU82" s="229">
        <v>6.3E-3</v>
      </c>
      <c r="CV82" s="230">
        <v>92129800</v>
      </c>
      <c r="CW82" s="230">
        <v>92327025</v>
      </c>
      <c r="CX82" s="230">
        <v>-197225</v>
      </c>
      <c r="CY82" s="229">
        <v>-2.0999999999999999E-3</v>
      </c>
      <c r="CZ82" s="228">
        <v>39.479999999999997</v>
      </c>
      <c r="DA82" s="228">
        <v>41.94</v>
      </c>
      <c r="DB82" s="228">
        <v>-2.46</v>
      </c>
      <c r="DC82" s="228">
        <v>-2.46</v>
      </c>
      <c r="DD82" s="228">
        <v>43.25</v>
      </c>
      <c r="DE82" s="228">
        <v>43.36</v>
      </c>
      <c r="DF82" s="228">
        <v>-3.77</v>
      </c>
      <c r="DG82" s="228">
        <v>-0.11</v>
      </c>
      <c r="DH82" s="228">
        <v>40.14</v>
      </c>
      <c r="DI82" s="228">
        <v>42.36</v>
      </c>
      <c r="DJ82" s="228">
        <v>-2.2200000000000002</v>
      </c>
      <c r="DK82" s="228">
        <v>-2.2200000000000002</v>
      </c>
      <c r="DL82" s="228">
        <v>38.4</v>
      </c>
      <c r="DM82" s="228">
        <v>41.31</v>
      </c>
      <c r="DN82" s="228">
        <v>-2.91</v>
      </c>
      <c r="DO82" s="228">
        <v>-2.91</v>
      </c>
      <c r="DP82" s="228">
        <v>0.63</v>
      </c>
      <c r="DQ82" s="228">
        <v>0.63</v>
      </c>
      <c r="DR82" s="228">
        <v>0</v>
      </c>
      <c r="DS82" s="229">
        <v>0</v>
      </c>
      <c r="DT82" s="228">
        <v>650</v>
      </c>
      <c r="DU82" s="228">
        <v>600</v>
      </c>
      <c r="DV82" s="228">
        <v>0.61</v>
      </c>
      <c r="DW82" s="228">
        <v>0.67</v>
      </c>
      <c r="DX82" s="228">
        <v>-0.06</v>
      </c>
      <c r="DY82" s="229">
        <v>-8.9599999999999999E-2</v>
      </c>
      <c r="DZ82" s="229">
        <v>7.0699999999999999E-2</v>
      </c>
      <c r="EA82" s="230">
        <v>2429175</v>
      </c>
      <c r="EB82" s="229">
        <v>5.4000000000000003E-3</v>
      </c>
      <c r="EC82" s="229">
        <v>7.0699999999999999E-2</v>
      </c>
      <c r="ED82" s="228">
        <v>3.64</v>
      </c>
      <c r="EE82" s="229">
        <v>5.8999999999999999E-3</v>
      </c>
      <c r="EF82" s="230">
        <v>1469062</v>
      </c>
      <c r="EG82" s="230">
        <v>3090769</v>
      </c>
      <c r="EH82" s="229">
        <v>-0.52470000000000006</v>
      </c>
      <c r="EI82" s="229">
        <v>0.29749999999999999</v>
      </c>
      <c r="EJ82" s="231">
        <v>145762.26999999999</v>
      </c>
      <c r="EK82" s="231">
        <v>80708.100000000006</v>
      </c>
      <c r="EL82" s="231">
        <v>41051.230000000003</v>
      </c>
      <c r="EM82" s="231">
        <v>27598</v>
      </c>
      <c r="EN82" s="231">
        <v>267521.59999999998</v>
      </c>
      <c r="EO82" s="231">
        <v>591507.59</v>
      </c>
      <c r="EP82" s="231">
        <v>-323985.99</v>
      </c>
      <c r="EQ82" s="229">
        <v>-0.54769999999999996</v>
      </c>
      <c r="ER82" s="231">
        <v>227835</v>
      </c>
      <c r="ES82" s="231">
        <v>128903</v>
      </c>
      <c r="ET82" s="231">
        <v>215265</v>
      </c>
      <c r="EU82" s="231">
        <v>161247058</v>
      </c>
      <c r="EV82" s="231">
        <v>572003</v>
      </c>
      <c r="EW82" s="231">
        <v>574116</v>
      </c>
      <c r="EX82" s="231">
        <v>-2113</v>
      </c>
      <c r="EY82" s="229">
        <v>-3.7000000000000002E-3</v>
      </c>
      <c r="EZ82" s="229">
        <v>0.57140000000000002</v>
      </c>
      <c r="FA82" s="227" t="s">
        <v>568</v>
      </c>
      <c r="FB82" s="161">
        <f t="shared" si="1"/>
        <v>2470825</v>
      </c>
    </row>
    <row r="83" spans="1:158" ht="17.25" hidden="1" thickBot="1" x14ac:dyDescent="0.3">
      <c r="A83" s="226">
        <v>46023</v>
      </c>
      <c r="B83" s="227" t="s">
        <v>206</v>
      </c>
      <c r="C83" s="227" t="s">
        <v>608</v>
      </c>
      <c r="D83" s="228">
        <v>2775</v>
      </c>
      <c r="E83" s="228">
        <v>229.16</v>
      </c>
      <c r="F83" s="228">
        <v>229.37</v>
      </c>
      <c r="G83" s="228">
        <v>-0.21</v>
      </c>
      <c r="H83" s="229">
        <v>-8.9999999999999998E-4</v>
      </c>
      <c r="I83" s="228">
        <v>227.58</v>
      </c>
      <c r="J83" s="228">
        <v>228.13</v>
      </c>
      <c r="K83" s="228">
        <v>-0.55000000000000004</v>
      </c>
      <c r="L83" s="229">
        <v>-2.3999999999999998E-3</v>
      </c>
      <c r="M83" s="228">
        <v>229.16</v>
      </c>
      <c r="N83" s="228">
        <v>229.37</v>
      </c>
      <c r="O83" s="228">
        <v>-0.21</v>
      </c>
      <c r="P83" s="229">
        <v>-8.9999999999999998E-4</v>
      </c>
      <c r="Q83" s="228">
        <v>229.41</v>
      </c>
      <c r="R83" s="228">
        <v>230</v>
      </c>
      <c r="S83" s="228">
        <v>-0.59</v>
      </c>
      <c r="T83" s="229">
        <v>-2.5999999999999999E-3</v>
      </c>
      <c r="U83" s="228">
        <v>231</v>
      </c>
      <c r="V83" s="228">
        <v>231</v>
      </c>
      <c r="W83" s="228">
        <v>0</v>
      </c>
      <c r="X83" s="229">
        <v>0</v>
      </c>
      <c r="Y83" s="228">
        <v>1.58</v>
      </c>
      <c r="Z83" s="228">
        <v>1.24</v>
      </c>
      <c r="AA83" s="228">
        <v>0.34</v>
      </c>
      <c r="AB83" s="229">
        <v>6.8999999999999999E-3</v>
      </c>
      <c r="AC83" s="228">
        <v>1.58</v>
      </c>
      <c r="AD83" s="228">
        <v>1.24</v>
      </c>
      <c r="AE83" s="228">
        <v>0.34</v>
      </c>
      <c r="AF83" s="229">
        <v>6.8999999999999999E-3</v>
      </c>
      <c r="AG83" s="228">
        <v>1.83</v>
      </c>
      <c r="AH83" s="228">
        <v>1.87</v>
      </c>
      <c r="AI83" s="228">
        <v>-0.04</v>
      </c>
      <c r="AJ83" s="229">
        <v>8.0000000000000002E-3</v>
      </c>
      <c r="AK83" s="228">
        <v>3.42</v>
      </c>
      <c r="AL83" s="228">
        <v>2.87</v>
      </c>
      <c r="AM83" s="228">
        <v>0.55000000000000004</v>
      </c>
      <c r="AN83" s="229">
        <v>1.4999999999999999E-2</v>
      </c>
      <c r="AO83" s="228">
        <v>229.49</v>
      </c>
      <c r="AP83" s="228">
        <v>230.4</v>
      </c>
      <c r="AQ83" s="228">
        <v>0</v>
      </c>
      <c r="AR83" s="230">
        <v>5402925</v>
      </c>
      <c r="AS83" s="230">
        <v>11330325</v>
      </c>
      <c r="AT83" s="230">
        <v>-5927400</v>
      </c>
      <c r="AU83" s="229">
        <v>-0.52310000000000001</v>
      </c>
      <c r="AV83" s="230">
        <v>5291925</v>
      </c>
      <c r="AW83" s="230">
        <v>10733700</v>
      </c>
      <c r="AX83" s="230">
        <v>-5441775</v>
      </c>
      <c r="AY83" s="229">
        <v>-0.50700000000000001</v>
      </c>
      <c r="AZ83" s="230">
        <v>111000</v>
      </c>
      <c r="BA83" s="230">
        <v>588300</v>
      </c>
      <c r="BB83" s="230">
        <v>-477300</v>
      </c>
      <c r="BC83" s="229">
        <v>-0.81130000000000002</v>
      </c>
      <c r="BD83" s="228">
        <v>0</v>
      </c>
      <c r="BE83" s="230">
        <v>8325</v>
      </c>
      <c r="BF83" s="230">
        <v>-8325</v>
      </c>
      <c r="BG83" s="229">
        <v>-1</v>
      </c>
      <c r="BH83" s="230">
        <v>7980900</v>
      </c>
      <c r="BI83" s="230">
        <v>18722925</v>
      </c>
      <c r="BJ83" s="230">
        <v>-10742025</v>
      </c>
      <c r="BK83" s="229">
        <v>-0.57369999999999999</v>
      </c>
      <c r="BL83" s="230">
        <v>3385500</v>
      </c>
      <c r="BM83" s="230">
        <v>6951375</v>
      </c>
      <c r="BN83" s="230">
        <v>-3565875</v>
      </c>
      <c r="BO83" s="229">
        <v>-0.51300000000000001</v>
      </c>
      <c r="BP83" s="230">
        <v>16769325</v>
      </c>
      <c r="BQ83" s="230">
        <v>37004625</v>
      </c>
      <c r="BR83" s="230">
        <v>-20235300</v>
      </c>
      <c r="BS83" s="229">
        <v>-0.54679999999999995</v>
      </c>
      <c r="BT83" s="230">
        <v>2333618</v>
      </c>
      <c r="BU83" s="230">
        <v>4297425</v>
      </c>
      <c r="BV83" s="230">
        <v>-1963807</v>
      </c>
      <c r="BW83" s="229">
        <v>-0.45700000000000002</v>
      </c>
      <c r="BX83" s="230">
        <v>41020050</v>
      </c>
      <c r="BY83" s="230">
        <v>41552850</v>
      </c>
      <c r="BZ83" s="230">
        <v>-532800</v>
      </c>
      <c r="CA83" s="229">
        <v>-1.2800000000000001E-2</v>
      </c>
      <c r="CB83" s="230">
        <v>40015500</v>
      </c>
      <c r="CC83" s="230">
        <v>40553850</v>
      </c>
      <c r="CD83" s="230">
        <v>-538350</v>
      </c>
      <c r="CE83" s="229">
        <v>-1.3299999999999999E-2</v>
      </c>
      <c r="CF83" s="230">
        <v>996225</v>
      </c>
      <c r="CG83" s="230">
        <v>990675</v>
      </c>
      <c r="CH83" s="230">
        <v>5550</v>
      </c>
      <c r="CI83" s="229">
        <v>5.5999999999999999E-3</v>
      </c>
      <c r="CJ83" s="230">
        <v>8325</v>
      </c>
      <c r="CK83" s="230">
        <v>8325</v>
      </c>
      <c r="CL83" s="228">
        <v>0</v>
      </c>
      <c r="CM83" s="229">
        <v>0</v>
      </c>
      <c r="CN83" s="230">
        <v>11926950</v>
      </c>
      <c r="CO83" s="230">
        <v>11716050</v>
      </c>
      <c r="CP83" s="230">
        <v>210900</v>
      </c>
      <c r="CQ83" s="229">
        <v>1.7999999999999999E-2</v>
      </c>
      <c r="CR83" s="230">
        <v>10742025</v>
      </c>
      <c r="CS83" s="230">
        <v>10614375</v>
      </c>
      <c r="CT83" s="230">
        <v>127650</v>
      </c>
      <c r="CU83" s="229">
        <v>1.2E-2</v>
      </c>
      <c r="CV83" s="230">
        <v>63689025</v>
      </c>
      <c r="CW83" s="230">
        <v>63883275</v>
      </c>
      <c r="CX83" s="230">
        <v>-194250</v>
      </c>
      <c r="CY83" s="229">
        <v>-3.0000000000000001E-3</v>
      </c>
      <c r="CZ83" s="228">
        <v>31.29</v>
      </c>
      <c r="DA83" s="228">
        <v>32.619999999999997</v>
      </c>
      <c r="DB83" s="228">
        <v>-1.33</v>
      </c>
      <c r="DC83" s="228">
        <v>-1.33</v>
      </c>
      <c r="DD83" s="228">
        <v>50.44</v>
      </c>
      <c r="DE83" s="228">
        <v>50.56</v>
      </c>
      <c r="DF83" s="228">
        <v>-19.149999999999999</v>
      </c>
      <c r="DG83" s="228">
        <v>-0.12</v>
      </c>
      <c r="DH83" s="228">
        <v>31.19</v>
      </c>
      <c r="DI83" s="228">
        <v>32.6</v>
      </c>
      <c r="DJ83" s="228">
        <v>-1.41</v>
      </c>
      <c r="DK83" s="228">
        <v>-1.41</v>
      </c>
      <c r="DL83" s="228">
        <v>31.52</v>
      </c>
      <c r="DM83" s="228">
        <v>32.68</v>
      </c>
      <c r="DN83" s="228">
        <v>-1.1599999999999999</v>
      </c>
      <c r="DO83" s="228">
        <v>-1.1599999999999999</v>
      </c>
      <c r="DP83" s="228">
        <v>0.9</v>
      </c>
      <c r="DQ83" s="228">
        <v>0.91</v>
      </c>
      <c r="DR83" s="228">
        <v>-0.01</v>
      </c>
      <c r="DS83" s="229">
        <v>-1.0999999999999999E-2</v>
      </c>
      <c r="DT83" s="228">
        <v>230</v>
      </c>
      <c r="DU83" s="228">
        <v>210</v>
      </c>
      <c r="DV83" s="228">
        <v>0.42</v>
      </c>
      <c r="DW83" s="228">
        <v>0.37</v>
      </c>
      <c r="DX83" s="228">
        <v>0.05</v>
      </c>
      <c r="DY83" s="229">
        <v>0.1351</v>
      </c>
      <c r="DZ83" s="229">
        <v>2.4500000000000001E-2</v>
      </c>
      <c r="EA83" s="230">
        <v>999000</v>
      </c>
      <c r="EB83" s="229">
        <v>1.1000000000000001E-3</v>
      </c>
      <c r="EC83" s="229">
        <v>2.4500000000000001E-2</v>
      </c>
      <c r="ED83" s="228">
        <v>0.91</v>
      </c>
      <c r="EE83" s="229">
        <v>4.0000000000000001E-3</v>
      </c>
      <c r="EF83" s="230">
        <v>730514</v>
      </c>
      <c r="EG83" s="230">
        <v>1909575</v>
      </c>
      <c r="EH83" s="229">
        <v>-0.61739999999999995</v>
      </c>
      <c r="EI83" s="229">
        <v>0.313</v>
      </c>
      <c r="EJ83" s="231">
        <v>19295.38</v>
      </c>
      <c r="EK83" s="231">
        <v>7543.22</v>
      </c>
      <c r="EL83" s="231">
        <v>12400.17</v>
      </c>
      <c r="EM83" s="231">
        <v>11051</v>
      </c>
      <c r="EN83" s="231">
        <v>39238.769999999997</v>
      </c>
      <c r="EO83" s="231">
        <v>86564.56</v>
      </c>
      <c r="EP83" s="231">
        <v>-47325.79</v>
      </c>
      <c r="EQ83" s="229">
        <v>-0.54669999999999996</v>
      </c>
      <c r="ER83" s="231">
        <v>28205</v>
      </c>
      <c r="ES83" s="231">
        <v>23238</v>
      </c>
      <c r="ET83" s="231">
        <v>94004</v>
      </c>
      <c r="EU83" s="231">
        <v>75071250</v>
      </c>
      <c r="EV83" s="231">
        <v>145448</v>
      </c>
      <c r="EW83" s="231">
        <v>145999</v>
      </c>
      <c r="EX83" s="228">
        <v>-551</v>
      </c>
      <c r="EY83" s="229">
        <v>-3.8E-3</v>
      </c>
      <c r="EZ83" s="229">
        <v>0.84840000000000004</v>
      </c>
      <c r="FA83" s="227" t="s">
        <v>568</v>
      </c>
      <c r="FB83" s="161">
        <f t="shared" si="1"/>
        <v>1004550</v>
      </c>
    </row>
    <row r="84" spans="1:158" ht="17.25" hidden="1" thickBot="1" x14ac:dyDescent="0.3">
      <c r="A84" s="226">
        <v>46023</v>
      </c>
      <c r="B84" s="227" t="s">
        <v>172</v>
      </c>
      <c r="C84" s="227" t="s">
        <v>232</v>
      </c>
      <c r="D84" s="228">
        <v>700</v>
      </c>
      <c r="E84" s="231">
        <v>1344.7</v>
      </c>
      <c r="F84" s="231">
        <v>1350.6</v>
      </c>
      <c r="G84" s="228">
        <v>-5.9</v>
      </c>
      <c r="H84" s="229">
        <v>-4.4000000000000003E-3</v>
      </c>
      <c r="I84" s="231">
        <v>1338</v>
      </c>
      <c r="J84" s="231">
        <v>1342.9</v>
      </c>
      <c r="K84" s="228">
        <v>-4.9000000000000004</v>
      </c>
      <c r="L84" s="229">
        <v>-3.5999999999999999E-3</v>
      </c>
      <c r="M84" s="231">
        <v>1344.7</v>
      </c>
      <c r="N84" s="231">
        <v>1350.6</v>
      </c>
      <c r="O84" s="228">
        <v>-5.9</v>
      </c>
      <c r="P84" s="229">
        <v>-4.4000000000000003E-3</v>
      </c>
      <c r="Q84" s="231">
        <v>1352.8</v>
      </c>
      <c r="R84" s="231">
        <v>1358.3</v>
      </c>
      <c r="S84" s="228">
        <v>-5.5</v>
      </c>
      <c r="T84" s="229">
        <v>-4.0000000000000001E-3</v>
      </c>
      <c r="U84" s="231">
        <v>1361.5</v>
      </c>
      <c r="V84" s="231">
        <v>1367.3</v>
      </c>
      <c r="W84" s="228">
        <v>-5.8</v>
      </c>
      <c r="X84" s="229">
        <v>-4.1999999999999997E-3</v>
      </c>
      <c r="Y84" s="228">
        <v>6.7</v>
      </c>
      <c r="Z84" s="228">
        <v>7.7</v>
      </c>
      <c r="AA84" s="228">
        <v>-1</v>
      </c>
      <c r="AB84" s="229">
        <v>5.0000000000000001E-3</v>
      </c>
      <c r="AC84" s="228">
        <v>6.7</v>
      </c>
      <c r="AD84" s="228">
        <v>7.7</v>
      </c>
      <c r="AE84" s="228">
        <v>-1</v>
      </c>
      <c r="AF84" s="229">
        <v>5.0000000000000001E-3</v>
      </c>
      <c r="AG84" s="228">
        <v>14.8</v>
      </c>
      <c r="AH84" s="228">
        <v>15.4</v>
      </c>
      <c r="AI84" s="228">
        <v>-0.6</v>
      </c>
      <c r="AJ84" s="229">
        <v>1.11E-2</v>
      </c>
      <c r="AK84" s="228">
        <v>23.5</v>
      </c>
      <c r="AL84" s="228">
        <v>24.4</v>
      </c>
      <c r="AM84" s="228">
        <v>-0.9</v>
      </c>
      <c r="AN84" s="229">
        <v>1.7600000000000001E-2</v>
      </c>
      <c r="AO84" s="231">
        <v>1347.86</v>
      </c>
      <c r="AP84" s="231">
        <v>1355.88</v>
      </c>
      <c r="AQ84" s="228">
        <v>0</v>
      </c>
      <c r="AR84" s="230">
        <v>5853400</v>
      </c>
      <c r="AS84" s="230">
        <v>9709000</v>
      </c>
      <c r="AT84" s="230">
        <v>-3855600</v>
      </c>
      <c r="AU84" s="229">
        <v>-0.39710000000000001</v>
      </c>
      <c r="AV84" s="230">
        <v>5545400</v>
      </c>
      <c r="AW84" s="230">
        <v>9398200</v>
      </c>
      <c r="AX84" s="230">
        <v>-3852800</v>
      </c>
      <c r="AY84" s="229">
        <v>-0.41</v>
      </c>
      <c r="AZ84" s="230">
        <v>203700</v>
      </c>
      <c r="BA84" s="230">
        <v>275800</v>
      </c>
      <c r="BB84" s="230">
        <v>-72100</v>
      </c>
      <c r="BC84" s="229">
        <v>-0.26140000000000002</v>
      </c>
      <c r="BD84" s="230">
        <v>104300</v>
      </c>
      <c r="BE84" s="230">
        <v>35000</v>
      </c>
      <c r="BF84" s="230">
        <v>69300</v>
      </c>
      <c r="BG84" s="229">
        <v>1.98</v>
      </c>
      <c r="BH84" s="230">
        <v>12703600</v>
      </c>
      <c r="BI84" s="230">
        <v>25971400</v>
      </c>
      <c r="BJ84" s="230">
        <v>-13267800</v>
      </c>
      <c r="BK84" s="229">
        <v>-0.51090000000000002</v>
      </c>
      <c r="BL84" s="230">
        <v>6631800</v>
      </c>
      <c r="BM84" s="230">
        <v>15458100</v>
      </c>
      <c r="BN84" s="230">
        <v>-8826300</v>
      </c>
      <c r="BO84" s="229">
        <v>-0.57099999999999995</v>
      </c>
      <c r="BP84" s="230">
        <v>25188800</v>
      </c>
      <c r="BQ84" s="230">
        <v>51138500</v>
      </c>
      <c r="BR84" s="230">
        <v>-25949700</v>
      </c>
      <c r="BS84" s="229">
        <v>-0.50739999999999996</v>
      </c>
      <c r="BT84" s="230">
        <v>5041626</v>
      </c>
      <c r="BU84" s="230">
        <v>6295265</v>
      </c>
      <c r="BV84" s="230">
        <v>-1253639</v>
      </c>
      <c r="BW84" s="229">
        <v>-0.1991</v>
      </c>
      <c r="BX84" s="230">
        <v>122446100</v>
      </c>
      <c r="BY84" s="230">
        <v>121393300</v>
      </c>
      <c r="BZ84" s="230">
        <v>1052800</v>
      </c>
      <c r="CA84" s="229">
        <v>8.6999999999999994E-3</v>
      </c>
      <c r="CB84" s="230">
        <v>120106000</v>
      </c>
      <c r="CC84" s="230">
        <v>119228200</v>
      </c>
      <c r="CD84" s="230">
        <v>877800</v>
      </c>
      <c r="CE84" s="229">
        <v>7.4000000000000003E-3</v>
      </c>
      <c r="CF84" s="230">
        <v>2222500</v>
      </c>
      <c r="CG84" s="230">
        <v>2140600</v>
      </c>
      <c r="CH84" s="230">
        <v>81900</v>
      </c>
      <c r="CI84" s="229">
        <v>3.8300000000000001E-2</v>
      </c>
      <c r="CJ84" s="230">
        <v>117600</v>
      </c>
      <c r="CK84" s="230">
        <v>24500</v>
      </c>
      <c r="CL84" s="230">
        <v>93100</v>
      </c>
      <c r="CM84" s="229">
        <v>3.8</v>
      </c>
      <c r="CN84" s="230">
        <v>24249400</v>
      </c>
      <c r="CO84" s="230">
        <v>21659400</v>
      </c>
      <c r="CP84" s="230">
        <v>2590000</v>
      </c>
      <c r="CQ84" s="229">
        <v>0.1196</v>
      </c>
      <c r="CR84" s="230">
        <v>19868100</v>
      </c>
      <c r="CS84" s="230">
        <v>18727800</v>
      </c>
      <c r="CT84" s="230">
        <v>1140300</v>
      </c>
      <c r="CU84" s="229">
        <v>6.0900000000000003E-2</v>
      </c>
      <c r="CV84" s="230">
        <v>166563600</v>
      </c>
      <c r="CW84" s="230">
        <v>161780500</v>
      </c>
      <c r="CX84" s="230">
        <v>4783100</v>
      </c>
      <c r="CY84" s="229">
        <v>2.9600000000000001E-2</v>
      </c>
      <c r="CZ84" s="228">
        <v>15.98</v>
      </c>
      <c r="DA84" s="228">
        <v>15.94</v>
      </c>
      <c r="DB84" s="228">
        <v>0.04</v>
      </c>
      <c r="DC84" s="228">
        <v>0.04</v>
      </c>
      <c r="DD84" s="228">
        <v>20.100000000000001</v>
      </c>
      <c r="DE84" s="228">
        <v>20.14</v>
      </c>
      <c r="DF84" s="228">
        <v>-4.12</v>
      </c>
      <c r="DG84" s="228">
        <v>-0.04</v>
      </c>
      <c r="DH84" s="228">
        <v>15.91</v>
      </c>
      <c r="DI84" s="228">
        <v>15.72</v>
      </c>
      <c r="DJ84" s="228">
        <v>0.19</v>
      </c>
      <c r="DK84" s="228">
        <v>0.19</v>
      </c>
      <c r="DL84" s="228">
        <v>16.13</v>
      </c>
      <c r="DM84" s="228">
        <v>16.32</v>
      </c>
      <c r="DN84" s="228">
        <v>-0.19</v>
      </c>
      <c r="DO84" s="228">
        <v>-0.19</v>
      </c>
      <c r="DP84" s="228">
        <v>0.82</v>
      </c>
      <c r="DQ84" s="228">
        <v>0.86</v>
      </c>
      <c r="DR84" s="228">
        <v>-0.04</v>
      </c>
      <c r="DS84" s="229">
        <v>-4.65E-2</v>
      </c>
      <c r="DT84" s="231">
        <v>1360</v>
      </c>
      <c r="DU84" s="231">
        <v>1350</v>
      </c>
      <c r="DV84" s="228">
        <v>0.52</v>
      </c>
      <c r="DW84" s="228">
        <v>0.6</v>
      </c>
      <c r="DX84" s="228">
        <v>-0.08</v>
      </c>
      <c r="DY84" s="229">
        <v>-0.1333</v>
      </c>
      <c r="DZ84" s="229">
        <v>1.9099999999999999E-2</v>
      </c>
      <c r="EA84" s="230">
        <v>2165100</v>
      </c>
      <c r="EB84" s="229">
        <v>6.0000000000000001E-3</v>
      </c>
      <c r="EC84" s="229">
        <v>1.9099999999999999E-2</v>
      </c>
      <c r="ED84" s="228">
        <v>8.02</v>
      </c>
      <c r="EE84" s="229">
        <v>6.0000000000000001E-3</v>
      </c>
      <c r="EF84" s="230">
        <v>1550613</v>
      </c>
      <c r="EG84" s="230">
        <v>3867014</v>
      </c>
      <c r="EH84" s="229">
        <v>-0.59899999999999998</v>
      </c>
      <c r="EI84" s="229">
        <v>0.30759999999999998</v>
      </c>
      <c r="EJ84" s="231">
        <v>176434.84</v>
      </c>
      <c r="EK84" s="231">
        <v>89245.35</v>
      </c>
      <c r="EL84" s="231">
        <v>78928.61</v>
      </c>
      <c r="EM84" s="231">
        <v>56157</v>
      </c>
      <c r="EN84" s="231">
        <v>344608.8</v>
      </c>
      <c r="EO84" s="231">
        <v>699923.65</v>
      </c>
      <c r="EP84" s="231">
        <v>-355314.85</v>
      </c>
      <c r="EQ84" s="229">
        <v>-0.50760000000000005</v>
      </c>
      <c r="ER84" s="231">
        <v>334730</v>
      </c>
      <c r="ES84" s="231">
        <v>267020</v>
      </c>
      <c r="ET84" s="231">
        <v>1646732</v>
      </c>
      <c r="EU84" s="231">
        <v>580601807</v>
      </c>
      <c r="EV84" s="231">
        <v>2248483</v>
      </c>
      <c r="EW84" s="231">
        <v>2190542</v>
      </c>
      <c r="EX84" s="231">
        <v>57941</v>
      </c>
      <c r="EY84" s="229">
        <v>2.6499999999999999E-2</v>
      </c>
      <c r="EZ84" s="229">
        <v>0.28689999999999999</v>
      </c>
      <c r="FA84" s="227" t="s">
        <v>567</v>
      </c>
      <c r="FB84" s="161">
        <f t="shared" si="1"/>
        <v>2340100</v>
      </c>
    </row>
    <row r="85" spans="1:158" ht="17.25" hidden="1" thickBot="1" x14ac:dyDescent="0.3">
      <c r="A85" s="226">
        <v>46023</v>
      </c>
      <c r="B85" s="227" t="s">
        <v>175</v>
      </c>
      <c r="C85" s="227" t="s">
        <v>472</v>
      </c>
      <c r="D85" s="228">
        <v>325</v>
      </c>
      <c r="E85" s="231">
        <v>1961.2</v>
      </c>
      <c r="F85" s="231">
        <v>1972.1</v>
      </c>
      <c r="G85" s="228">
        <v>-10.9</v>
      </c>
      <c r="H85" s="229">
        <v>-5.4999999999999997E-3</v>
      </c>
      <c r="I85" s="231">
        <v>1956.9</v>
      </c>
      <c r="J85" s="231">
        <v>1962.1</v>
      </c>
      <c r="K85" s="228">
        <v>-5.2</v>
      </c>
      <c r="L85" s="229">
        <v>-2.7000000000000001E-3</v>
      </c>
      <c r="M85" s="231">
        <v>1961.2</v>
      </c>
      <c r="N85" s="231">
        <v>1972.1</v>
      </c>
      <c r="O85" s="228">
        <v>-10.9</v>
      </c>
      <c r="P85" s="229">
        <v>-5.4999999999999997E-3</v>
      </c>
      <c r="Q85" s="231">
        <v>1974</v>
      </c>
      <c r="R85" s="231">
        <v>1984.7</v>
      </c>
      <c r="S85" s="228">
        <v>-10.7</v>
      </c>
      <c r="T85" s="229">
        <v>-5.4000000000000003E-3</v>
      </c>
      <c r="U85" s="228">
        <v>0</v>
      </c>
      <c r="V85" s="228">
        <v>0</v>
      </c>
      <c r="W85" s="228">
        <v>0</v>
      </c>
      <c r="X85" s="229">
        <v>0</v>
      </c>
      <c r="Y85" s="228">
        <v>4.3</v>
      </c>
      <c r="Z85" s="228">
        <v>10</v>
      </c>
      <c r="AA85" s="228">
        <v>-5.7</v>
      </c>
      <c r="AB85" s="229">
        <v>2.2000000000000001E-3</v>
      </c>
      <c r="AC85" s="228">
        <v>4.3</v>
      </c>
      <c r="AD85" s="228">
        <v>10</v>
      </c>
      <c r="AE85" s="228">
        <v>-5.7</v>
      </c>
      <c r="AF85" s="229">
        <v>2.2000000000000001E-3</v>
      </c>
      <c r="AG85" s="228">
        <v>17.100000000000001</v>
      </c>
      <c r="AH85" s="228">
        <v>22.6</v>
      </c>
      <c r="AI85" s="228">
        <v>-5.5</v>
      </c>
      <c r="AJ85" s="229">
        <v>8.6999999999999994E-3</v>
      </c>
      <c r="AK85" s="228">
        <v>0</v>
      </c>
      <c r="AL85" s="228">
        <v>0</v>
      </c>
      <c r="AM85" s="228">
        <v>0</v>
      </c>
      <c r="AN85" s="229">
        <v>0</v>
      </c>
      <c r="AO85" s="231">
        <v>1959.28</v>
      </c>
      <c r="AP85" s="231">
        <v>1973.73</v>
      </c>
      <c r="AQ85" s="228">
        <v>0</v>
      </c>
      <c r="AR85" s="230">
        <v>307450</v>
      </c>
      <c r="AS85" s="230">
        <v>404625</v>
      </c>
      <c r="AT85" s="230">
        <v>-97175</v>
      </c>
      <c r="AU85" s="229">
        <v>-0.2402</v>
      </c>
      <c r="AV85" s="230">
        <v>294775</v>
      </c>
      <c r="AW85" s="230">
        <v>393250</v>
      </c>
      <c r="AX85" s="230">
        <v>-98475</v>
      </c>
      <c r="AY85" s="229">
        <v>-0.25040000000000001</v>
      </c>
      <c r="AZ85" s="230">
        <v>12675</v>
      </c>
      <c r="BA85" s="230">
        <v>11375</v>
      </c>
      <c r="BB85" s="230">
        <v>1300</v>
      </c>
      <c r="BC85" s="229">
        <v>0.1143</v>
      </c>
      <c r="BD85" s="228">
        <v>0</v>
      </c>
      <c r="BE85" s="228">
        <v>0</v>
      </c>
      <c r="BF85" s="228">
        <v>0</v>
      </c>
      <c r="BG85" s="229">
        <v>0</v>
      </c>
      <c r="BH85" s="230">
        <v>282425</v>
      </c>
      <c r="BI85" s="230">
        <v>325325</v>
      </c>
      <c r="BJ85" s="230">
        <v>-42900</v>
      </c>
      <c r="BK85" s="229">
        <v>-0.13189999999999999</v>
      </c>
      <c r="BL85" s="230">
        <v>251225</v>
      </c>
      <c r="BM85" s="230">
        <v>381550</v>
      </c>
      <c r="BN85" s="230">
        <v>-130325</v>
      </c>
      <c r="BO85" s="229">
        <v>-0.34160000000000001</v>
      </c>
      <c r="BP85" s="230">
        <v>841100</v>
      </c>
      <c r="BQ85" s="230">
        <v>1111500</v>
      </c>
      <c r="BR85" s="230">
        <v>-270400</v>
      </c>
      <c r="BS85" s="229">
        <v>-0.24329999999999999</v>
      </c>
      <c r="BT85" s="230">
        <v>214484</v>
      </c>
      <c r="BU85" s="230">
        <v>267708</v>
      </c>
      <c r="BV85" s="230">
        <v>-53224</v>
      </c>
      <c r="BW85" s="229">
        <v>-0.1988</v>
      </c>
      <c r="BX85" s="230">
        <v>5331950</v>
      </c>
      <c r="BY85" s="230">
        <v>5267925</v>
      </c>
      <c r="BZ85" s="230">
        <v>64025</v>
      </c>
      <c r="CA85" s="229">
        <v>1.2200000000000001E-2</v>
      </c>
      <c r="CB85" s="230">
        <v>5304650</v>
      </c>
      <c r="CC85" s="230">
        <v>5244850</v>
      </c>
      <c r="CD85" s="230">
        <v>59800</v>
      </c>
      <c r="CE85" s="229">
        <v>1.14E-2</v>
      </c>
      <c r="CF85" s="230">
        <v>27300</v>
      </c>
      <c r="CG85" s="230">
        <v>23075</v>
      </c>
      <c r="CH85" s="230">
        <v>4225</v>
      </c>
      <c r="CI85" s="229">
        <v>0.18310000000000001</v>
      </c>
      <c r="CJ85" s="228">
        <v>0</v>
      </c>
      <c r="CK85" s="228">
        <v>0</v>
      </c>
      <c r="CL85" s="228">
        <v>0</v>
      </c>
      <c r="CM85" s="229">
        <v>0</v>
      </c>
      <c r="CN85" s="230">
        <v>355225</v>
      </c>
      <c r="CO85" s="230">
        <v>292175</v>
      </c>
      <c r="CP85" s="230">
        <v>63050</v>
      </c>
      <c r="CQ85" s="229">
        <v>0.21579999999999999</v>
      </c>
      <c r="CR85" s="230">
        <v>488150</v>
      </c>
      <c r="CS85" s="230">
        <v>373100</v>
      </c>
      <c r="CT85" s="230">
        <v>115050</v>
      </c>
      <c r="CU85" s="229">
        <v>0.30840000000000001</v>
      </c>
      <c r="CV85" s="230">
        <v>6175325</v>
      </c>
      <c r="CW85" s="230">
        <v>5933200</v>
      </c>
      <c r="CX85" s="230">
        <v>242125</v>
      </c>
      <c r="CY85" s="229">
        <v>4.0800000000000003E-2</v>
      </c>
      <c r="CZ85" s="228">
        <v>21.76</v>
      </c>
      <c r="DA85" s="228">
        <v>21.6</v>
      </c>
      <c r="DB85" s="228">
        <v>0.16</v>
      </c>
      <c r="DC85" s="228">
        <v>0.16</v>
      </c>
      <c r="DD85" s="228">
        <v>27.64</v>
      </c>
      <c r="DE85" s="228">
        <v>27.71</v>
      </c>
      <c r="DF85" s="228">
        <v>-5.88</v>
      </c>
      <c r="DG85" s="228">
        <v>-7.0000000000000007E-2</v>
      </c>
      <c r="DH85" s="228">
        <v>21.61</v>
      </c>
      <c r="DI85" s="228">
        <v>21.43</v>
      </c>
      <c r="DJ85" s="228">
        <v>0.18</v>
      </c>
      <c r="DK85" s="228">
        <v>0.18</v>
      </c>
      <c r="DL85" s="228">
        <v>21.93</v>
      </c>
      <c r="DM85" s="228">
        <v>21.75</v>
      </c>
      <c r="DN85" s="228">
        <v>0.18</v>
      </c>
      <c r="DO85" s="228">
        <v>0.18</v>
      </c>
      <c r="DP85" s="228">
        <v>1.37</v>
      </c>
      <c r="DQ85" s="228">
        <v>1.28</v>
      </c>
      <c r="DR85" s="228">
        <v>0.09</v>
      </c>
      <c r="DS85" s="229">
        <v>7.0300000000000001E-2</v>
      </c>
      <c r="DT85" s="231">
        <v>2100</v>
      </c>
      <c r="DU85" s="231">
        <v>1800</v>
      </c>
      <c r="DV85" s="228">
        <v>0.89</v>
      </c>
      <c r="DW85" s="228">
        <v>1.17</v>
      </c>
      <c r="DX85" s="228">
        <v>-0.28000000000000003</v>
      </c>
      <c r="DY85" s="229">
        <v>-0.23930000000000001</v>
      </c>
      <c r="DZ85" s="229">
        <v>5.1000000000000004E-3</v>
      </c>
      <c r="EA85" s="230">
        <v>23075</v>
      </c>
      <c r="EB85" s="229">
        <v>6.4999999999999997E-3</v>
      </c>
      <c r="EC85" s="229">
        <v>5.1000000000000004E-3</v>
      </c>
      <c r="ED85" s="228">
        <v>14.45</v>
      </c>
      <c r="EE85" s="229">
        <v>7.4000000000000003E-3</v>
      </c>
      <c r="EF85" s="230">
        <v>134480</v>
      </c>
      <c r="EG85" s="230">
        <v>156278</v>
      </c>
      <c r="EH85" s="229">
        <v>-0.13950000000000001</v>
      </c>
      <c r="EI85" s="229">
        <v>0.627</v>
      </c>
      <c r="EJ85" s="231">
        <v>5798.67</v>
      </c>
      <c r="EK85" s="231">
        <v>4742.3999999999996</v>
      </c>
      <c r="EL85" s="231">
        <v>6025.65</v>
      </c>
      <c r="EM85" s="231">
        <v>8590</v>
      </c>
      <c r="EN85" s="231">
        <v>16566.72</v>
      </c>
      <c r="EO85" s="231">
        <v>21960.79</v>
      </c>
      <c r="EP85" s="231">
        <v>-5394.07</v>
      </c>
      <c r="EQ85" s="229">
        <v>-0.24560000000000001</v>
      </c>
      <c r="ER85" s="231">
        <v>7242</v>
      </c>
      <c r="ES85" s="231">
        <v>9189</v>
      </c>
      <c r="ET85" s="231">
        <v>104574</v>
      </c>
      <c r="EU85" s="231">
        <v>28747897</v>
      </c>
      <c r="EV85" s="231">
        <v>121005</v>
      </c>
      <c r="EW85" s="231">
        <v>116927</v>
      </c>
      <c r="EX85" s="231">
        <v>4078</v>
      </c>
      <c r="EY85" s="229">
        <v>3.49E-2</v>
      </c>
      <c r="EZ85" s="229">
        <v>0.21479999999999999</v>
      </c>
      <c r="FA85" s="227" t="s">
        <v>567</v>
      </c>
      <c r="FB85" s="161">
        <f t="shared" si="1"/>
        <v>27300</v>
      </c>
    </row>
    <row r="86" spans="1:158" ht="17.25" hidden="1" thickBot="1" x14ac:dyDescent="0.3">
      <c r="A86" s="226">
        <v>46023</v>
      </c>
      <c r="B86" s="227" t="s">
        <v>175</v>
      </c>
      <c r="C86" s="227" t="s">
        <v>233</v>
      </c>
      <c r="D86" s="228">
        <v>925</v>
      </c>
      <c r="E86" s="228">
        <v>678.75</v>
      </c>
      <c r="F86" s="228">
        <v>671.1</v>
      </c>
      <c r="G86" s="228">
        <v>7.65</v>
      </c>
      <c r="H86" s="229">
        <v>1.14E-2</v>
      </c>
      <c r="I86" s="228">
        <v>674.3</v>
      </c>
      <c r="J86" s="228">
        <v>668.25</v>
      </c>
      <c r="K86" s="228">
        <v>6.05</v>
      </c>
      <c r="L86" s="229">
        <v>9.1000000000000004E-3</v>
      </c>
      <c r="M86" s="228">
        <v>678.75</v>
      </c>
      <c r="N86" s="228">
        <v>671.1</v>
      </c>
      <c r="O86" s="228">
        <v>7.65</v>
      </c>
      <c r="P86" s="229">
        <v>1.14E-2</v>
      </c>
      <c r="Q86" s="228">
        <v>682.45</v>
      </c>
      <c r="R86" s="228">
        <v>675.25</v>
      </c>
      <c r="S86" s="228">
        <v>7.2</v>
      </c>
      <c r="T86" s="229">
        <v>1.0699999999999999E-2</v>
      </c>
      <c r="U86" s="228">
        <v>684.7</v>
      </c>
      <c r="V86" s="228">
        <v>0</v>
      </c>
      <c r="W86" s="228">
        <v>684.7</v>
      </c>
      <c r="X86" s="229">
        <v>0</v>
      </c>
      <c r="Y86" s="228">
        <v>4.45</v>
      </c>
      <c r="Z86" s="228">
        <v>2.85</v>
      </c>
      <c r="AA86" s="228">
        <v>1.6</v>
      </c>
      <c r="AB86" s="229">
        <v>6.6E-3</v>
      </c>
      <c r="AC86" s="228">
        <v>4.45</v>
      </c>
      <c r="AD86" s="228">
        <v>2.85</v>
      </c>
      <c r="AE86" s="228">
        <v>1.6</v>
      </c>
      <c r="AF86" s="229">
        <v>6.6E-3</v>
      </c>
      <c r="AG86" s="228">
        <v>8.15</v>
      </c>
      <c r="AH86" s="228">
        <v>7</v>
      </c>
      <c r="AI86" s="228">
        <v>1.1499999999999999</v>
      </c>
      <c r="AJ86" s="229">
        <v>1.21E-2</v>
      </c>
      <c r="AK86" s="228">
        <v>10.4</v>
      </c>
      <c r="AL86" s="228">
        <v>0</v>
      </c>
      <c r="AM86" s="228">
        <v>10.4</v>
      </c>
      <c r="AN86" s="229">
        <v>1.54E-2</v>
      </c>
      <c r="AO86" s="228">
        <v>675.5</v>
      </c>
      <c r="AP86" s="228">
        <v>678.95</v>
      </c>
      <c r="AQ86" s="228">
        <v>0</v>
      </c>
      <c r="AR86" s="230">
        <v>976800</v>
      </c>
      <c r="AS86" s="230">
        <v>2425350</v>
      </c>
      <c r="AT86" s="230">
        <v>-1448550</v>
      </c>
      <c r="AU86" s="229">
        <v>-0.59730000000000005</v>
      </c>
      <c r="AV86" s="230">
        <v>937025</v>
      </c>
      <c r="AW86" s="230">
        <v>2344875</v>
      </c>
      <c r="AX86" s="230">
        <v>-1407850</v>
      </c>
      <c r="AY86" s="229">
        <v>-0.60040000000000004</v>
      </c>
      <c r="AZ86" s="230">
        <v>36075</v>
      </c>
      <c r="BA86" s="230">
        <v>80475</v>
      </c>
      <c r="BB86" s="230">
        <v>-44400</v>
      </c>
      <c r="BC86" s="229">
        <v>-0.55169999999999997</v>
      </c>
      <c r="BD86" s="230">
        <v>3700</v>
      </c>
      <c r="BE86" s="228">
        <v>0</v>
      </c>
      <c r="BF86" s="230">
        <v>3700</v>
      </c>
      <c r="BG86" s="229">
        <v>0</v>
      </c>
      <c r="BH86" s="230">
        <v>1224700</v>
      </c>
      <c r="BI86" s="230">
        <v>4039475</v>
      </c>
      <c r="BJ86" s="230">
        <v>-2814775</v>
      </c>
      <c r="BK86" s="229">
        <v>-0.69679999999999997</v>
      </c>
      <c r="BL86" s="230">
        <v>886150</v>
      </c>
      <c r="BM86" s="230">
        <v>1620600</v>
      </c>
      <c r="BN86" s="230">
        <v>-734450</v>
      </c>
      <c r="BO86" s="229">
        <v>-0.45319999999999999</v>
      </c>
      <c r="BP86" s="230">
        <v>3087650</v>
      </c>
      <c r="BQ86" s="230">
        <v>8085425</v>
      </c>
      <c r="BR86" s="230">
        <v>-4997775</v>
      </c>
      <c r="BS86" s="229">
        <v>-0.61809999999999998</v>
      </c>
      <c r="BT86" s="230">
        <v>407849</v>
      </c>
      <c r="BU86" s="230">
        <v>1607738</v>
      </c>
      <c r="BV86" s="230">
        <v>-1199889</v>
      </c>
      <c r="BW86" s="229">
        <v>-0.74629999999999996</v>
      </c>
      <c r="BX86" s="230">
        <v>16851650</v>
      </c>
      <c r="BY86" s="230">
        <v>16634275</v>
      </c>
      <c r="BZ86" s="230">
        <v>217375</v>
      </c>
      <c r="CA86" s="229">
        <v>1.3100000000000001E-2</v>
      </c>
      <c r="CB86" s="230">
        <v>16759150</v>
      </c>
      <c r="CC86" s="230">
        <v>16543625</v>
      </c>
      <c r="CD86" s="230">
        <v>215525</v>
      </c>
      <c r="CE86" s="229">
        <v>1.2999999999999999E-2</v>
      </c>
      <c r="CF86" s="230">
        <v>88800</v>
      </c>
      <c r="CG86" s="230">
        <v>90650</v>
      </c>
      <c r="CH86" s="230">
        <v>-1850</v>
      </c>
      <c r="CI86" s="229">
        <v>-2.0400000000000001E-2</v>
      </c>
      <c r="CJ86" s="230">
        <v>3700</v>
      </c>
      <c r="CK86" s="228">
        <v>0</v>
      </c>
      <c r="CL86" s="230">
        <v>3700</v>
      </c>
      <c r="CM86" s="229">
        <v>0</v>
      </c>
      <c r="CN86" s="230">
        <v>1827800</v>
      </c>
      <c r="CO86" s="230">
        <v>1813000</v>
      </c>
      <c r="CP86" s="230">
        <v>14800</v>
      </c>
      <c r="CQ86" s="229">
        <v>8.2000000000000007E-3</v>
      </c>
      <c r="CR86" s="230">
        <v>1941575</v>
      </c>
      <c r="CS86" s="230">
        <v>1702925</v>
      </c>
      <c r="CT86" s="230">
        <v>238650</v>
      </c>
      <c r="CU86" s="229">
        <v>0.1401</v>
      </c>
      <c r="CV86" s="230">
        <v>20621025</v>
      </c>
      <c r="CW86" s="230">
        <v>20150200</v>
      </c>
      <c r="CX86" s="230">
        <v>470825</v>
      </c>
      <c r="CY86" s="229">
        <v>2.3400000000000001E-2</v>
      </c>
      <c r="CZ86" s="228">
        <v>25.21</v>
      </c>
      <c r="DA86" s="228">
        <v>24.94</v>
      </c>
      <c r="DB86" s="228">
        <v>0.27</v>
      </c>
      <c r="DC86" s="228">
        <v>0.27</v>
      </c>
      <c r="DD86" s="228">
        <v>27.01</v>
      </c>
      <c r="DE86" s="228">
        <v>27.04</v>
      </c>
      <c r="DF86" s="228">
        <v>-1.8</v>
      </c>
      <c r="DG86" s="228">
        <v>-0.03</v>
      </c>
      <c r="DH86" s="228">
        <v>24.23</v>
      </c>
      <c r="DI86" s="228">
        <v>24.5</v>
      </c>
      <c r="DJ86" s="228">
        <v>-0.27</v>
      </c>
      <c r="DK86" s="228">
        <v>-0.27</v>
      </c>
      <c r="DL86" s="228">
        <v>26.57</v>
      </c>
      <c r="DM86" s="228">
        <v>26.04</v>
      </c>
      <c r="DN86" s="228">
        <v>0.53</v>
      </c>
      <c r="DO86" s="228">
        <v>0.53</v>
      </c>
      <c r="DP86" s="228">
        <v>1.06</v>
      </c>
      <c r="DQ86" s="228">
        <v>0.94</v>
      </c>
      <c r="DR86" s="228">
        <v>0.12</v>
      </c>
      <c r="DS86" s="229">
        <v>0.12770000000000001</v>
      </c>
      <c r="DT86" s="228">
        <v>670</v>
      </c>
      <c r="DU86" s="228">
        <v>620</v>
      </c>
      <c r="DV86" s="228">
        <v>0.72</v>
      </c>
      <c r="DW86" s="228">
        <v>0.4</v>
      </c>
      <c r="DX86" s="228">
        <v>0.32</v>
      </c>
      <c r="DY86" s="229">
        <v>0.8</v>
      </c>
      <c r="DZ86" s="229">
        <v>5.4999999999999997E-3</v>
      </c>
      <c r="EA86" s="230">
        <v>90650</v>
      </c>
      <c r="EB86" s="229">
        <v>5.4999999999999997E-3</v>
      </c>
      <c r="EC86" s="229">
        <v>5.4999999999999997E-3</v>
      </c>
      <c r="ED86" s="228">
        <v>3.45</v>
      </c>
      <c r="EE86" s="229">
        <v>5.1000000000000004E-3</v>
      </c>
      <c r="EF86" s="230">
        <v>191186</v>
      </c>
      <c r="EG86" s="230">
        <v>843235</v>
      </c>
      <c r="EH86" s="229">
        <v>-0.77329999999999999</v>
      </c>
      <c r="EI86" s="229">
        <v>0.46879999999999999</v>
      </c>
      <c r="EJ86" s="231">
        <v>8585.57</v>
      </c>
      <c r="EK86" s="231">
        <v>5764.12</v>
      </c>
      <c r="EL86" s="231">
        <v>6599.88</v>
      </c>
      <c r="EM86" s="231">
        <v>7690</v>
      </c>
      <c r="EN86" s="231">
        <v>20949.57</v>
      </c>
      <c r="EO86" s="231">
        <v>54639.42</v>
      </c>
      <c r="EP86" s="231">
        <v>-33689.85</v>
      </c>
      <c r="EQ86" s="229">
        <v>-0.61660000000000004</v>
      </c>
      <c r="ER86" s="231">
        <v>12397</v>
      </c>
      <c r="ES86" s="231">
        <v>12351</v>
      </c>
      <c r="ET86" s="231">
        <v>114384</v>
      </c>
      <c r="EU86" s="231">
        <v>58746582</v>
      </c>
      <c r="EV86" s="231">
        <v>139133</v>
      </c>
      <c r="EW86" s="231">
        <v>134708</v>
      </c>
      <c r="EX86" s="231">
        <v>4425</v>
      </c>
      <c r="EY86" s="229">
        <v>3.2800000000000003E-2</v>
      </c>
      <c r="EZ86" s="229">
        <v>0.35099999999999998</v>
      </c>
      <c r="FA86" s="227" t="s">
        <v>555</v>
      </c>
      <c r="FB86" s="161">
        <f t="shared" si="1"/>
        <v>92500</v>
      </c>
    </row>
    <row r="87" spans="1:158" ht="17.25" hidden="1" thickBot="1" x14ac:dyDescent="0.3">
      <c r="A87" s="226">
        <v>46023</v>
      </c>
      <c r="B87" s="227" t="s">
        <v>188</v>
      </c>
      <c r="C87" s="227" t="s">
        <v>234</v>
      </c>
      <c r="D87" s="228">
        <v>40000</v>
      </c>
      <c r="E87" s="228">
        <v>11.71</v>
      </c>
      <c r="F87" s="228">
        <v>10.83</v>
      </c>
      <c r="G87" s="228">
        <v>0.88</v>
      </c>
      <c r="H87" s="229">
        <v>8.1299999999999997E-2</v>
      </c>
      <c r="I87" s="228">
        <v>11.6</v>
      </c>
      <c r="J87" s="228">
        <v>10.76</v>
      </c>
      <c r="K87" s="228">
        <v>0.84</v>
      </c>
      <c r="L87" s="229">
        <v>7.8100000000000003E-2</v>
      </c>
      <c r="M87" s="228">
        <v>11.71</v>
      </c>
      <c r="N87" s="228">
        <v>10.83</v>
      </c>
      <c r="O87" s="228">
        <v>0.88</v>
      </c>
      <c r="P87" s="229">
        <v>8.1299999999999997E-2</v>
      </c>
      <c r="Q87" s="228">
        <v>11.78</v>
      </c>
      <c r="R87" s="228">
        <v>10.91</v>
      </c>
      <c r="S87" s="228">
        <v>0.87</v>
      </c>
      <c r="T87" s="229">
        <v>7.9699999999999993E-2</v>
      </c>
      <c r="U87" s="228">
        <v>11.86</v>
      </c>
      <c r="V87" s="228">
        <v>10.97</v>
      </c>
      <c r="W87" s="228">
        <v>0.89</v>
      </c>
      <c r="X87" s="229">
        <v>8.1100000000000005E-2</v>
      </c>
      <c r="Y87" s="228">
        <v>0.11</v>
      </c>
      <c r="Z87" s="228">
        <v>7.0000000000000007E-2</v>
      </c>
      <c r="AA87" s="228">
        <v>0.04</v>
      </c>
      <c r="AB87" s="229">
        <v>9.4999999999999998E-3</v>
      </c>
      <c r="AC87" s="228">
        <v>0.11</v>
      </c>
      <c r="AD87" s="228">
        <v>7.0000000000000007E-2</v>
      </c>
      <c r="AE87" s="228">
        <v>0.04</v>
      </c>
      <c r="AF87" s="229">
        <v>9.4999999999999998E-3</v>
      </c>
      <c r="AG87" s="228">
        <v>0.18</v>
      </c>
      <c r="AH87" s="228">
        <v>0.15</v>
      </c>
      <c r="AI87" s="228">
        <v>0.03</v>
      </c>
      <c r="AJ87" s="229">
        <v>1.55E-2</v>
      </c>
      <c r="AK87" s="228">
        <v>0.26</v>
      </c>
      <c r="AL87" s="228">
        <v>0.21</v>
      </c>
      <c r="AM87" s="228">
        <v>0.05</v>
      </c>
      <c r="AN87" s="229">
        <v>2.24E-2</v>
      </c>
      <c r="AO87" s="228">
        <v>20.66</v>
      </c>
      <c r="AP87" s="228">
        <v>11.61</v>
      </c>
      <c r="AQ87" s="228">
        <v>0</v>
      </c>
      <c r="AR87" s="230">
        <v>1472880000</v>
      </c>
      <c r="AS87" s="230">
        <v>3029120000</v>
      </c>
      <c r="AT87" s="230">
        <v>-1556240000</v>
      </c>
      <c r="AU87" s="229">
        <v>-0.51380000000000003</v>
      </c>
      <c r="AV87" s="230">
        <v>1346640000</v>
      </c>
      <c r="AW87" s="230">
        <v>2691680000</v>
      </c>
      <c r="AX87" s="230">
        <v>-1345040000</v>
      </c>
      <c r="AY87" s="229">
        <v>-0.49969999999999998</v>
      </c>
      <c r="AZ87" s="230">
        <v>102120000</v>
      </c>
      <c r="BA87" s="230">
        <v>297280000</v>
      </c>
      <c r="BB87" s="230">
        <v>-195160000</v>
      </c>
      <c r="BC87" s="229">
        <v>-0.65649999999999997</v>
      </c>
      <c r="BD87" s="230">
        <v>24120000</v>
      </c>
      <c r="BE87" s="230">
        <v>40160000</v>
      </c>
      <c r="BF87" s="230">
        <v>-16040000</v>
      </c>
      <c r="BG87" s="229">
        <v>-0.39939999999999998</v>
      </c>
      <c r="BH87" s="230">
        <v>2800080000</v>
      </c>
      <c r="BI87" s="230">
        <v>4551280000</v>
      </c>
      <c r="BJ87" s="230">
        <v>-1751200000</v>
      </c>
      <c r="BK87" s="229">
        <v>-0.38479999999999998</v>
      </c>
      <c r="BL87" s="230">
        <v>1325240000</v>
      </c>
      <c r="BM87" s="230">
        <v>2452080000</v>
      </c>
      <c r="BN87" s="230">
        <v>-1126840000</v>
      </c>
      <c r="BO87" s="229">
        <v>-0.45950000000000002</v>
      </c>
      <c r="BP87" s="230">
        <v>5598200000</v>
      </c>
      <c r="BQ87" s="230">
        <v>10032480000</v>
      </c>
      <c r="BR87" s="230">
        <v>-4434280000</v>
      </c>
      <c r="BS87" s="229">
        <v>-0.442</v>
      </c>
      <c r="BT87" s="230">
        <v>3249947846</v>
      </c>
      <c r="BU87" s="230">
        <v>3643571673</v>
      </c>
      <c r="BV87" s="230">
        <v>-393623827</v>
      </c>
      <c r="BW87" s="229">
        <v>-0.108</v>
      </c>
      <c r="BX87" s="230">
        <v>7062373275</v>
      </c>
      <c r="BY87" s="230">
        <v>6826434300</v>
      </c>
      <c r="BZ87" s="230">
        <v>235938975</v>
      </c>
      <c r="CA87" s="229">
        <v>3.4599999999999999E-2</v>
      </c>
      <c r="CB87" s="230">
        <v>6703711725</v>
      </c>
      <c r="CC87" s="230">
        <v>6490573275</v>
      </c>
      <c r="CD87" s="230">
        <v>213138450</v>
      </c>
      <c r="CE87" s="229">
        <v>3.2800000000000003E-2</v>
      </c>
      <c r="CF87" s="230">
        <v>326712225</v>
      </c>
      <c r="CG87" s="230">
        <v>313131975</v>
      </c>
      <c r="CH87" s="230">
        <v>13580250</v>
      </c>
      <c r="CI87" s="229">
        <v>4.3400000000000001E-2</v>
      </c>
      <c r="CJ87" s="230">
        <v>31949325</v>
      </c>
      <c r="CK87" s="230">
        <v>22729050</v>
      </c>
      <c r="CL87" s="230">
        <v>9220275</v>
      </c>
      <c r="CM87" s="229">
        <v>0.40570000000000001</v>
      </c>
      <c r="CN87" s="230">
        <v>2458311150</v>
      </c>
      <c r="CO87" s="230">
        <v>2352599625</v>
      </c>
      <c r="CP87" s="230">
        <v>105711525</v>
      </c>
      <c r="CQ87" s="229">
        <v>4.4900000000000002E-2</v>
      </c>
      <c r="CR87" s="230">
        <v>1497329775</v>
      </c>
      <c r="CS87" s="230">
        <v>1313781975</v>
      </c>
      <c r="CT87" s="230">
        <v>183547800</v>
      </c>
      <c r="CU87" s="229">
        <v>0.13969999999999999</v>
      </c>
      <c r="CV87" s="230">
        <v>11018014200</v>
      </c>
      <c r="CW87" s="230">
        <v>10492815900</v>
      </c>
      <c r="CX87" s="230">
        <v>525198300</v>
      </c>
      <c r="CY87" s="229">
        <v>5.0099999999999999E-2</v>
      </c>
      <c r="CZ87" s="228">
        <v>57.54</v>
      </c>
      <c r="DA87" s="228">
        <v>73.28</v>
      </c>
      <c r="DB87" s="228">
        <v>-15.74</v>
      </c>
      <c r="DC87" s="228">
        <v>-15.74</v>
      </c>
      <c r="DD87" s="228">
        <v>68.819999999999993</v>
      </c>
      <c r="DE87" s="228">
        <v>68.180000000000007</v>
      </c>
      <c r="DF87" s="228">
        <v>-11.28</v>
      </c>
      <c r="DG87" s="228">
        <v>0.64</v>
      </c>
      <c r="DH87" s="228">
        <v>57.71</v>
      </c>
      <c r="DI87" s="228">
        <v>74.42</v>
      </c>
      <c r="DJ87" s="228">
        <v>-16.71</v>
      </c>
      <c r="DK87" s="228">
        <v>-16.71</v>
      </c>
      <c r="DL87" s="228">
        <v>57.18</v>
      </c>
      <c r="DM87" s="228">
        <v>71.16</v>
      </c>
      <c r="DN87" s="228">
        <v>-13.98</v>
      </c>
      <c r="DO87" s="228">
        <v>-13.98</v>
      </c>
      <c r="DP87" s="228">
        <v>0.61</v>
      </c>
      <c r="DQ87" s="228">
        <v>0.56000000000000005</v>
      </c>
      <c r="DR87" s="228">
        <v>0.05</v>
      </c>
      <c r="DS87" s="229">
        <v>8.9300000000000004E-2</v>
      </c>
      <c r="DT87" s="228">
        <v>12</v>
      </c>
      <c r="DU87" s="228">
        <v>10</v>
      </c>
      <c r="DV87" s="228">
        <v>0.47</v>
      </c>
      <c r="DW87" s="228">
        <v>0.54</v>
      </c>
      <c r="DX87" s="228">
        <v>-7.0000000000000007E-2</v>
      </c>
      <c r="DY87" s="229">
        <v>-0.12959999999999999</v>
      </c>
      <c r="DZ87" s="229">
        <v>5.0799999999999998E-2</v>
      </c>
      <c r="EA87" s="230">
        <v>335861025</v>
      </c>
      <c r="EB87" s="229">
        <v>6.0000000000000001E-3</v>
      </c>
      <c r="EC87" s="229">
        <v>5.0799999999999998E-2</v>
      </c>
      <c r="ED87" s="228">
        <v>-9.0500000000000007</v>
      </c>
      <c r="EE87" s="229">
        <v>-0.438</v>
      </c>
      <c r="EF87" s="230">
        <v>426216392</v>
      </c>
      <c r="EG87" s="230">
        <v>674019228</v>
      </c>
      <c r="EH87" s="229">
        <v>-0.36759999999999998</v>
      </c>
      <c r="EI87" s="229">
        <v>0.13109999999999999</v>
      </c>
      <c r="EJ87" s="231">
        <v>674341.99</v>
      </c>
      <c r="EK87" s="231">
        <v>253893.08</v>
      </c>
      <c r="EL87" s="231">
        <v>304456.36</v>
      </c>
      <c r="EM87" s="231">
        <v>57329</v>
      </c>
      <c r="EN87" s="231">
        <v>1232691.43</v>
      </c>
      <c r="EO87" s="231">
        <v>2217585.4900000002</v>
      </c>
      <c r="EP87" s="231">
        <v>-984894.06</v>
      </c>
      <c r="EQ87" s="229">
        <v>-0.44409999999999999</v>
      </c>
      <c r="ER87" s="231">
        <v>320066</v>
      </c>
      <c r="ES87" s="231">
        <v>158115</v>
      </c>
      <c r="ET87" s="231">
        <v>827281</v>
      </c>
      <c r="EU87" s="231">
        <v>12037179660</v>
      </c>
      <c r="EV87" s="231">
        <v>1305462</v>
      </c>
      <c r="EW87" s="231">
        <v>1184578</v>
      </c>
      <c r="EX87" s="231">
        <v>120884</v>
      </c>
      <c r="EY87" s="229">
        <v>0.10199999999999999</v>
      </c>
      <c r="EZ87" s="229">
        <v>0.9153</v>
      </c>
      <c r="FA87" s="227" t="s">
        <v>555</v>
      </c>
      <c r="FB87" s="161">
        <f t="shared" si="1"/>
        <v>358661550</v>
      </c>
    </row>
    <row r="88" spans="1:158" ht="17.25" hidden="1" thickBot="1" x14ac:dyDescent="0.3">
      <c r="A88" s="226">
        <v>46023</v>
      </c>
      <c r="B88" s="227" t="s">
        <v>172</v>
      </c>
      <c r="C88" s="227" t="s">
        <v>235</v>
      </c>
      <c r="D88" s="228">
        <v>9275</v>
      </c>
      <c r="E88" s="228">
        <v>86.15</v>
      </c>
      <c r="F88" s="228">
        <v>85.9</v>
      </c>
      <c r="G88" s="228">
        <v>0.25</v>
      </c>
      <c r="H88" s="229">
        <v>2.8999999999999998E-3</v>
      </c>
      <c r="I88" s="228">
        <v>85.61</v>
      </c>
      <c r="J88" s="228">
        <v>85.61</v>
      </c>
      <c r="K88" s="228">
        <v>0</v>
      </c>
      <c r="L88" s="229">
        <v>0</v>
      </c>
      <c r="M88" s="228">
        <v>86.15</v>
      </c>
      <c r="N88" s="228">
        <v>85.9</v>
      </c>
      <c r="O88" s="228">
        <v>0.25</v>
      </c>
      <c r="P88" s="229">
        <v>2.8999999999999998E-3</v>
      </c>
      <c r="Q88" s="228">
        <v>86.7</v>
      </c>
      <c r="R88" s="228">
        <v>86.36</v>
      </c>
      <c r="S88" s="228">
        <v>0.34</v>
      </c>
      <c r="T88" s="229">
        <v>3.8999999999999998E-3</v>
      </c>
      <c r="U88" s="228">
        <v>87.28</v>
      </c>
      <c r="V88" s="228">
        <v>86.89</v>
      </c>
      <c r="W88" s="228">
        <v>0.39</v>
      </c>
      <c r="X88" s="229">
        <v>4.4999999999999997E-3</v>
      </c>
      <c r="Y88" s="228">
        <v>0.54</v>
      </c>
      <c r="Z88" s="228">
        <v>0.28999999999999998</v>
      </c>
      <c r="AA88" s="228">
        <v>0.25</v>
      </c>
      <c r="AB88" s="229">
        <v>6.3E-3</v>
      </c>
      <c r="AC88" s="228">
        <v>0.54</v>
      </c>
      <c r="AD88" s="228">
        <v>0.28999999999999998</v>
      </c>
      <c r="AE88" s="228">
        <v>0.25</v>
      </c>
      <c r="AF88" s="229">
        <v>6.3E-3</v>
      </c>
      <c r="AG88" s="228">
        <v>1.0900000000000001</v>
      </c>
      <c r="AH88" s="228">
        <v>0.75</v>
      </c>
      <c r="AI88" s="228">
        <v>0.34</v>
      </c>
      <c r="AJ88" s="229">
        <v>1.2699999999999999E-2</v>
      </c>
      <c r="AK88" s="228">
        <v>1.67</v>
      </c>
      <c r="AL88" s="228">
        <v>1.28</v>
      </c>
      <c r="AM88" s="228">
        <v>0.39</v>
      </c>
      <c r="AN88" s="229">
        <v>1.95E-2</v>
      </c>
      <c r="AO88" s="228">
        <v>85.78</v>
      </c>
      <c r="AP88" s="228">
        <v>86.24</v>
      </c>
      <c r="AQ88" s="228">
        <v>0</v>
      </c>
      <c r="AR88" s="230">
        <v>30236500</v>
      </c>
      <c r="AS88" s="230">
        <v>49982975</v>
      </c>
      <c r="AT88" s="230">
        <v>-19746475</v>
      </c>
      <c r="AU88" s="229">
        <v>-0.39510000000000001</v>
      </c>
      <c r="AV88" s="230">
        <v>28455700</v>
      </c>
      <c r="AW88" s="230">
        <v>47450900</v>
      </c>
      <c r="AX88" s="230">
        <v>-18995200</v>
      </c>
      <c r="AY88" s="229">
        <v>-0.40029999999999999</v>
      </c>
      <c r="AZ88" s="230">
        <v>1354150</v>
      </c>
      <c r="BA88" s="230">
        <v>2198175</v>
      </c>
      <c r="BB88" s="230">
        <v>-844025</v>
      </c>
      <c r="BC88" s="229">
        <v>-0.38400000000000001</v>
      </c>
      <c r="BD88" s="230">
        <v>426650</v>
      </c>
      <c r="BE88" s="230">
        <v>333900</v>
      </c>
      <c r="BF88" s="230">
        <v>92750</v>
      </c>
      <c r="BG88" s="229">
        <v>0.27779999999999999</v>
      </c>
      <c r="BH88" s="230">
        <v>40058725</v>
      </c>
      <c r="BI88" s="230">
        <v>85292900</v>
      </c>
      <c r="BJ88" s="230">
        <v>-45234175</v>
      </c>
      <c r="BK88" s="229">
        <v>-0.53029999999999999</v>
      </c>
      <c r="BL88" s="230">
        <v>21165550</v>
      </c>
      <c r="BM88" s="230">
        <v>47005700</v>
      </c>
      <c r="BN88" s="230">
        <v>-25840150</v>
      </c>
      <c r="BO88" s="229">
        <v>-0.54969999999999997</v>
      </c>
      <c r="BP88" s="230">
        <v>91460775</v>
      </c>
      <c r="BQ88" s="230">
        <v>182281575</v>
      </c>
      <c r="BR88" s="230">
        <v>-90820800</v>
      </c>
      <c r="BS88" s="229">
        <v>-0.49819999999999998</v>
      </c>
      <c r="BT88" s="230">
        <v>12038591</v>
      </c>
      <c r="BU88" s="230">
        <v>20732248</v>
      </c>
      <c r="BV88" s="230">
        <v>-8693657</v>
      </c>
      <c r="BW88" s="229">
        <v>-0.41930000000000001</v>
      </c>
      <c r="BX88" s="230">
        <v>316546475</v>
      </c>
      <c r="BY88" s="230">
        <v>320636750</v>
      </c>
      <c r="BZ88" s="230">
        <v>-4090275</v>
      </c>
      <c r="CA88" s="229">
        <v>-1.2800000000000001E-2</v>
      </c>
      <c r="CB88" s="230">
        <v>305314450</v>
      </c>
      <c r="CC88" s="230">
        <v>309859200</v>
      </c>
      <c r="CD88" s="230">
        <v>-4544750</v>
      </c>
      <c r="CE88" s="229">
        <v>-1.47E-2</v>
      </c>
      <c r="CF88" s="230">
        <v>10916675</v>
      </c>
      <c r="CG88" s="230">
        <v>10582775</v>
      </c>
      <c r="CH88" s="230">
        <v>333900</v>
      </c>
      <c r="CI88" s="229">
        <v>3.1600000000000003E-2</v>
      </c>
      <c r="CJ88" s="230">
        <v>315350</v>
      </c>
      <c r="CK88" s="230">
        <v>194775</v>
      </c>
      <c r="CL88" s="230">
        <v>120575</v>
      </c>
      <c r="CM88" s="229">
        <v>0.61899999999999999</v>
      </c>
      <c r="CN88" s="230">
        <v>79616600</v>
      </c>
      <c r="CO88" s="230">
        <v>75517050</v>
      </c>
      <c r="CP88" s="230">
        <v>4099550</v>
      </c>
      <c r="CQ88" s="229">
        <v>5.4300000000000001E-2</v>
      </c>
      <c r="CR88" s="230">
        <v>51513350</v>
      </c>
      <c r="CS88" s="230">
        <v>49574875</v>
      </c>
      <c r="CT88" s="230">
        <v>1938475</v>
      </c>
      <c r="CU88" s="229">
        <v>3.9100000000000003E-2</v>
      </c>
      <c r="CV88" s="230">
        <v>447676425</v>
      </c>
      <c r="CW88" s="230">
        <v>445728675</v>
      </c>
      <c r="CX88" s="230">
        <v>1947750</v>
      </c>
      <c r="CY88" s="229">
        <v>4.4000000000000003E-3</v>
      </c>
      <c r="CZ88" s="228">
        <v>22.98</v>
      </c>
      <c r="DA88" s="228">
        <v>23.55</v>
      </c>
      <c r="DB88" s="228">
        <v>-0.56999999999999995</v>
      </c>
      <c r="DC88" s="228">
        <v>-0.56999999999999995</v>
      </c>
      <c r="DD88" s="228">
        <v>32.479999999999997</v>
      </c>
      <c r="DE88" s="228">
        <v>32.56</v>
      </c>
      <c r="DF88" s="228">
        <v>-9.5</v>
      </c>
      <c r="DG88" s="228">
        <v>-0.08</v>
      </c>
      <c r="DH88" s="228">
        <v>22.82</v>
      </c>
      <c r="DI88" s="228">
        <v>23.5</v>
      </c>
      <c r="DJ88" s="228">
        <v>-0.68</v>
      </c>
      <c r="DK88" s="228">
        <v>-0.68</v>
      </c>
      <c r="DL88" s="228">
        <v>23.28</v>
      </c>
      <c r="DM88" s="228">
        <v>23.64</v>
      </c>
      <c r="DN88" s="228">
        <v>-0.36</v>
      </c>
      <c r="DO88" s="228">
        <v>-0.36</v>
      </c>
      <c r="DP88" s="228">
        <v>0.65</v>
      </c>
      <c r="DQ88" s="228">
        <v>0.66</v>
      </c>
      <c r="DR88" s="228">
        <v>-0.01</v>
      </c>
      <c r="DS88" s="229">
        <v>-1.52E-2</v>
      </c>
      <c r="DT88" s="228">
        <v>90</v>
      </c>
      <c r="DU88" s="228">
        <v>85</v>
      </c>
      <c r="DV88" s="228">
        <v>0.53</v>
      </c>
      <c r="DW88" s="228">
        <v>0.55000000000000004</v>
      </c>
      <c r="DX88" s="228">
        <v>-0.02</v>
      </c>
      <c r="DY88" s="229">
        <v>-3.6400000000000002E-2</v>
      </c>
      <c r="DZ88" s="229">
        <v>3.5499999999999997E-2</v>
      </c>
      <c r="EA88" s="230">
        <v>10777550</v>
      </c>
      <c r="EB88" s="229">
        <v>6.4000000000000003E-3</v>
      </c>
      <c r="EC88" s="229">
        <v>3.5499999999999997E-2</v>
      </c>
      <c r="ED88" s="228">
        <v>0.46</v>
      </c>
      <c r="EE88" s="229">
        <v>5.4000000000000003E-3</v>
      </c>
      <c r="EF88" s="230">
        <v>6511911</v>
      </c>
      <c r="EG88" s="230">
        <v>10814505</v>
      </c>
      <c r="EH88" s="229">
        <v>-0.39789999999999998</v>
      </c>
      <c r="EI88" s="229">
        <v>0.54090000000000005</v>
      </c>
      <c r="EJ88" s="231">
        <v>35881.230000000003</v>
      </c>
      <c r="EK88" s="231">
        <v>17862.189999999999</v>
      </c>
      <c r="EL88" s="231">
        <v>25947.23</v>
      </c>
      <c r="EM88" s="231">
        <v>15718</v>
      </c>
      <c r="EN88" s="231">
        <v>79690.649999999994</v>
      </c>
      <c r="EO88" s="231">
        <v>159108.96</v>
      </c>
      <c r="EP88" s="231">
        <v>-79418.31</v>
      </c>
      <c r="EQ88" s="229">
        <v>-0.49909999999999999</v>
      </c>
      <c r="ER88" s="231">
        <v>70009</v>
      </c>
      <c r="ES88" s="231">
        <v>42258</v>
      </c>
      <c r="ET88" s="231">
        <v>272768</v>
      </c>
      <c r="EU88" s="231">
        <v>936861183</v>
      </c>
      <c r="EV88" s="231">
        <v>385035</v>
      </c>
      <c r="EW88" s="231">
        <v>382428</v>
      </c>
      <c r="EX88" s="231">
        <v>2607</v>
      </c>
      <c r="EY88" s="229">
        <v>6.7999999999999996E-3</v>
      </c>
      <c r="EZ88" s="229">
        <v>0.4778</v>
      </c>
      <c r="FA88" s="227" t="s">
        <v>556</v>
      </c>
      <c r="FB88" s="161">
        <f t="shared" si="1"/>
        <v>11232025</v>
      </c>
    </row>
    <row r="89" spans="1:158" ht="17.25" hidden="1" thickBot="1" x14ac:dyDescent="0.3">
      <c r="A89" s="226">
        <v>46023</v>
      </c>
      <c r="B89" s="227" t="s">
        <v>161</v>
      </c>
      <c r="C89" s="227" t="s">
        <v>514</v>
      </c>
      <c r="D89" s="228">
        <v>3750</v>
      </c>
      <c r="E89" s="228">
        <v>133.53</v>
      </c>
      <c r="F89" s="228">
        <v>134.57</v>
      </c>
      <c r="G89" s="228">
        <v>-1.04</v>
      </c>
      <c r="H89" s="229">
        <v>-7.7000000000000002E-3</v>
      </c>
      <c r="I89" s="228">
        <v>133.38999999999999</v>
      </c>
      <c r="J89" s="228">
        <v>134.22</v>
      </c>
      <c r="K89" s="228">
        <v>-0.83</v>
      </c>
      <c r="L89" s="229">
        <v>-6.1999999999999998E-3</v>
      </c>
      <c r="M89" s="228">
        <v>133.53</v>
      </c>
      <c r="N89" s="228">
        <v>134.57</v>
      </c>
      <c r="O89" s="228">
        <v>-1.04</v>
      </c>
      <c r="P89" s="229">
        <v>-7.7000000000000002E-3</v>
      </c>
      <c r="Q89" s="228">
        <v>133.57</v>
      </c>
      <c r="R89" s="228">
        <v>134.47</v>
      </c>
      <c r="S89" s="228">
        <v>-0.9</v>
      </c>
      <c r="T89" s="229">
        <v>-6.7000000000000002E-3</v>
      </c>
      <c r="U89" s="228">
        <v>134.38</v>
      </c>
      <c r="V89" s="228">
        <v>135.41</v>
      </c>
      <c r="W89" s="228">
        <v>-1.03</v>
      </c>
      <c r="X89" s="229">
        <v>-7.6E-3</v>
      </c>
      <c r="Y89" s="228">
        <v>0.14000000000000001</v>
      </c>
      <c r="Z89" s="228">
        <v>0.35</v>
      </c>
      <c r="AA89" s="228">
        <v>-0.21</v>
      </c>
      <c r="AB89" s="229">
        <v>1E-3</v>
      </c>
      <c r="AC89" s="228">
        <v>0.14000000000000001</v>
      </c>
      <c r="AD89" s="228">
        <v>0.35</v>
      </c>
      <c r="AE89" s="228">
        <v>-0.21</v>
      </c>
      <c r="AF89" s="229">
        <v>1E-3</v>
      </c>
      <c r="AG89" s="228">
        <v>0.18</v>
      </c>
      <c r="AH89" s="228">
        <v>0.25</v>
      </c>
      <c r="AI89" s="228">
        <v>-7.0000000000000007E-2</v>
      </c>
      <c r="AJ89" s="229">
        <v>1.2999999999999999E-3</v>
      </c>
      <c r="AK89" s="228">
        <v>0.99</v>
      </c>
      <c r="AL89" s="228">
        <v>1.19</v>
      </c>
      <c r="AM89" s="228">
        <v>-0.2</v>
      </c>
      <c r="AN89" s="229">
        <v>7.4000000000000003E-3</v>
      </c>
      <c r="AO89" s="228">
        <v>133.88</v>
      </c>
      <c r="AP89" s="228">
        <v>133.71</v>
      </c>
      <c r="AQ89" s="228">
        <v>0</v>
      </c>
      <c r="AR89" s="230">
        <v>5988750</v>
      </c>
      <c r="AS89" s="230">
        <v>8737500</v>
      </c>
      <c r="AT89" s="230">
        <v>-2748750</v>
      </c>
      <c r="AU89" s="229">
        <v>-0.31459999999999999</v>
      </c>
      <c r="AV89" s="230">
        <v>5576250</v>
      </c>
      <c r="AW89" s="230">
        <v>8141250</v>
      </c>
      <c r="AX89" s="230">
        <v>-2565000</v>
      </c>
      <c r="AY89" s="229">
        <v>-0.31509999999999999</v>
      </c>
      <c r="AZ89" s="230">
        <v>345000</v>
      </c>
      <c r="BA89" s="230">
        <v>577500</v>
      </c>
      <c r="BB89" s="230">
        <v>-232500</v>
      </c>
      <c r="BC89" s="229">
        <v>-0.40260000000000001</v>
      </c>
      <c r="BD89" s="230">
        <v>67500</v>
      </c>
      <c r="BE89" s="230">
        <v>18750</v>
      </c>
      <c r="BF89" s="230">
        <v>48750</v>
      </c>
      <c r="BG89" s="229">
        <v>2.6</v>
      </c>
      <c r="BH89" s="230">
        <v>14812500</v>
      </c>
      <c r="BI89" s="230">
        <v>23355000</v>
      </c>
      <c r="BJ89" s="230">
        <v>-8542500</v>
      </c>
      <c r="BK89" s="229">
        <v>-0.36580000000000001</v>
      </c>
      <c r="BL89" s="230">
        <v>5055000</v>
      </c>
      <c r="BM89" s="230">
        <v>8752500</v>
      </c>
      <c r="BN89" s="230">
        <v>-3697500</v>
      </c>
      <c r="BO89" s="229">
        <v>-0.42249999999999999</v>
      </c>
      <c r="BP89" s="230">
        <v>25856250</v>
      </c>
      <c r="BQ89" s="230">
        <v>40845000</v>
      </c>
      <c r="BR89" s="230">
        <v>-14988750</v>
      </c>
      <c r="BS89" s="229">
        <v>-0.36699999999999999</v>
      </c>
      <c r="BT89" s="230">
        <v>2962814</v>
      </c>
      <c r="BU89" s="230">
        <v>4712403</v>
      </c>
      <c r="BV89" s="230">
        <v>-1749589</v>
      </c>
      <c r="BW89" s="229">
        <v>-0.37130000000000002</v>
      </c>
      <c r="BX89" s="230">
        <v>60405000</v>
      </c>
      <c r="BY89" s="230">
        <v>60172500</v>
      </c>
      <c r="BZ89" s="230">
        <v>232500</v>
      </c>
      <c r="CA89" s="229">
        <v>3.8999999999999998E-3</v>
      </c>
      <c r="CB89" s="230">
        <v>56763750</v>
      </c>
      <c r="CC89" s="230">
        <v>56722500</v>
      </c>
      <c r="CD89" s="230">
        <v>41250</v>
      </c>
      <c r="CE89" s="229">
        <v>6.9999999999999999E-4</v>
      </c>
      <c r="CF89" s="230">
        <v>3555000</v>
      </c>
      <c r="CG89" s="230">
        <v>3431250</v>
      </c>
      <c r="CH89" s="230">
        <v>123750</v>
      </c>
      <c r="CI89" s="229">
        <v>3.61E-2</v>
      </c>
      <c r="CJ89" s="230">
        <v>86250</v>
      </c>
      <c r="CK89" s="230">
        <v>18750</v>
      </c>
      <c r="CL89" s="230">
        <v>67500</v>
      </c>
      <c r="CM89" s="229">
        <v>3.6</v>
      </c>
      <c r="CN89" s="230">
        <v>33551250</v>
      </c>
      <c r="CO89" s="230">
        <v>30270000</v>
      </c>
      <c r="CP89" s="230">
        <v>3281250</v>
      </c>
      <c r="CQ89" s="229">
        <v>0.1084</v>
      </c>
      <c r="CR89" s="230">
        <v>24315000</v>
      </c>
      <c r="CS89" s="230">
        <v>23512500</v>
      </c>
      <c r="CT89" s="230">
        <v>802500</v>
      </c>
      <c r="CU89" s="229">
        <v>3.4099999999999998E-2</v>
      </c>
      <c r="CV89" s="230">
        <v>118271250</v>
      </c>
      <c r="CW89" s="230">
        <v>113955000</v>
      </c>
      <c r="CX89" s="230">
        <v>4316250</v>
      </c>
      <c r="CY89" s="229">
        <v>3.7900000000000003E-2</v>
      </c>
      <c r="CZ89" s="228">
        <v>38.06</v>
      </c>
      <c r="DA89" s="228">
        <v>37.049999999999997</v>
      </c>
      <c r="DB89" s="228">
        <v>1.01</v>
      </c>
      <c r="DC89" s="228">
        <v>1.01</v>
      </c>
      <c r="DD89" s="228">
        <v>52.43</v>
      </c>
      <c r="DE89" s="228">
        <v>52.55</v>
      </c>
      <c r="DF89" s="228">
        <v>-14.37</v>
      </c>
      <c r="DG89" s="228">
        <v>-0.12</v>
      </c>
      <c r="DH89" s="228">
        <v>38.590000000000003</v>
      </c>
      <c r="DI89" s="228">
        <v>37.29</v>
      </c>
      <c r="DJ89" s="228">
        <v>1.3</v>
      </c>
      <c r="DK89" s="228">
        <v>1.3</v>
      </c>
      <c r="DL89" s="228">
        <v>36.51</v>
      </c>
      <c r="DM89" s="228">
        <v>36.39</v>
      </c>
      <c r="DN89" s="228">
        <v>0.12</v>
      </c>
      <c r="DO89" s="228">
        <v>0.12</v>
      </c>
      <c r="DP89" s="228">
        <v>0.72</v>
      </c>
      <c r="DQ89" s="228">
        <v>0.78</v>
      </c>
      <c r="DR89" s="228">
        <v>-0.06</v>
      </c>
      <c r="DS89" s="229">
        <v>-7.6899999999999996E-2</v>
      </c>
      <c r="DT89" s="228">
        <v>140</v>
      </c>
      <c r="DU89" s="228">
        <v>135</v>
      </c>
      <c r="DV89" s="228">
        <v>0.34</v>
      </c>
      <c r="DW89" s="228">
        <v>0.37</v>
      </c>
      <c r="DX89" s="228">
        <v>-0.03</v>
      </c>
      <c r="DY89" s="229">
        <v>-8.1100000000000005E-2</v>
      </c>
      <c r="DZ89" s="229">
        <v>6.0299999999999999E-2</v>
      </c>
      <c r="EA89" s="230">
        <v>3450000</v>
      </c>
      <c r="EB89" s="229">
        <v>2.9999999999999997E-4</v>
      </c>
      <c r="EC89" s="229">
        <v>6.0299999999999999E-2</v>
      </c>
      <c r="ED89" s="228">
        <v>-0.17</v>
      </c>
      <c r="EE89" s="229">
        <v>-1.2999999999999999E-3</v>
      </c>
      <c r="EF89" s="230">
        <v>1132212</v>
      </c>
      <c r="EG89" s="230">
        <v>2167267</v>
      </c>
      <c r="EH89" s="229">
        <v>-0.47760000000000002</v>
      </c>
      <c r="EI89" s="229">
        <v>0.3821</v>
      </c>
      <c r="EJ89" s="231">
        <v>21639.3</v>
      </c>
      <c r="EK89" s="231">
        <v>6675.71</v>
      </c>
      <c r="EL89" s="231">
        <v>8017.4</v>
      </c>
      <c r="EM89" s="231">
        <v>9568</v>
      </c>
      <c r="EN89" s="231">
        <v>36332.410000000003</v>
      </c>
      <c r="EO89" s="231">
        <v>57573.54</v>
      </c>
      <c r="EP89" s="231">
        <v>-21241.13</v>
      </c>
      <c r="EQ89" s="229">
        <v>-0.36890000000000001</v>
      </c>
      <c r="ER89" s="231">
        <v>48893</v>
      </c>
      <c r="ES89" s="231">
        <v>32769</v>
      </c>
      <c r="ET89" s="231">
        <v>80661</v>
      </c>
      <c r="EU89" s="231">
        <v>133395043</v>
      </c>
      <c r="EV89" s="231">
        <v>162323</v>
      </c>
      <c r="EW89" s="231">
        <v>156809</v>
      </c>
      <c r="EX89" s="231">
        <v>5514</v>
      </c>
      <c r="EY89" s="229">
        <v>3.5200000000000002E-2</v>
      </c>
      <c r="EZ89" s="229">
        <v>0.88660000000000005</v>
      </c>
      <c r="FA89" s="227" t="s">
        <v>567</v>
      </c>
      <c r="FB89" s="161">
        <f t="shared" si="1"/>
        <v>3641250</v>
      </c>
    </row>
    <row r="90" spans="1:158" ht="17.25" hidden="1" thickBot="1" x14ac:dyDescent="0.3">
      <c r="A90" s="226">
        <v>46023</v>
      </c>
      <c r="B90" s="227" t="s">
        <v>175</v>
      </c>
      <c r="C90" s="227" t="s">
        <v>666</v>
      </c>
      <c r="D90" s="228">
        <v>1650</v>
      </c>
      <c r="E90" s="228">
        <v>621.6</v>
      </c>
      <c r="F90" s="228">
        <v>611.35</v>
      </c>
      <c r="G90" s="228">
        <v>10.25</v>
      </c>
      <c r="H90" s="229">
        <v>1.6799999999999999E-2</v>
      </c>
      <c r="I90" s="228">
        <v>620.45000000000005</v>
      </c>
      <c r="J90" s="228">
        <v>610.5</v>
      </c>
      <c r="K90" s="228">
        <v>9.9499999999999993</v>
      </c>
      <c r="L90" s="229">
        <v>1.6299999999999999E-2</v>
      </c>
      <c r="M90" s="228">
        <v>621.6</v>
      </c>
      <c r="N90" s="228">
        <v>611.35</v>
      </c>
      <c r="O90" s="228">
        <v>10.25</v>
      </c>
      <c r="P90" s="229">
        <v>1.6799999999999999E-2</v>
      </c>
      <c r="Q90" s="228">
        <v>0</v>
      </c>
      <c r="R90" s="228">
        <v>0</v>
      </c>
      <c r="S90" s="228">
        <v>0</v>
      </c>
      <c r="T90" s="229">
        <v>0</v>
      </c>
      <c r="U90" s="228">
        <v>0</v>
      </c>
      <c r="V90" s="228">
        <v>0</v>
      </c>
      <c r="W90" s="228">
        <v>0</v>
      </c>
      <c r="X90" s="229">
        <v>0</v>
      </c>
      <c r="Y90" s="228">
        <v>1.1499999999999999</v>
      </c>
      <c r="Z90" s="228">
        <v>0.85</v>
      </c>
      <c r="AA90" s="228">
        <v>0.3</v>
      </c>
      <c r="AB90" s="229">
        <v>1.9E-3</v>
      </c>
      <c r="AC90" s="228">
        <v>1.1499999999999999</v>
      </c>
      <c r="AD90" s="228">
        <v>0.85</v>
      </c>
      <c r="AE90" s="228">
        <v>0.3</v>
      </c>
      <c r="AF90" s="229">
        <v>1.9E-3</v>
      </c>
      <c r="AG90" s="228">
        <v>0</v>
      </c>
      <c r="AH90" s="228">
        <v>0</v>
      </c>
      <c r="AI90" s="228">
        <v>0</v>
      </c>
      <c r="AJ90" s="229">
        <v>0</v>
      </c>
      <c r="AK90" s="228">
        <v>0</v>
      </c>
      <c r="AL90" s="228">
        <v>0</v>
      </c>
      <c r="AM90" s="228">
        <v>0</v>
      </c>
      <c r="AN90" s="229">
        <v>0</v>
      </c>
      <c r="AO90" s="228">
        <v>617.94000000000005</v>
      </c>
      <c r="AP90" s="228">
        <v>0</v>
      </c>
      <c r="AQ90" s="228">
        <v>0</v>
      </c>
      <c r="AR90" s="230">
        <v>2387550</v>
      </c>
      <c r="AS90" s="230">
        <v>3399000</v>
      </c>
      <c r="AT90" s="230">
        <v>-1011450</v>
      </c>
      <c r="AU90" s="229">
        <v>-0.29759999999999998</v>
      </c>
      <c r="AV90" s="230">
        <v>2387550</v>
      </c>
      <c r="AW90" s="230">
        <v>3399000</v>
      </c>
      <c r="AX90" s="230">
        <v>-1011450</v>
      </c>
      <c r="AY90" s="229">
        <v>-0.29759999999999998</v>
      </c>
      <c r="AZ90" s="228">
        <v>0</v>
      </c>
      <c r="BA90" s="228">
        <v>0</v>
      </c>
      <c r="BB90" s="228">
        <v>0</v>
      </c>
      <c r="BC90" s="229">
        <v>0</v>
      </c>
      <c r="BD90" s="228">
        <v>0</v>
      </c>
      <c r="BE90" s="228">
        <v>0</v>
      </c>
      <c r="BF90" s="228">
        <v>0</v>
      </c>
      <c r="BG90" s="229">
        <v>0</v>
      </c>
      <c r="BH90" s="230">
        <v>5959800</v>
      </c>
      <c r="BI90" s="230">
        <v>8050350</v>
      </c>
      <c r="BJ90" s="230">
        <v>-2090550</v>
      </c>
      <c r="BK90" s="229">
        <v>-0.25969999999999999</v>
      </c>
      <c r="BL90" s="230">
        <v>3024450</v>
      </c>
      <c r="BM90" s="230">
        <v>2310000</v>
      </c>
      <c r="BN90" s="230">
        <v>714450</v>
      </c>
      <c r="BO90" s="229">
        <v>0.30930000000000002</v>
      </c>
      <c r="BP90" s="230">
        <v>11371800</v>
      </c>
      <c r="BQ90" s="230">
        <v>13759350</v>
      </c>
      <c r="BR90" s="230">
        <v>-2387550</v>
      </c>
      <c r="BS90" s="229">
        <v>-0.17349999999999999</v>
      </c>
      <c r="BT90" s="230">
        <v>1071932</v>
      </c>
      <c r="BU90" s="230">
        <v>1438771</v>
      </c>
      <c r="BV90" s="230">
        <v>-366839</v>
      </c>
      <c r="BW90" s="229">
        <v>-0.255</v>
      </c>
      <c r="BX90" s="230">
        <v>13272600</v>
      </c>
      <c r="BY90" s="230">
        <v>13251150</v>
      </c>
      <c r="BZ90" s="230">
        <v>21450</v>
      </c>
      <c r="CA90" s="229">
        <v>1.6000000000000001E-3</v>
      </c>
      <c r="CB90" s="230">
        <v>13272600</v>
      </c>
      <c r="CC90" s="230">
        <v>13251150</v>
      </c>
      <c r="CD90" s="230">
        <v>21450</v>
      </c>
      <c r="CE90" s="229">
        <v>1.6000000000000001E-3</v>
      </c>
      <c r="CF90" s="228">
        <v>0</v>
      </c>
      <c r="CG90" s="228">
        <v>0</v>
      </c>
      <c r="CH90" s="228">
        <v>0</v>
      </c>
      <c r="CI90" s="229">
        <v>0</v>
      </c>
      <c r="CJ90" s="228">
        <v>0</v>
      </c>
      <c r="CK90" s="228">
        <v>0</v>
      </c>
      <c r="CL90" s="228">
        <v>0</v>
      </c>
      <c r="CM90" s="229">
        <v>0</v>
      </c>
      <c r="CN90" s="230">
        <v>3204300</v>
      </c>
      <c r="CO90" s="230">
        <v>3334650</v>
      </c>
      <c r="CP90" s="230">
        <v>-130350</v>
      </c>
      <c r="CQ90" s="229">
        <v>-3.9100000000000003E-2</v>
      </c>
      <c r="CR90" s="230">
        <v>3135000</v>
      </c>
      <c r="CS90" s="230">
        <v>2671350</v>
      </c>
      <c r="CT90" s="230">
        <v>463650</v>
      </c>
      <c r="CU90" s="229">
        <v>0.1736</v>
      </c>
      <c r="CV90" s="230">
        <v>19611900</v>
      </c>
      <c r="CW90" s="230">
        <v>19257150</v>
      </c>
      <c r="CX90" s="230">
        <v>354750</v>
      </c>
      <c r="CY90" s="229">
        <v>1.84E-2</v>
      </c>
      <c r="CZ90" s="228">
        <v>30.18</v>
      </c>
      <c r="DA90" s="228">
        <v>31.62</v>
      </c>
      <c r="DB90" s="228">
        <v>-1.44</v>
      </c>
      <c r="DC90" s="228">
        <v>-1.44</v>
      </c>
      <c r="DD90" s="228">
        <v>48.78</v>
      </c>
      <c r="DE90" s="228">
        <v>48.85</v>
      </c>
      <c r="DF90" s="228">
        <v>-18.600000000000001</v>
      </c>
      <c r="DG90" s="228">
        <v>-7.0000000000000007E-2</v>
      </c>
      <c r="DH90" s="228">
        <v>29.72</v>
      </c>
      <c r="DI90" s="228">
        <v>31.54</v>
      </c>
      <c r="DJ90" s="228">
        <v>-1.82</v>
      </c>
      <c r="DK90" s="228">
        <v>-1.82</v>
      </c>
      <c r="DL90" s="228">
        <v>31.1</v>
      </c>
      <c r="DM90" s="228">
        <v>31.88</v>
      </c>
      <c r="DN90" s="228">
        <v>-0.78</v>
      </c>
      <c r="DO90" s="228">
        <v>-0.78</v>
      </c>
      <c r="DP90" s="228">
        <v>0.98</v>
      </c>
      <c r="DQ90" s="228">
        <v>0.8</v>
      </c>
      <c r="DR90" s="228">
        <v>0.18</v>
      </c>
      <c r="DS90" s="229">
        <v>0.22500000000000001</v>
      </c>
      <c r="DT90" s="228">
        <v>600</v>
      </c>
      <c r="DU90" s="228">
        <v>600</v>
      </c>
      <c r="DV90" s="228">
        <v>0.51</v>
      </c>
      <c r="DW90" s="228">
        <v>0.28999999999999998</v>
      </c>
      <c r="DX90" s="228">
        <v>0.22</v>
      </c>
      <c r="DY90" s="229">
        <v>0.75860000000000005</v>
      </c>
      <c r="DZ90" s="229">
        <v>0</v>
      </c>
      <c r="EA90" s="228">
        <v>0</v>
      </c>
      <c r="EB90" s="229">
        <v>0</v>
      </c>
      <c r="EC90" s="229">
        <v>0</v>
      </c>
      <c r="ED90" s="228">
        <v>0</v>
      </c>
      <c r="EE90" s="229">
        <v>0</v>
      </c>
      <c r="EF90" s="230">
        <v>377839</v>
      </c>
      <c r="EG90" s="230">
        <v>604828</v>
      </c>
      <c r="EH90" s="229">
        <v>-0.37530000000000002</v>
      </c>
      <c r="EI90" s="229">
        <v>0.35249999999999998</v>
      </c>
      <c r="EJ90" s="231">
        <v>38510.910000000003</v>
      </c>
      <c r="EK90" s="231">
        <v>17995.36</v>
      </c>
      <c r="EL90" s="231">
        <v>14753.6</v>
      </c>
      <c r="EM90" s="231">
        <v>5104</v>
      </c>
      <c r="EN90" s="231">
        <v>71259.87</v>
      </c>
      <c r="EO90" s="231">
        <v>85798.86</v>
      </c>
      <c r="EP90" s="231">
        <v>-14538.99</v>
      </c>
      <c r="EQ90" s="229">
        <v>-0.16950000000000001</v>
      </c>
      <c r="ER90" s="231">
        <v>19981</v>
      </c>
      <c r="ES90" s="231">
        <v>18173</v>
      </c>
      <c r="ET90" s="231">
        <v>82502</v>
      </c>
      <c r="EU90" s="231">
        <v>35669230</v>
      </c>
      <c r="EV90" s="231">
        <v>120657</v>
      </c>
      <c r="EW90" s="231">
        <v>116956</v>
      </c>
      <c r="EX90" s="231">
        <v>3701</v>
      </c>
      <c r="EY90" s="229">
        <v>3.1600000000000003E-2</v>
      </c>
      <c r="EZ90" s="229">
        <v>0.54979999999999996</v>
      </c>
      <c r="FA90" s="227" t="s">
        <v>555</v>
      </c>
      <c r="FB90" s="161">
        <f t="shared" si="1"/>
        <v>0</v>
      </c>
    </row>
    <row r="91" spans="1:158" ht="17.25" hidden="1" thickBot="1" x14ac:dyDescent="0.3">
      <c r="A91" s="226">
        <v>46023</v>
      </c>
      <c r="B91" s="227" t="s">
        <v>206</v>
      </c>
      <c r="C91" s="227" t="s">
        <v>501</v>
      </c>
      <c r="D91" s="228">
        <v>1000</v>
      </c>
      <c r="E91" s="228">
        <v>742.05</v>
      </c>
      <c r="F91" s="228">
        <v>741.35</v>
      </c>
      <c r="G91" s="228">
        <v>0.7</v>
      </c>
      <c r="H91" s="229">
        <v>8.9999999999999998E-4</v>
      </c>
      <c r="I91" s="228">
        <v>738.6</v>
      </c>
      <c r="J91" s="228">
        <v>738.85</v>
      </c>
      <c r="K91" s="228">
        <v>-0.25</v>
      </c>
      <c r="L91" s="229">
        <v>-2.9999999999999997E-4</v>
      </c>
      <c r="M91" s="228">
        <v>742.05</v>
      </c>
      <c r="N91" s="228">
        <v>741.35</v>
      </c>
      <c r="O91" s="228">
        <v>0.7</v>
      </c>
      <c r="P91" s="229">
        <v>8.9999999999999998E-4</v>
      </c>
      <c r="Q91" s="228">
        <v>746</v>
      </c>
      <c r="R91" s="228">
        <v>745.4</v>
      </c>
      <c r="S91" s="228">
        <v>0.6</v>
      </c>
      <c r="T91" s="229">
        <v>8.0000000000000004E-4</v>
      </c>
      <c r="U91" s="228">
        <v>749.75</v>
      </c>
      <c r="V91" s="228">
        <v>750.55</v>
      </c>
      <c r="W91" s="228">
        <v>-0.8</v>
      </c>
      <c r="X91" s="229">
        <v>-1.1000000000000001E-3</v>
      </c>
      <c r="Y91" s="228">
        <v>3.45</v>
      </c>
      <c r="Z91" s="228">
        <v>2.5</v>
      </c>
      <c r="AA91" s="228">
        <v>0.95</v>
      </c>
      <c r="AB91" s="229">
        <v>4.7000000000000002E-3</v>
      </c>
      <c r="AC91" s="228">
        <v>3.45</v>
      </c>
      <c r="AD91" s="228">
        <v>2.5</v>
      </c>
      <c r="AE91" s="228">
        <v>0.95</v>
      </c>
      <c r="AF91" s="229">
        <v>4.7000000000000002E-3</v>
      </c>
      <c r="AG91" s="228">
        <v>7.4</v>
      </c>
      <c r="AH91" s="228">
        <v>6.55</v>
      </c>
      <c r="AI91" s="228">
        <v>0.85</v>
      </c>
      <c r="AJ91" s="229">
        <v>0.01</v>
      </c>
      <c r="AK91" s="228">
        <v>11.15</v>
      </c>
      <c r="AL91" s="228">
        <v>11.7</v>
      </c>
      <c r="AM91" s="228">
        <v>-0.55000000000000004</v>
      </c>
      <c r="AN91" s="229">
        <v>1.5100000000000001E-2</v>
      </c>
      <c r="AO91" s="228">
        <v>740.19</v>
      </c>
      <c r="AP91" s="228">
        <v>744.27</v>
      </c>
      <c r="AQ91" s="228">
        <v>0</v>
      </c>
      <c r="AR91" s="230">
        <v>2046000</v>
      </c>
      <c r="AS91" s="230">
        <v>3491000</v>
      </c>
      <c r="AT91" s="230">
        <v>-1445000</v>
      </c>
      <c r="AU91" s="229">
        <v>-0.41389999999999999</v>
      </c>
      <c r="AV91" s="230">
        <v>1993000</v>
      </c>
      <c r="AW91" s="230">
        <v>3391000</v>
      </c>
      <c r="AX91" s="230">
        <v>-1398000</v>
      </c>
      <c r="AY91" s="229">
        <v>-0.4123</v>
      </c>
      <c r="AZ91" s="230">
        <v>52000</v>
      </c>
      <c r="BA91" s="230">
        <v>88000</v>
      </c>
      <c r="BB91" s="230">
        <v>-36000</v>
      </c>
      <c r="BC91" s="229">
        <v>-0.40910000000000002</v>
      </c>
      <c r="BD91" s="230">
        <v>1000</v>
      </c>
      <c r="BE91" s="230">
        <v>12000</v>
      </c>
      <c r="BF91" s="230">
        <v>-11000</v>
      </c>
      <c r="BG91" s="229">
        <v>-0.91669999999999996</v>
      </c>
      <c r="BH91" s="230">
        <v>3885000</v>
      </c>
      <c r="BI91" s="230">
        <v>5545000</v>
      </c>
      <c r="BJ91" s="230">
        <v>-1660000</v>
      </c>
      <c r="BK91" s="229">
        <v>-0.2994</v>
      </c>
      <c r="BL91" s="230">
        <v>1679000</v>
      </c>
      <c r="BM91" s="230">
        <v>2746000</v>
      </c>
      <c r="BN91" s="230">
        <v>-1067000</v>
      </c>
      <c r="BO91" s="229">
        <v>-0.3886</v>
      </c>
      <c r="BP91" s="230">
        <v>7610000</v>
      </c>
      <c r="BQ91" s="230">
        <v>11782000</v>
      </c>
      <c r="BR91" s="230">
        <v>-4172000</v>
      </c>
      <c r="BS91" s="229">
        <v>-0.35410000000000003</v>
      </c>
      <c r="BT91" s="230">
        <v>1197392</v>
      </c>
      <c r="BU91" s="230">
        <v>2450887</v>
      </c>
      <c r="BV91" s="230">
        <v>-1253495</v>
      </c>
      <c r="BW91" s="229">
        <v>-0.51139999999999997</v>
      </c>
      <c r="BX91" s="230">
        <v>26123000</v>
      </c>
      <c r="BY91" s="230">
        <v>25747000</v>
      </c>
      <c r="BZ91" s="230">
        <v>376000</v>
      </c>
      <c r="CA91" s="229">
        <v>1.46E-2</v>
      </c>
      <c r="CB91" s="230">
        <v>25652000</v>
      </c>
      <c r="CC91" s="230">
        <v>25280000</v>
      </c>
      <c r="CD91" s="230">
        <v>372000</v>
      </c>
      <c r="CE91" s="229">
        <v>1.47E-2</v>
      </c>
      <c r="CF91" s="230">
        <v>467000</v>
      </c>
      <c r="CG91" s="230">
        <v>463000</v>
      </c>
      <c r="CH91" s="230">
        <v>4000</v>
      </c>
      <c r="CI91" s="229">
        <v>8.6E-3</v>
      </c>
      <c r="CJ91" s="230">
        <v>4000</v>
      </c>
      <c r="CK91" s="230">
        <v>4000</v>
      </c>
      <c r="CL91" s="228">
        <v>0</v>
      </c>
      <c r="CM91" s="229">
        <v>0</v>
      </c>
      <c r="CN91" s="230">
        <v>5001000</v>
      </c>
      <c r="CO91" s="230">
        <v>4519000</v>
      </c>
      <c r="CP91" s="230">
        <v>482000</v>
      </c>
      <c r="CQ91" s="229">
        <v>0.1067</v>
      </c>
      <c r="CR91" s="230">
        <v>3856000</v>
      </c>
      <c r="CS91" s="230">
        <v>3621000</v>
      </c>
      <c r="CT91" s="230">
        <v>235000</v>
      </c>
      <c r="CU91" s="229">
        <v>6.4899999999999999E-2</v>
      </c>
      <c r="CV91" s="230">
        <v>34980000</v>
      </c>
      <c r="CW91" s="230">
        <v>33887000</v>
      </c>
      <c r="CX91" s="230">
        <v>1093000</v>
      </c>
      <c r="CY91" s="229">
        <v>3.2300000000000002E-2</v>
      </c>
      <c r="CZ91" s="228">
        <v>18.54</v>
      </c>
      <c r="DA91" s="228">
        <v>18.98</v>
      </c>
      <c r="DB91" s="228">
        <v>-0.44</v>
      </c>
      <c r="DC91" s="228">
        <v>-0.44</v>
      </c>
      <c r="DD91" s="228">
        <v>33.479999999999997</v>
      </c>
      <c r="DE91" s="228">
        <v>33.57</v>
      </c>
      <c r="DF91" s="228">
        <v>-14.94</v>
      </c>
      <c r="DG91" s="228">
        <v>-0.09</v>
      </c>
      <c r="DH91" s="228">
        <v>18.29</v>
      </c>
      <c r="DI91" s="228">
        <v>18.78</v>
      </c>
      <c r="DJ91" s="228">
        <v>-0.49</v>
      </c>
      <c r="DK91" s="228">
        <v>-0.49</v>
      </c>
      <c r="DL91" s="228">
        <v>19.13</v>
      </c>
      <c r="DM91" s="228">
        <v>19.38</v>
      </c>
      <c r="DN91" s="228">
        <v>-0.25</v>
      </c>
      <c r="DO91" s="228">
        <v>-0.25</v>
      </c>
      <c r="DP91" s="228">
        <v>0.77</v>
      </c>
      <c r="DQ91" s="228">
        <v>0.8</v>
      </c>
      <c r="DR91" s="228">
        <v>-0.03</v>
      </c>
      <c r="DS91" s="229">
        <v>-3.7499999999999999E-2</v>
      </c>
      <c r="DT91" s="228">
        <v>800</v>
      </c>
      <c r="DU91" s="228">
        <v>740</v>
      </c>
      <c r="DV91" s="228">
        <v>0.43</v>
      </c>
      <c r="DW91" s="228">
        <v>0.5</v>
      </c>
      <c r="DX91" s="228">
        <v>-7.0000000000000007E-2</v>
      </c>
      <c r="DY91" s="229">
        <v>-0.14000000000000001</v>
      </c>
      <c r="DZ91" s="229">
        <v>1.7999999999999999E-2</v>
      </c>
      <c r="EA91" s="230">
        <v>467000</v>
      </c>
      <c r="EB91" s="229">
        <v>5.3E-3</v>
      </c>
      <c r="EC91" s="229">
        <v>1.7999999999999999E-2</v>
      </c>
      <c r="ED91" s="228">
        <v>4.08</v>
      </c>
      <c r="EE91" s="229">
        <v>5.4999999999999997E-3</v>
      </c>
      <c r="EF91" s="230">
        <v>653622</v>
      </c>
      <c r="EG91" s="230">
        <v>1477544</v>
      </c>
      <c r="EH91" s="229">
        <v>-0.55759999999999998</v>
      </c>
      <c r="EI91" s="229">
        <v>0.54590000000000005</v>
      </c>
      <c r="EJ91" s="231">
        <v>29798.29</v>
      </c>
      <c r="EK91" s="231">
        <v>12220.71</v>
      </c>
      <c r="EL91" s="231">
        <v>15146.47</v>
      </c>
      <c r="EM91" s="231">
        <v>11727</v>
      </c>
      <c r="EN91" s="231">
        <v>57165.47</v>
      </c>
      <c r="EO91" s="231">
        <v>88529.48</v>
      </c>
      <c r="EP91" s="231">
        <v>-31364.01</v>
      </c>
      <c r="EQ91" s="229">
        <v>-0.3543</v>
      </c>
      <c r="ER91" s="231">
        <v>38313</v>
      </c>
      <c r="ES91" s="231">
        <v>28182</v>
      </c>
      <c r="ET91" s="231">
        <v>193864</v>
      </c>
      <c r="EU91" s="231">
        <v>132129624</v>
      </c>
      <c r="EV91" s="231">
        <v>260359</v>
      </c>
      <c r="EW91" s="231">
        <v>252014</v>
      </c>
      <c r="EX91" s="231">
        <v>8345</v>
      </c>
      <c r="EY91" s="229">
        <v>3.3099999999999997E-2</v>
      </c>
      <c r="EZ91" s="229">
        <v>0.26469999999999999</v>
      </c>
      <c r="FA91" s="227" t="s">
        <v>555</v>
      </c>
      <c r="FB91" s="161">
        <f t="shared" si="1"/>
        <v>471000</v>
      </c>
    </row>
    <row r="92" spans="1:158" ht="17.25" hidden="1" thickBot="1" x14ac:dyDescent="0.3">
      <c r="A92" s="226">
        <v>46023</v>
      </c>
      <c r="B92" s="227" t="s">
        <v>172</v>
      </c>
      <c r="C92" s="227" t="s">
        <v>578</v>
      </c>
      <c r="D92" s="228">
        <v>1000</v>
      </c>
      <c r="E92" s="228">
        <v>838.2</v>
      </c>
      <c r="F92" s="228">
        <v>839.4</v>
      </c>
      <c r="G92" s="228">
        <v>-1.2</v>
      </c>
      <c r="H92" s="229">
        <v>-1.4E-3</v>
      </c>
      <c r="I92" s="228">
        <v>832.6</v>
      </c>
      <c r="J92" s="228">
        <v>837.25</v>
      </c>
      <c r="K92" s="228">
        <v>-4.6500000000000004</v>
      </c>
      <c r="L92" s="229">
        <v>-5.5999999999999999E-3</v>
      </c>
      <c r="M92" s="228">
        <v>838.2</v>
      </c>
      <c r="N92" s="228">
        <v>839.4</v>
      </c>
      <c r="O92" s="228">
        <v>-1.2</v>
      </c>
      <c r="P92" s="229">
        <v>-1.4E-3</v>
      </c>
      <c r="Q92" s="228">
        <v>842.3</v>
      </c>
      <c r="R92" s="228">
        <v>841.65</v>
      </c>
      <c r="S92" s="228">
        <v>0.65</v>
      </c>
      <c r="T92" s="229">
        <v>8.0000000000000004E-4</v>
      </c>
      <c r="U92" s="228">
        <v>840.35</v>
      </c>
      <c r="V92" s="228">
        <v>843.05</v>
      </c>
      <c r="W92" s="228">
        <v>-2.7</v>
      </c>
      <c r="X92" s="229">
        <v>-3.2000000000000002E-3</v>
      </c>
      <c r="Y92" s="228">
        <v>5.6</v>
      </c>
      <c r="Z92" s="228">
        <v>2.15</v>
      </c>
      <c r="AA92" s="228">
        <v>3.45</v>
      </c>
      <c r="AB92" s="229">
        <v>6.7000000000000002E-3</v>
      </c>
      <c r="AC92" s="228">
        <v>5.6</v>
      </c>
      <c r="AD92" s="228">
        <v>2.15</v>
      </c>
      <c r="AE92" s="228">
        <v>3.45</v>
      </c>
      <c r="AF92" s="229">
        <v>6.7000000000000002E-3</v>
      </c>
      <c r="AG92" s="228">
        <v>9.6999999999999993</v>
      </c>
      <c r="AH92" s="228">
        <v>4.4000000000000004</v>
      </c>
      <c r="AI92" s="228">
        <v>5.3</v>
      </c>
      <c r="AJ92" s="229">
        <v>1.17E-2</v>
      </c>
      <c r="AK92" s="228">
        <v>7.75</v>
      </c>
      <c r="AL92" s="228">
        <v>5.8</v>
      </c>
      <c r="AM92" s="228">
        <v>1.95</v>
      </c>
      <c r="AN92" s="229">
        <v>9.2999999999999992E-3</v>
      </c>
      <c r="AO92" s="228">
        <v>839.53</v>
      </c>
      <c r="AP92" s="228">
        <v>842.83</v>
      </c>
      <c r="AQ92" s="228">
        <v>0</v>
      </c>
      <c r="AR92" s="230">
        <v>2051000</v>
      </c>
      <c r="AS92" s="230">
        <v>4424000</v>
      </c>
      <c r="AT92" s="230">
        <v>-2373000</v>
      </c>
      <c r="AU92" s="229">
        <v>-0.53639999999999999</v>
      </c>
      <c r="AV92" s="230">
        <v>1928000</v>
      </c>
      <c r="AW92" s="230">
        <v>4279000</v>
      </c>
      <c r="AX92" s="230">
        <v>-2351000</v>
      </c>
      <c r="AY92" s="229">
        <v>-0.5494</v>
      </c>
      <c r="AZ92" s="230">
        <v>111000</v>
      </c>
      <c r="BA92" s="230">
        <v>144000</v>
      </c>
      <c r="BB92" s="230">
        <v>-33000</v>
      </c>
      <c r="BC92" s="229">
        <v>-0.22919999999999999</v>
      </c>
      <c r="BD92" s="230">
        <v>12000</v>
      </c>
      <c r="BE92" s="230">
        <v>1000</v>
      </c>
      <c r="BF92" s="230">
        <v>11000</v>
      </c>
      <c r="BG92" s="229">
        <v>11</v>
      </c>
      <c r="BH92" s="230">
        <v>6060000</v>
      </c>
      <c r="BI92" s="230">
        <v>15260000</v>
      </c>
      <c r="BJ92" s="230">
        <v>-9200000</v>
      </c>
      <c r="BK92" s="229">
        <v>-0.60289999999999999</v>
      </c>
      <c r="BL92" s="230">
        <v>2300000</v>
      </c>
      <c r="BM92" s="230">
        <v>4898000</v>
      </c>
      <c r="BN92" s="230">
        <v>-2598000</v>
      </c>
      <c r="BO92" s="229">
        <v>-0.53039999999999998</v>
      </c>
      <c r="BP92" s="230">
        <v>10411000</v>
      </c>
      <c r="BQ92" s="230">
        <v>24582000</v>
      </c>
      <c r="BR92" s="230">
        <v>-14171000</v>
      </c>
      <c r="BS92" s="229">
        <v>-0.57650000000000001</v>
      </c>
      <c r="BT92" s="230">
        <v>1279276</v>
      </c>
      <c r="BU92" s="230">
        <v>3729734</v>
      </c>
      <c r="BV92" s="230">
        <v>-2450458</v>
      </c>
      <c r="BW92" s="229">
        <v>-0.65700000000000003</v>
      </c>
      <c r="BX92" s="230">
        <v>9606000</v>
      </c>
      <c r="BY92" s="230">
        <v>9663000</v>
      </c>
      <c r="BZ92" s="230">
        <v>-57000</v>
      </c>
      <c r="CA92" s="229">
        <v>-5.8999999999999999E-3</v>
      </c>
      <c r="CB92" s="230">
        <v>9473000</v>
      </c>
      <c r="CC92" s="230">
        <v>9551000</v>
      </c>
      <c r="CD92" s="230">
        <v>-78000</v>
      </c>
      <c r="CE92" s="229">
        <v>-8.2000000000000007E-3</v>
      </c>
      <c r="CF92" s="230">
        <v>125000</v>
      </c>
      <c r="CG92" s="230">
        <v>111000</v>
      </c>
      <c r="CH92" s="230">
        <v>14000</v>
      </c>
      <c r="CI92" s="229">
        <v>0.12609999999999999</v>
      </c>
      <c r="CJ92" s="230">
        <v>8000</v>
      </c>
      <c r="CK92" s="230">
        <v>1000</v>
      </c>
      <c r="CL92" s="230">
        <v>7000</v>
      </c>
      <c r="CM92" s="229">
        <v>7</v>
      </c>
      <c r="CN92" s="230">
        <v>3410000</v>
      </c>
      <c r="CO92" s="230">
        <v>3233000</v>
      </c>
      <c r="CP92" s="230">
        <v>177000</v>
      </c>
      <c r="CQ92" s="229">
        <v>5.4699999999999999E-2</v>
      </c>
      <c r="CR92" s="230">
        <v>2688000</v>
      </c>
      <c r="CS92" s="230">
        <v>2744000</v>
      </c>
      <c r="CT92" s="230">
        <v>-56000</v>
      </c>
      <c r="CU92" s="229">
        <v>-2.0400000000000001E-2</v>
      </c>
      <c r="CV92" s="230">
        <v>15704000</v>
      </c>
      <c r="CW92" s="230">
        <v>15640000</v>
      </c>
      <c r="CX92" s="230">
        <v>64000</v>
      </c>
      <c r="CY92" s="229">
        <v>4.1000000000000003E-3</v>
      </c>
      <c r="CZ92" s="228">
        <v>27.52</v>
      </c>
      <c r="DA92" s="228">
        <v>27.26</v>
      </c>
      <c r="DB92" s="228">
        <v>0.26</v>
      </c>
      <c r="DC92" s="228">
        <v>0.26</v>
      </c>
      <c r="DD92" s="228">
        <v>37.369999999999997</v>
      </c>
      <c r="DE92" s="228">
        <v>37.46</v>
      </c>
      <c r="DF92" s="228">
        <v>-9.85</v>
      </c>
      <c r="DG92" s="228">
        <v>-0.09</v>
      </c>
      <c r="DH92" s="228">
        <v>27.44</v>
      </c>
      <c r="DI92" s="228">
        <v>27.07</v>
      </c>
      <c r="DJ92" s="228">
        <v>0.37</v>
      </c>
      <c r="DK92" s="228">
        <v>0.37</v>
      </c>
      <c r="DL92" s="228">
        <v>27.71</v>
      </c>
      <c r="DM92" s="228">
        <v>27.85</v>
      </c>
      <c r="DN92" s="228">
        <v>-0.14000000000000001</v>
      </c>
      <c r="DO92" s="228">
        <v>-0.14000000000000001</v>
      </c>
      <c r="DP92" s="228">
        <v>0.79</v>
      </c>
      <c r="DQ92" s="228">
        <v>0.85</v>
      </c>
      <c r="DR92" s="228">
        <v>-0.06</v>
      </c>
      <c r="DS92" s="229">
        <v>-7.0599999999999996E-2</v>
      </c>
      <c r="DT92" s="228">
        <v>840</v>
      </c>
      <c r="DU92" s="228">
        <v>800</v>
      </c>
      <c r="DV92" s="228">
        <v>0.38</v>
      </c>
      <c r="DW92" s="228">
        <v>0.32</v>
      </c>
      <c r="DX92" s="228">
        <v>0.06</v>
      </c>
      <c r="DY92" s="229">
        <v>0.1875</v>
      </c>
      <c r="DZ92" s="229">
        <v>1.38E-2</v>
      </c>
      <c r="EA92" s="230">
        <v>112000</v>
      </c>
      <c r="EB92" s="229">
        <v>4.8999999999999998E-3</v>
      </c>
      <c r="EC92" s="229">
        <v>1.38E-2</v>
      </c>
      <c r="ED92" s="228">
        <v>3.3</v>
      </c>
      <c r="EE92" s="229">
        <v>3.8999999999999998E-3</v>
      </c>
      <c r="EF92" s="230">
        <v>427832</v>
      </c>
      <c r="EG92" s="230">
        <v>1667472</v>
      </c>
      <c r="EH92" s="229">
        <v>-0.74339999999999995</v>
      </c>
      <c r="EI92" s="229">
        <v>0.33439999999999998</v>
      </c>
      <c r="EJ92" s="231">
        <v>53152.27</v>
      </c>
      <c r="EK92" s="231">
        <v>18908.47</v>
      </c>
      <c r="EL92" s="231">
        <v>17222.97</v>
      </c>
      <c r="EM92" s="231">
        <v>7961</v>
      </c>
      <c r="EN92" s="231">
        <v>89283.71</v>
      </c>
      <c r="EO92" s="231">
        <v>208415.99</v>
      </c>
      <c r="EP92" s="231">
        <v>-119132.28</v>
      </c>
      <c r="EQ92" s="229">
        <v>-0.5716</v>
      </c>
      <c r="ER92" s="231">
        <v>29076</v>
      </c>
      <c r="ES92" s="231">
        <v>21452</v>
      </c>
      <c r="ET92" s="231">
        <v>80523</v>
      </c>
      <c r="EU92" s="231">
        <v>52862157</v>
      </c>
      <c r="EV92" s="231">
        <v>131050</v>
      </c>
      <c r="EW92" s="231">
        <v>130544</v>
      </c>
      <c r="EX92" s="228">
        <v>506</v>
      </c>
      <c r="EY92" s="229">
        <v>3.8999999999999998E-3</v>
      </c>
      <c r="EZ92" s="229">
        <v>0.29709999999999998</v>
      </c>
      <c r="FA92" s="227" t="s">
        <v>568</v>
      </c>
      <c r="FB92" s="161">
        <f t="shared" si="1"/>
        <v>133000</v>
      </c>
    </row>
    <row r="93" spans="1:158" ht="17.25" hidden="1" thickBot="1" x14ac:dyDescent="0.3">
      <c r="A93" s="226">
        <v>46023</v>
      </c>
      <c r="B93" s="227" t="s">
        <v>181</v>
      </c>
      <c r="C93" s="227" t="s">
        <v>688</v>
      </c>
      <c r="D93" s="228">
        <v>1</v>
      </c>
      <c r="E93" s="228">
        <v>9.19</v>
      </c>
      <c r="F93" s="228">
        <v>9.4700000000000006</v>
      </c>
      <c r="G93" s="228">
        <v>-0.28999999999999998</v>
      </c>
      <c r="H93" s="229">
        <v>-3.0099999999999998E-2</v>
      </c>
      <c r="I93" s="228">
        <v>9.19</v>
      </c>
      <c r="J93" s="228">
        <v>9.4700000000000006</v>
      </c>
      <c r="K93" s="228">
        <v>-0.28999999999999998</v>
      </c>
      <c r="L93" s="229">
        <v>-3.0099999999999998E-2</v>
      </c>
      <c r="M93" s="228">
        <v>0</v>
      </c>
      <c r="N93" s="228">
        <v>0</v>
      </c>
      <c r="O93" s="228">
        <v>0</v>
      </c>
      <c r="P93" s="229">
        <v>0</v>
      </c>
      <c r="Q93" s="228">
        <v>0</v>
      </c>
      <c r="R93" s="228">
        <v>0</v>
      </c>
      <c r="S93" s="228">
        <v>0</v>
      </c>
      <c r="T93" s="229">
        <v>0</v>
      </c>
      <c r="U93" s="228">
        <v>0</v>
      </c>
      <c r="V93" s="228">
        <v>0</v>
      </c>
      <c r="W93" s="228">
        <v>0</v>
      </c>
      <c r="X93" s="229">
        <v>0</v>
      </c>
      <c r="Y93" s="228">
        <v>0</v>
      </c>
      <c r="Z93" s="228">
        <v>0</v>
      </c>
      <c r="AA93" s="228">
        <v>0</v>
      </c>
      <c r="AB93" s="229">
        <v>0</v>
      </c>
      <c r="AC93" s="228">
        <v>0</v>
      </c>
      <c r="AD93" s="228">
        <v>0</v>
      </c>
      <c r="AE93" s="228">
        <v>0</v>
      </c>
      <c r="AF93" s="229">
        <v>0</v>
      </c>
      <c r="AG93" s="228">
        <v>0</v>
      </c>
      <c r="AH93" s="228">
        <v>0</v>
      </c>
      <c r="AI93" s="228">
        <v>0</v>
      </c>
      <c r="AJ93" s="229">
        <v>0</v>
      </c>
      <c r="AK93" s="228">
        <v>0</v>
      </c>
      <c r="AL93" s="228">
        <v>0</v>
      </c>
      <c r="AM93" s="228">
        <v>0</v>
      </c>
      <c r="AN93" s="229">
        <v>0</v>
      </c>
      <c r="AO93" s="228">
        <v>0</v>
      </c>
      <c r="AP93" s="228">
        <v>0</v>
      </c>
      <c r="AQ93" s="228">
        <v>0</v>
      </c>
      <c r="AR93" s="228">
        <v>0</v>
      </c>
      <c r="AS93" s="228">
        <v>0</v>
      </c>
      <c r="AT93" s="228">
        <v>0</v>
      </c>
      <c r="AU93" s="229">
        <v>0</v>
      </c>
      <c r="AV93" s="228">
        <v>0</v>
      </c>
      <c r="AW93" s="228">
        <v>0</v>
      </c>
      <c r="AX93" s="228">
        <v>0</v>
      </c>
      <c r="AY93" s="229">
        <v>0</v>
      </c>
      <c r="AZ93" s="228">
        <v>0</v>
      </c>
      <c r="BA93" s="228">
        <v>0</v>
      </c>
      <c r="BB93" s="228">
        <v>0</v>
      </c>
      <c r="BC93" s="229">
        <v>0</v>
      </c>
      <c r="BD93" s="228">
        <v>0</v>
      </c>
      <c r="BE93" s="228">
        <v>0</v>
      </c>
      <c r="BF93" s="228">
        <v>0</v>
      </c>
      <c r="BG93" s="229">
        <v>0</v>
      </c>
      <c r="BH93" s="228">
        <v>0</v>
      </c>
      <c r="BI93" s="228">
        <v>0</v>
      </c>
      <c r="BJ93" s="228">
        <v>0</v>
      </c>
      <c r="BK93" s="229">
        <v>0</v>
      </c>
      <c r="BL93" s="228">
        <v>0</v>
      </c>
      <c r="BM93" s="228">
        <v>0</v>
      </c>
      <c r="BN93" s="228">
        <v>0</v>
      </c>
      <c r="BO93" s="229">
        <v>0</v>
      </c>
      <c r="BP93" s="228">
        <v>0</v>
      </c>
      <c r="BQ93" s="228">
        <v>0</v>
      </c>
      <c r="BR93" s="228">
        <v>0</v>
      </c>
      <c r="BS93" s="229">
        <v>0</v>
      </c>
      <c r="BT93" s="228">
        <v>0</v>
      </c>
      <c r="BU93" s="228">
        <v>0</v>
      </c>
      <c r="BV93" s="228">
        <v>0</v>
      </c>
      <c r="BW93" s="229">
        <v>0</v>
      </c>
      <c r="BX93" s="228">
        <v>0</v>
      </c>
      <c r="BY93" s="228">
        <v>0</v>
      </c>
      <c r="BZ93" s="228">
        <v>0</v>
      </c>
      <c r="CA93" s="229">
        <v>0</v>
      </c>
      <c r="CB93" s="228">
        <v>0</v>
      </c>
      <c r="CC93" s="228">
        <v>0</v>
      </c>
      <c r="CD93" s="228">
        <v>0</v>
      </c>
      <c r="CE93" s="229">
        <v>0</v>
      </c>
      <c r="CF93" s="228">
        <v>0</v>
      </c>
      <c r="CG93" s="228">
        <v>0</v>
      </c>
      <c r="CH93" s="228">
        <v>0</v>
      </c>
      <c r="CI93" s="229">
        <v>0</v>
      </c>
      <c r="CJ93" s="228">
        <v>0</v>
      </c>
      <c r="CK93" s="228">
        <v>0</v>
      </c>
      <c r="CL93" s="228">
        <v>0</v>
      </c>
      <c r="CM93" s="229">
        <v>0</v>
      </c>
      <c r="CN93" s="228">
        <v>0</v>
      </c>
      <c r="CO93" s="228">
        <v>0</v>
      </c>
      <c r="CP93" s="228">
        <v>0</v>
      </c>
      <c r="CQ93" s="229">
        <v>0</v>
      </c>
      <c r="CR93" s="228">
        <v>0</v>
      </c>
      <c r="CS93" s="228">
        <v>0</v>
      </c>
      <c r="CT93" s="228">
        <v>0</v>
      </c>
      <c r="CU93" s="229">
        <v>0</v>
      </c>
      <c r="CV93" s="228">
        <v>0</v>
      </c>
      <c r="CW93" s="228">
        <v>0</v>
      </c>
      <c r="CX93" s="228">
        <v>0</v>
      </c>
      <c r="CY93" s="229">
        <v>0</v>
      </c>
      <c r="CZ93" s="228">
        <v>0</v>
      </c>
      <c r="DA93" s="228">
        <v>0</v>
      </c>
      <c r="DB93" s="228">
        <v>0</v>
      </c>
      <c r="DC93" s="228">
        <v>0</v>
      </c>
      <c r="DD93" s="228">
        <v>0</v>
      </c>
      <c r="DE93" s="228">
        <v>0</v>
      </c>
      <c r="DF93" s="228">
        <v>0</v>
      </c>
      <c r="DG93" s="228">
        <v>0</v>
      </c>
      <c r="DH93" s="228">
        <v>0</v>
      </c>
      <c r="DI93" s="228">
        <v>0</v>
      </c>
      <c r="DJ93" s="228">
        <v>0</v>
      </c>
      <c r="DK93" s="228">
        <v>0</v>
      </c>
      <c r="DL93" s="228">
        <v>0</v>
      </c>
      <c r="DM93" s="228">
        <v>0</v>
      </c>
      <c r="DN93" s="228">
        <v>0</v>
      </c>
      <c r="DO93" s="228">
        <v>0</v>
      </c>
      <c r="DP93" s="228">
        <v>0</v>
      </c>
      <c r="DQ93" s="228">
        <v>0</v>
      </c>
      <c r="DR93" s="228">
        <v>0</v>
      </c>
      <c r="DS93" s="229">
        <v>0</v>
      </c>
      <c r="DT93" s="228">
        <v>0</v>
      </c>
      <c r="DU93" s="228">
        <v>0</v>
      </c>
      <c r="DV93" s="228">
        <v>0</v>
      </c>
      <c r="DW93" s="228">
        <v>0</v>
      </c>
      <c r="DX93" s="228">
        <v>0</v>
      </c>
      <c r="DY93" s="229">
        <v>0</v>
      </c>
      <c r="DZ93" s="229">
        <v>0</v>
      </c>
      <c r="EA93" s="228">
        <v>0</v>
      </c>
      <c r="EB93" s="229">
        <v>0</v>
      </c>
      <c r="EC93" s="229">
        <v>0</v>
      </c>
      <c r="ED93" s="228">
        <v>0</v>
      </c>
      <c r="EE93" s="229">
        <v>0</v>
      </c>
      <c r="EF93" s="228">
        <v>0</v>
      </c>
      <c r="EG93" s="228">
        <v>0</v>
      </c>
      <c r="EH93" s="229">
        <v>0</v>
      </c>
      <c r="EI93" s="229">
        <v>0</v>
      </c>
      <c r="EJ93" s="228">
        <v>0</v>
      </c>
      <c r="EK93" s="228">
        <v>0</v>
      </c>
      <c r="EL93" s="228">
        <v>0</v>
      </c>
      <c r="EM93" s="228">
        <v>0</v>
      </c>
      <c r="EN93" s="228">
        <v>0</v>
      </c>
      <c r="EO93" s="228">
        <v>0</v>
      </c>
      <c r="EP93" s="228">
        <v>0</v>
      </c>
      <c r="EQ93" s="229">
        <v>0</v>
      </c>
      <c r="ER93" s="228">
        <v>0</v>
      </c>
      <c r="ES93" s="228">
        <v>0</v>
      </c>
      <c r="ET93" s="228">
        <v>0</v>
      </c>
      <c r="EU93" s="228">
        <v>0</v>
      </c>
      <c r="EV93" s="228">
        <v>0</v>
      </c>
      <c r="EW93" s="228">
        <v>0</v>
      </c>
      <c r="EX93" s="228">
        <v>0</v>
      </c>
      <c r="EY93" s="229">
        <v>0</v>
      </c>
      <c r="EZ93" s="229">
        <v>0</v>
      </c>
      <c r="FA93" s="227" t="s">
        <v>237</v>
      </c>
      <c r="FB93" s="161">
        <f t="shared" si="1"/>
        <v>0</v>
      </c>
    </row>
    <row r="94" spans="1:158" ht="17.25" hidden="1" thickBot="1" x14ac:dyDescent="0.3">
      <c r="A94" s="226">
        <v>46023</v>
      </c>
      <c r="B94" s="227" t="s">
        <v>215</v>
      </c>
      <c r="C94" s="227" t="s">
        <v>238</v>
      </c>
      <c r="D94" s="228">
        <v>150</v>
      </c>
      <c r="E94" s="231">
        <v>5141.5</v>
      </c>
      <c r="F94" s="231">
        <v>5077.5</v>
      </c>
      <c r="G94" s="228">
        <v>64</v>
      </c>
      <c r="H94" s="229">
        <v>1.26E-2</v>
      </c>
      <c r="I94" s="231">
        <v>5110.5</v>
      </c>
      <c r="J94" s="231">
        <v>5059.5</v>
      </c>
      <c r="K94" s="228">
        <v>51</v>
      </c>
      <c r="L94" s="229">
        <v>1.01E-2</v>
      </c>
      <c r="M94" s="231">
        <v>5141.5</v>
      </c>
      <c r="N94" s="231">
        <v>5077.5</v>
      </c>
      <c r="O94" s="228">
        <v>64</v>
      </c>
      <c r="P94" s="229">
        <v>1.26E-2</v>
      </c>
      <c r="Q94" s="231">
        <v>5170.5</v>
      </c>
      <c r="R94" s="231">
        <v>5107</v>
      </c>
      <c r="S94" s="228">
        <v>63.5</v>
      </c>
      <c r="T94" s="229">
        <v>1.24E-2</v>
      </c>
      <c r="U94" s="231">
        <v>5200</v>
      </c>
      <c r="V94" s="231">
        <v>5126</v>
      </c>
      <c r="W94" s="228">
        <v>74</v>
      </c>
      <c r="X94" s="229">
        <v>1.44E-2</v>
      </c>
      <c r="Y94" s="228">
        <v>31</v>
      </c>
      <c r="Z94" s="228">
        <v>18</v>
      </c>
      <c r="AA94" s="228">
        <v>13</v>
      </c>
      <c r="AB94" s="229">
        <v>6.1000000000000004E-3</v>
      </c>
      <c r="AC94" s="228">
        <v>31</v>
      </c>
      <c r="AD94" s="228">
        <v>18</v>
      </c>
      <c r="AE94" s="228">
        <v>13</v>
      </c>
      <c r="AF94" s="229">
        <v>6.1000000000000004E-3</v>
      </c>
      <c r="AG94" s="228">
        <v>60</v>
      </c>
      <c r="AH94" s="228">
        <v>47.5</v>
      </c>
      <c r="AI94" s="228">
        <v>12.5</v>
      </c>
      <c r="AJ94" s="229">
        <v>1.17E-2</v>
      </c>
      <c r="AK94" s="228">
        <v>89.5</v>
      </c>
      <c r="AL94" s="228">
        <v>66.5</v>
      </c>
      <c r="AM94" s="228">
        <v>23</v>
      </c>
      <c r="AN94" s="229">
        <v>1.7500000000000002E-2</v>
      </c>
      <c r="AO94" s="231">
        <v>5143.37</v>
      </c>
      <c r="AP94" s="231">
        <v>5173.05</v>
      </c>
      <c r="AQ94" s="228">
        <v>0</v>
      </c>
      <c r="AR94" s="230">
        <v>1197750</v>
      </c>
      <c r="AS94" s="230">
        <v>928050</v>
      </c>
      <c r="AT94" s="230">
        <v>269700</v>
      </c>
      <c r="AU94" s="229">
        <v>0.29060000000000002</v>
      </c>
      <c r="AV94" s="230">
        <v>1120500</v>
      </c>
      <c r="AW94" s="230">
        <v>883950</v>
      </c>
      <c r="AX94" s="230">
        <v>236550</v>
      </c>
      <c r="AY94" s="229">
        <v>0.2676</v>
      </c>
      <c r="AZ94" s="230">
        <v>67200</v>
      </c>
      <c r="BA94" s="230">
        <v>40200</v>
      </c>
      <c r="BB94" s="230">
        <v>27000</v>
      </c>
      <c r="BC94" s="229">
        <v>0.67159999999999997</v>
      </c>
      <c r="BD94" s="230">
        <v>10050</v>
      </c>
      <c r="BE94" s="230">
        <v>3900</v>
      </c>
      <c r="BF94" s="230">
        <v>6150</v>
      </c>
      <c r="BG94" s="229">
        <v>1.5769</v>
      </c>
      <c r="BH94" s="230">
        <v>6789750</v>
      </c>
      <c r="BI94" s="230">
        <v>3795000</v>
      </c>
      <c r="BJ94" s="230">
        <v>2994750</v>
      </c>
      <c r="BK94" s="229">
        <v>0.78910000000000002</v>
      </c>
      <c r="BL94" s="230">
        <v>3302850</v>
      </c>
      <c r="BM94" s="230">
        <v>2985450</v>
      </c>
      <c r="BN94" s="230">
        <v>317400</v>
      </c>
      <c r="BO94" s="229">
        <v>0.10630000000000001</v>
      </c>
      <c r="BP94" s="230">
        <v>11290350</v>
      </c>
      <c r="BQ94" s="230">
        <v>7708500</v>
      </c>
      <c r="BR94" s="230">
        <v>3581850</v>
      </c>
      <c r="BS94" s="229">
        <v>0.4647</v>
      </c>
      <c r="BT94" s="230">
        <v>796221</v>
      </c>
      <c r="BU94" s="230">
        <v>950389</v>
      </c>
      <c r="BV94" s="230">
        <v>-154168</v>
      </c>
      <c r="BW94" s="229">
        <v>-0.16220000000000001</v>
      </c>
      <c r="BX94" s="230">
        <v>8514600</v>
      </c>
      <c r="BY94" s="230">
        <v>8590950</v>
      </c>
      <c r="BZ94" s="230">
        <v>-76350</v>
      </c>
      <c r="CA94" s="229">
        <v>-8.8999999999999999E-3</v>
      </c>
      <c r="CB94" s="230">
        <v>8285100</v>
      </c>
      <c r="CC94" s="230">
        <v>8382300</v>
      </c>
      <c r="CD94" s="230">
        <v>-97200</v>
      </c>
      <c r="CE94" s="229">
        <v>-1.1599999999999999E-2</v>
      </c>
      <c r="CF94" s="230">
        <v>220350</v>
      </c>
      <c r="CG94" s="230">
        <v>205050</v>
      </c>
      <c r="CH94" s="230">
        <v>15300</v>
      </c>
      <c r="CI94" s="229">
        <v>7.46E-2</v>
      </c>
      <c r="CJ94" s="230">
        <v>9150</v>
      </c>
      <c r="CK94" s="230">
        <v>3600</v>
      </c>
      <c r="CL94" s="230">
        <v>5550</v>
      </c>
      <c r="CM94" s="229">
        <v>1.5417000000000001</v>
      </c>
      <c r="CN94" s="230">
        <v>3643200</v>
      </c>
      <c r="CO94" s="230">
        <v>3295950</v>
      </c>
      <c r="CP94" s="230">
        <v>347250</v>
      </c>
      <c r="CQ94" s="229">
        <v>0.10539999999999999</v>
      </c>
      <c r="CR94" s="230">
        <v>3304050</v>
      </c>
      <c r="CS94" s="230">
        <v>3209700</v>
      </c>
      <c r="CT94" s="230">
        <v>94350</v>
      </c>
      <c r="CU94" s="229">
        <v>2.9399999999999999E-2</v>
      </c>
      <c r="CV94" s="230">
        <v>15461850</v>
      </c>
      <c r="CW94" s="230">
        <v>15096600</v>
      </c>
      <c r="CX94" s="230">
        <v>365250</v>
      </c>
      <c r="CY94" s="229">
        <v>2.4199999999999999E-2</v>
      </c>
      <c r="CZ94" s="228">
        <v>24.09</v>
      </c>
      <c r="DA94" s="228">
        <v>24.5</v>
      </c>
      <c r="DB94" s="228">
        <v>-0.41</v>
      </c>
      <c r="DC94" s="228">
        <v>-0.41</v>
      </c>
      <c r="DD94" s="228">
        <v>33.32</v>
      </c>
      <c r="DE94" s="228">
        <v>33.380000000000003</v>
      </c>
      <c r="DF94" s="228">
        <v>-9.23</v>
      </c>
      <c r="DG94" s="228">
        <v>-0.06</v>
      </c>
      <c r="DH94" s="228">
        <v>23.51</v>
      </c>
      <c r="DI94" s="228">
        <v>23.59</v>
      </c>
      <c r="DJ94" s="228">
        <v>-0.08</v>
      </c>
      <c r="DK94" s="228">
        <v>-0.08</v>
      </c>
      <c r="DL94" s="228">
        <v>25.27</v>
      </c>
      <c r="DM94" s="228">
        <v>25.65</v>
      </c>
      <c r="DN94" s="228">
        <v>-0.38</v>
      </c>
      <c r="DO94" s="228">
        <v>-0.38</v>
      </c>
      <c r="DP94" s="228">
        <v>0.91</v>
      </c>
      <c r="DQ94" s="228">
        <v>0.97</v>
      </c>
      <c r="DR94" s="228">
        <v>-0.06</v>
      </c>
      <c r="DS94" s="229">
        <v>-6.1899999999999997E-2</v>
      </c>
      <c r="DT94" s="231">
        <v>5500</v>
      </c>
      <c r="DU94" s="231">
        <v>5000</v>
      </c>
      <c r="DV94" s="228">
        <v>0.49</v>
      </c>
      <c r="DW94" s="228">
        <v>0.79</v>
      </c>
      <c r="DX94" s="228">
        <v>-0.3</v>
      </c>
      <c r="DY94" s="229">
        <v>-0.37969999999999998</v>
      </c>
      <c r="DZ94" s="229">
        <v>2.7E-2</v>
      </c>
      <c r="EA94" s="230">
        <v>208650</v>
      </c>
      <c r="EB94" s="229">
        <v>5.5999999999999999E-3</v>
      </c>
      <c r="EC94" s="229">
        <v>2.7E-2</v>
      </c>
      <c r="ED94" s="228">
        <v>29.68</v>
      </c>
      <c r="EE94" s="229">
        <v>5.7999999999999996E-3</v>
      </c>
      <c r="EF94" s="230">
        <v>244251</v>
      </c>
      <c r="EG94" s="230">
        <v>509456</v>
      </c>
      <c r="EH94" s="229">
        <v>-0.52059999999999995</v>
      </c>
      <c r="EI94" s="229">
        <v>0.30680000000000002</v>
      </c>
      <c r="EJ94" s="231">
        <v>365732.53</v>
      </c>
      <c r="EK94" s="231">
        <v>165068.5</v>
      </c>
      <c r="EL94" s="231">
        <v>61630.2</v>
      </c>
      <c r="EM94" s="231">
        <v>28963</v>
      </c>
      <c r="EN94" s="231">
        <v>592431.23</v>
      </c>
      <c r="EO94" s="231">
        <v>397513.51</v>
      </c>
      <c r="EP94" s="231">
        <v>194917.72</v>
      </c>
      <c r="EQ94" s="229">
        <v>0.49030000000000001</v>
      </c>
      <c r="ER94" s="231">
        <v>196887</v>
      </c>
      <c r="ES94" s="231">
        <v>161617</v>
      </c>
      <c r="ET94" s="231">
        <v>437847</v>
      </c>
      <c r="EU94" s="231">
        <v>33874835</v>
      </c>
      <c r="EV94" s="231">
        <v>796352</v>
      </c>
      <c r="EW94" s="231">
        <v>771242</v>
      </c>
      <c r="EX94" s="231">
        <v>25110</v>
      </c>
      <c r="EY94" s="229">
        <v>3.2599999999999997E-2</v>
      </c>
      <c r="EZ94" s="229">
        <v>0.45639999999999997</v>
      </c>
      <c r="FA94" s="227" t="s">
        <v>556</v>
      </c>
      <c r="FB94" s="161">
        <f t="shared" si="1"/>
        <v>229500</v>
      </c>
    </row>
    <row r="95" spans="1:158" ht="17.25" hidden="1" thickBot="1" x14ac:dyDescent="0.3">
      <c r="A95" s="226">
        <v>46023</v>
      </c>
      <c r="B95" s="227" t="s">
        <v>172</v>
      </c>
      <c r="C95" s="227" t="s">
        <v>239</v>
      </c>
      <c r="D95" s="228">
        <v>700</v>
      </c>
      <c r="E95" s="228">
        <v>893.65</v>
      </c>
      <c r="F95" s="228">
        <v>867.45</v>
      </c>
      <c r="G95" s="228">
        <v>26.2</v>
      </c>
      <c r="H95" s="229">
        <v>3.0200000000000001E-2</v>
      </c>
      <c r="I95" s="228">
        <v>890.2</v>
      </c>
      <c r="J95" s="228">
        <v>864.2</v>
      </c>
      <c r="K95" s="228">
        <v>26</v>
      </c>
      <c r="L95" s="229">
        <v>3.0099999999999998E-2</v>
      </c>
      <c r="M95" s="228">
        <v>893.65</v>
      </c>
      <c r="N95" s="228">
        <v>867.45</v>
      </c>
      <c r="O95" s="228">
        <v>26.2</v>
      </c>
      <c r="P95" s="229">
        <v>3.0200000000000001E-2</v>
      </c>
      <c r="Q95" s="228">
        <v>898.4</v>
      </c>
      <c r="R95" s="228">
        <v>873.05</v>
      </c>
      <c r="S95" s="228">
        <v>25.35</v>
      </c>
      <c r="T95" s="229">
        <v>2.9000000000000001E-2</v>
      </c>
      <c r="U95" s="228">
        <v>904.6</v>
      </c>
      <c r="V95" s="228">
        <v>877.25</v>
      </c>
      <c r="W95" s="228">
        <v>27.35</v>
      </c>
      <c r="X95" s="229">
        <v>3.1199999999999999E-2</v>
      </c>
      <c r="Y95" s="228">
        <v>3.45</v>
      </c>
      <c r="Z95" s="228">
        <v>3.25</v>
      </c>
      <c r="AA95" s="228">
        <v>0.2</v>
      </c>
      <c r="AB95" s="229">
        <v>3.8999999999999998E-3</v>
      </c>
      <c r="AC95" s="228">
        <v>3.45</v>
      </c>
      <c r="AD95" s="228">
        <v>3.25</v>
      </c>
      <c r="AE95" s="228">
        <v>0.2</v>
      </c>
      <c r="AF95" s="229">
        <v>3.8999999999999998E-3</v>
      </c>
      <c r="AG95" s="228">
        <v>8.1999999999999993</v>
      </c>
      <c r="AH95" s="228">
        <v>8.85</v>
      </c>
      <c r="AI95" s="228">
        <v>-0.65</v>
      </c>
      <c r="AJ95" s="229">
        <v>9.1999999999999998E-3</v>
      </c>
      <c r="AK95" s="228">
        <v>14.4</v>
      </c>
      <c r="AL95" s="228">
        <v>13.05</v>
      </c>
      <c r="AM95" s="228">
        <v>1.35</v>
      </c>
      <c r="AN95" s="229">
        <v>1.6199999999999999E-2</v>
      </c>
      <c r="AO95" s="228">
        <v>883.99</v>
      </c>
      <c r="AP95" s="228">
        <v>889.84</v>
      </c>
      <c r="AQ95" s="228">
        <v>0</v>
      </c>
      <c r="AR95" s="230">
        <v>7312200</v>
      </c>
      <c r="AS95" s="230">
        <v>9909900</v>
      </c>
      <c r="AT95" s="230">
        <v>-2597700</v>
      </c>
      <c r="AU95" s="229">
        <v>-0.2621</v>
      </c>
      <c r="AV95" s="230">
        <v>7133000</v>
      </c>
      <c r="AW95" s="230">
        <v>9584400</v>
      </c>
      <c r="AX95" s="230">
        <v>-2451400</v>
      </c>
      <c r="AY95" s="229">
        <v>-0.25580000000000003</v>
      </c>
      <c r="AZ95" s="230">
        <v>163100</v>
      </c>
      <c r="BA95" s="230">
        <v>309400</v>
      </c>
      <c r="BB95" s="230">
        <v>-146300</v>
      </c>
      <c r="BC95" s="229">
        <v>-0.47289999999999999</v>
      </c>
      <c r="BD95" s="230">
        <v>16100</v>
      </c>
      <c r="BE95" s="230">
        <v>16100</v>
      </c>
      <c r="BF95" s="228">
        <v>0</v>
      </c>
      <c r="BG95" s="229">
        <v>0</v>
      </c>
      <c r="BH95" s="230">
        <v>21347900</v>
      </c>
      <c r="BI95" s="230">
        <v>21042000</v>
      </c>
      <c r="BJ95" s="230">
        <v>305900</v>
      </c>
      <c r="BK95" s="229">
        <v>1.4500000000000001E-2</v>
      </c>
      <c r="BL95" s="230">
        <v>11780300</v>
      </c>
      <c r="BM95" s="230">
        <v>13198500</v>
      </c>
      <c r="BN95" s="230">
        <v>-1418200</v>
      </c>
      <c r="BO95" s="229">
        <v>-0.1075</v>
      </c>
      <c r="BP95" s="230">
        <v>40440400</v>
      </c>
      <c r="BQ95" s="230">
        <v>44150400</v>
      </c>
      <c r="BR95" s="230">
        <v>-3710000</v>
      </c>
      <c r="BS95" s="229">
        <v>-8.4000000000000005E-2</v>
      </c>
      <c r="BT95" s="230">
        <v>4536679</v>
      </c>
      <c r="BU95" s="230">
        <v>3023808</v>
      </c>
      <c r="BV95" s="230">
        <v>1512871</v>
      </c>
      <c r="BW95" s="229">
        <v>0.50029999999999997</v>
      </c>
      <c r="BX95" s="230">
        <v>45047100</v>
      </c>
      <c r="BY95" s="230">
        <v>44790900</v>
      </c>
      <c r="BZ95" s="230">
        <v>256200</v>
      </c>
      <c r="CA95" s="229">
        <v>5.7000000000000002E-3</v>
      </c>
      <c r="CB95" s="230">
        <v>44338700</v>
      </c>
      <c r="CC95" s="230">
        <v>44093700</v>
      </c>
      <c r="CD95" s="230">
        <v>245000</v>
      </c>
      <c r="CE95" s="229">
        <v>5.5999999999999999E-3</v>
      </c>
      <c r="CF95" s="230">
        <v>685300</v>
      </c>
      <c r="CG95" s="230">
        <v>683200</v>
      </c>
      <c r="CH95" s="230">
        <v>2100</v>
      </c>
      <c r="CI95" s="229">
        <v>3.0999999999999999E-3</v>
      </c>
      <c r="CJ95" s="230">
        <v>23100</v>
      </c>
      <c r="CK95" s="230">
        <v>14000</v>
      </c>
      <c r="CL95" s="230">
        <v>9100</v>
      </c>
      <c r="CM95" s="229">
        <v>0.65</v>
      </c>
      <c r="CN95" s="230">
        <v>10129000</v>
      </c>
      <c r="CO95" s="230">
        <v>9372300</v>
      </c>
      <c r="CP95" s="230">
        <v>756700</v>
      </c>
      <c r="CQ95" s="229">
        <v>8.0699999999999994E-2</v>
      </c>
      <c r="CR95" s="230">
        <v>9101400</v>
      </c>
      <c r="CS95" s="230">
        <v>6537300</v>
      </c>
      <c r="CT95" s="230">
        <v>2564100</v>
      </c>
      <c r="CU95" s="229">
        <v>0.39219999999999999</v>
      </c>
      <c r="CV95" s="230">
        <v>64277500</v>
      </c>
      <c r="CW95" s="230">
        <v>60700500</v>
      </c>
      <c r="CX95" s="230">
        <v>3577000</v>
      </c>
      <c r="CY95" s="229">
        <v>5.8900000000000001E-2</v>
      </c>
      <c r="CZ95" s="228">
        <v>27.14</v>
      </c>
      <c r="DA95" s="228">
        <v>27.09</v>
      </c>
      <c r="DB95" s="228">
        <v>0.05</v>
      </c>
      <c r="DC95" s="228">
        <v>0.05</v>
      </c>
      <c r="DD95" s="228">
        <v>43.66</v>
      </c>
      <c r="DE95" s="228">
        <v>43.59</v>
      </c>
      <c r="DF95" s="228">
        <v>-16.52</v>
      </c>
      <c r="DG95" s="228">
        <v>7.0000000000000007E-2</v>
      </c>
      <c r="DH95" s="228">
        <v>27.06</v>
      </c>
      <c r="DI95" s="228">
        <v>26.79</v>
      </c>
      <c r="DJ95" s="228">
        <v>0.27</v>
      </c>
      <c r="DK95" s="228">
        <v>0.27</v>
      </c>
      <c r="DL95" s="228">
        <v>27.28</v>
      </c>
      <c r="DM95" s="228">
        <v>27.57</v>
      </c>
      <c r="DN95" s="228">
        <v>-0.28999999999999998</v>
      </c>
      <c r="DO95" s="228">
        <v>-0.28999999999999998</v>
      </c>
      <c r="DP95" s="228">
        <v>0.9</v>
      </c>
      <c r="DQ95" s="228">
        <v>0.7</v>
      </c>
      <c r="DR95" s="228">
        <v>0.2</v>
      </c>
      <c r="DS95" s="229">
        <v>0.28570000000000001</v>
      </c>
      <c r="DT95" s="228">
        <v>900</v>
      </c>
      <c r="DU95" s="228">
        <v>900</v>
      </c>
      <c r="DV95" s="228">
        <v>0.55000000000000004</v>
      </c>
      <c r="DW95" s="228">
        <v>0.63</v>
      </c>
      <c r="DX95" s="228">
        <v>-0.08</v>
      </c>
      <c r="DY95" s="229">
        <v>-0.127</v>
      </c>
      <c r="DZ95" s="229">
        <v>1.5699999999999999E-2</v>
      </c>
      <c r="EA95" s="230">
        <v>697200</v>
      </c>
      <c r="EB95" s="229">
        <v>5.3E-3</v>
      </c>
      <c r="EC95" s="229">
        <v>1.5699999999999999E-2</v>
      </c>
      <c r="ED95" s="228">
        <v>5.85</v>
      </c>
      <c r="EE95" s="229">
        <v>6.6E-3</v>
      </c>
      <c r="EF95" s="230">
        <v>2104045</v>
      </c>
      <c r="EG95" s="230">
        <v>1368996</v>
      </c>
      <c r="EH95" s="229">
        <v>0.53690000000000004</v>
      </c>
      <c r="EI95" s="229">
        <v>0.46379999999999999</v>
      </c>
      <c r="EJ95" s="231">
        <v>196693.62</v>
      </c>
      <c r="EK95" s="231">
        <v>101860.09</v>
      </c>
      <c r="EL95" s="231">
        <v>64650.21</v>
      </c>
      <c r="EM95" s="231">
        <v>32151</v>
      </c>
      <c r="EN95" s="231">
        <v>363203.92</v>
      </c>
      <c r="EO95" s="231">
        <v>386901</v>
      </c>
      <c r="EP95" s="231">
        <v>-23697.08</v>
      </c>
      <c r="EQ95" s="229">
        <v>-6.1199999999999997E-2</v>
      </c>
      <c r="ER95" s="231">
        <v>90720</v>
      </c>
      <c r="ES95" s="231">
        <v>76595</v>
      </c>
      <c r="ET95" s="231">
        <v>402598</v>
      </c>
      <c r="EU95" s="231">
        <v>93808799</v>
      </c>
      <c r="EV95" s="231">
        <v>569914</v>
      </c>
      <c r="EW95" s="231">
        <v>526554</v>
      </c>
      <c r="EX95" s="231">
        <v>43360</v>
      </c>
      <c r="EY95" s="229">
        <v>8.2299999999999998E-2</v>
      </c>
      <c r="EZ95" s="229">
        <v>0.68520000000000003</v>
      </c>
      <c r="FA95" s="227" t="s">
        <v>555</v>
      </c>
      <c r="FB95" s="161">
        <f t="shared" si="1"/>
        <v>708400</v>
      </c>
    </row>
    <row r="96" spans="1:158" ht="17.25" hidden="1" thickBot="1" x14ac:dyDescent="0.3">
      <c r="A96" s="226">
        <v>46023</v>
      </c>
      <c r="B96" s="227" t="s">
        <v>188</v>
      </c>
      <c r="C96" s="227" t="s">
        <v>473</v>
      </c>
      <c r="D96" s="228">
        <v>1700</v>
      </c>
      <c r="E96" s="228">
        <v>438.8</v>
      </c>
      <c r="F96" s="228">
        <v>421.2</v>
      </c>
      <c r="G96" s="228">
        <v>17.600000000000001</v>
      </c>
      <c r="H96" s="229">
        <v>4.1799999999999997E-2</v>
      </c>
      <c r="I96" s="228">
        <v>435.8</v>
      </c>
      <c r="J96" s="228">
        <v>418.75</v>
      </c>
      <c r="K96" s="228">
        <v>17.05</v>
      </c>
      <c r="L96" s="229">
        <v>4.07E-2</v>
      </c>
      <c r="M96" s="228">
        <v>438.8</v>
      </c>
      <c r="N96" s="228">
        <v>421.2</v>
      </c>
      <c r="O96" s="228">
        <v>17.600000000000001</v>
      </c>
      <c r="P96" s="229">
        <v>4.1799999999999997E-2</v>
      </c>
      <c r="Q96" s="228">
        <v>440.95</v>
      </c>
      <c r="R96" s="228">
        <v>424</v>
      </c>
      <c r="S96" s="228">
        <v>16.95</v>
      </c>
      <c r="T96" s="229">
        <v>0.04</v>
      </c>
      <c r="U96" s="228">
        <v>443.8</v>
      </c>
      <c r="V96" s="228">
        <v>428.1</v>
      </c>
      <c r="W96" s="228">
        <v>15.7</v>
      </c>
      <c r="X96" s="229">
        <v>3.6700000000000003E-2</v>
      </c>
      <c r="Y96" s="228">
        <v>3</v>
      </c>
      <c r="Z96" s="228">
        <v>2.4500000000000002</v>
      </c>
      <c r="AA96" s="228">
        <v>0.55000000000000004</v>
      </c>
      <c r="AB96" s="229">
        <v>6.8999999999999999E-3</v>
      </c>
      <c r="AC96" s="228">
        <v>3</v>
      </c>
      <c r="AD96" s="228">
        <v>2.4500000000000002</v>
      </c>
      <c r="AE96" s="228">
        <v>0.55000000000000004</v>
      </c>
      <c r="AF96" s="229">
        <v>6.8999999999999999E-3</v>
      </c>
      <c r="AG96" s="228">
        <v>5.15</v>
      </c>
      <c r="AH96" s="228">
        <v>5.25</v>
      </c>
      <c r="AI96" s="228">
        <v>-0.1</v>
      </c>
      <c r="AJ96" s="229">
        <v>1.18E-2</v>
      </c>
      <c r="AK96" s="228">
        <v>8</v>
      </c>
      <c r="AL96" s="228">
        <v>9.35</v>
      </c>
      <c r="AM96" s="228">
        <v>-1.35</v>
      </c>
      <c r="AN96" s="229">
        <v>1.84E-2</v>
      </c>
      <c r="AO96" s="228">
        <v>435.95</v>
      </c>
      <c r="AP96" s="228">
        <v>438.21</v>
      </c>
      <c r="AQ96" s="228">
        <v>0</v>
      </c>
      <c r="AR96" s="230">
        <v>31613200</v>
      </c>
      <c r="AS96" s="230">
        <v>55788900</v>
      </c>
      <c r="AT96" s="230">
        <v>-24175700</v>
      </c>
      <c r="AU96" s="229">
        <v>-0.43330000000000002</v>
      </c>
      <c r="AV96" s="230">
        <v>30715600</v>
      </c>
      <c r="AW96" s="230">
        <v>54321800</v>
      </c>
      <c r="AX96" s="230">
        <v>-23606200</v>
      </c>
      <c r="AY96" s="229">
        <v>-0.43459999999999999</v>
      </c>
      <c r="AZ96" s="230">
        <v>763300</v>
      </c>
      <c r="BA96" s="230">
        <v>1405900</v>
      </c>
      <c r="BB96" s="230">
        <v>-642600</v>
      </c>
      <c r="BC96" s="229">
        <v>-0.45710000000000001</v>
      </c>
      <c r="BD96" s="230">
        <v>134300</v>
      </c>
      <c r="BE96" s="230">
        <v>61200</v>
      </c>
      <c r="BF96" s="230">
        <v>73100</v>
      </c>
      <c r="BG96" s="229">
        <v>1.1943999999999999</v>
      </c>
      <c r="BH96" s="230">
        <v>96854100</v>
      </c>
      <c r="BI96" s="230">
        <v>138602700</v>
      </c>
      <c r="BJ96" s="230">
        <v>-41748600</v>
      </c>
      <c r="BK96" s="229">
        <v>-0.30120000000000002</v>
      </c>
      <c r="BL96" s="230">
        <v>41109400</v>
      </c>
      <c r="BM96" s="230">
        <v>71403400</v>
      </c>
      <c r="BN96" s="230">
        <v>-30294000</v>
      </c>
      <c r="BO96" s="229">
        <v>-0.42430000000000001</v>
      </c>
      <c r="BP96" s="230">
        <v>169576700</v>
      </c>
      <c r="BQ96" s="230">
        <v>265795000</v>
      </c>
      <c r="BR96" s="230">
        <v>-96218300</v>
      </c>
      <c r="BS96" s="229">
        <v>-0.36199999999999999</v>
      </c>
      <c r="BT96" s="230">
        <v>18788540</v>
      </c>
      <c r="BU96" s="230">
        <v>18285885</v>
      </c>
      <c r="BV96" s="230">
        <v>502655</v>
      </c>
      <c r="BW96" s="229">
        <v>2.75E-2</v>
      </c>
      <c r="BX96" s="230">
        <v>90883700</v>
      </c>
      <c r="BY96" s="230">
        <v>88760400</v>
      </c>
      <c r="BZ96" s="230">
        <v>2123300</v>
      </c>
      <c r="CA96" s="229">
        <v>2.3900000000000001E-2</v>
      </c>
      <c r="CB96" s="230">
        <v>90096600</v>
      </c>
      <c r="CC96" s="230">
        <v>88107600</v>
      </c>
      <c r="CD96" s="230">
        <v>1989000</v>
      </c>
      <c r="CE96" s="229">
        <v>2.2599999999999999E-2</v>
      </c>
      <c r="CF96" s="230">
        <v>681700</v>
      </c>
      <c r="CG96" s="230">
        <v>608600</v>
      </c>
      <c r="CH96" s="230">
        <v>73100</v>
      </c>
      <c r="CI96" s="229">
        <v>0.1201</v>
      </c>
      <c r="CJ96" s="230">
        <v>105400</v>
      </c>
      <c r="CK96" s="230">
        <v>44200</v>
      </c>
      <c r="CL96" s="230">
        <v>61200</v>
      </c>
      <c r="CM96" s="229">
        <v>1.3846000000000001</v>
      </c>
      <c r="CN96" s="230">
        <v>20245300</v>
      </c>
      <c r="CO96" s="230">
        <v>21918100</v>
      </c>
      <c r="CP96" s="230">
        <v>-1672800</v>
      </c>
      <c r="CQ96" s="229">
        <v>-7.6300000000000007E-2</v>
      </c>
      <c r="CR96" s="230">
        <v>15437700</v>
      </c>
      <c r="CS96" s="230">
        <v>13110400</v>
      </c>
      <c r="CT96" s="230">
        <v>2327300</v>
      </c>
      <c r="CU96" s="229">
        <v>0.17749999999999999</v>
      </c>
      <c r="CV96" s="230">
        <v>126566700</v>
      </c>
      <c r="CW96" s="230">
        <v>123788900</v>
      </c>
      <c r="CX96" s="230">
        <v>2777800</v>
      </c>
      <c r="CY96" s="229">
        <v>2.24E-2</v>
      </c>
      <c r="CZ96" s="228">
        <v>26.8</v>
      </c>
      <c r="DA96" s="228">
        <v>29.54</v>
      </c>
      <c r="DB96" s="228">
        <v>-2.74</v>
      </c>
      <c r="DC96" s="228">
        <v>-2.74</v>
      </c>
      <c r="DD96" s="228">
        <v>38.270000000000003</v>
      </c>
      <c r="DE96" s="228">
        <v>37.979999999999997</v>
      </c>
      <c r="DF96" s="228">
        <v>-11.47</v>
      </c>
      <c r="DG96" s="228">
        <v>0.28999999999999998</v>
      </c>
      <c r="DH96" s="228">
        <v>26.5</v>
      </c>
      <c r="DI96" s="228">
        <v>29.39</v>
      </c>
      <c r="DJ96" s="228">
        <v>-2.89</v>
      </c>
      <c r="DK96" s="228">
        <v>-2.89</v>
      </c>
      <c r="DL96" s="228">
        <v>27.5</v>
      </c>
      <c r="DM96" s="228">
        <v>29.83</v>
      </c>
      <c r="DN96" s="228">
        <v>-2.33</v>
      </c>
      <c r="DO96" s="228">
        <v>-2.33</v>
      </c>
      <c r="DP96" s="228">
        <v>0.76</v>
      </c>
      <c r="DQ96" s="228">
        <v>0.6</v>
      </c>
      <c r="DR96" s="228">
        <v>0.16</v>
      </c>
      <c r="DS96" s="229">
        <v>0.26669999999999999</v>
      </c>
      <c r="DT96" s="228">
        <v>430</v>
      </c>
      <c r="DU96" s="228">
        <v>420</v>
      </c>
      <c r="DV96" s="228">
        <v>0.42</v>
      </c>
      <c r="DW96" s="228">
        <v>0.52</v>
      </c>
      <c r="DX96" s="228">
        <v>-0.1</v>
      </c>
      <c r="DY96" s="229">
        <v>-0.1923</v>
      </c>
      <c r="DZ96" s="229">
        <v>8.6999999999999994E-3</v>
      </c>
      <c r="EA96" s="230">
        <v>652800</v>
      </c>
      <c r="EB96" s="229">
        <v>4.8999999999999998E-3</v>
      </c>
      <c r="EC96" s="229">
        <v>8.6999999999999994E-3</v>
      </c>
      <c r="ED96" s="228">
        <v>2.2599999999999998</v>
      </c>
      <c r="EE96" s="229">
        <v>5.1999999999999998E-3</v>
      </c>
      <c r="EF96" s="230">
        <v>8303968</v>
      </c>
      <c r="EG96" s="230">
        <v>6328085</v>
      </c>
      <c r="EH96" s="229">
        <v>0.31219999999999998</v>
      </c>
      <c r="EI96" s="229">
        <v>0.442</v>
      </c>
      <c r="EJ96" s="231">
        <v>439877.35</v>
      </c>
      <c r="EK96" s="231">
        <v>175289.85</v>
      </c>
      <c r="EL96" s="231">
        <v>137843.54999999999</v>
      </c>
      <c r="EM96" s="231">
        <v>26091</v>
      </c>
      <c r="EN96" s="231">
        <v>753010.75</v>
      </c>
      <c r="EO96" s="231">
        <v>1156760.83</v>
      </c>
      <c r="EP96" s="231">
        <v>-403750.08</v>
      </c>
      <c r="EQ96" s="229">
        <v>-0.34899999999999998</v>
      </c>
      <c r="ER96" s="231">
        <v>88972</v>
      </c>
      <c r="ES96" s="231">
        <v>64144</v>
      </c>
      <c r="ET96" s="231">
        <v>398818</v>
      </c>
      <c r="EU96" s="231">
        <v>193623116</v>
      </c>
      <c r="EV96" s="231">
        <v>551934</v>
      </c>
      <c r="EW96" s="231">
        <v>523055</v>
      </c>
      <c r="EX96" s="231">
        <v>28879</v>
      </c>
      <c r="EY96" s="229">
        <v>5.5199999999999999E-2</v>
      </c>
      <c r="EZ96" s="229">
        <v>0.65369999999999995</v>
      </c>
      <c r="FA96" s="227" t="s">
        <v>555</v>
      </c>
      <c r="FB96" s="161">
        <f t="shared" si="1"/>
        <v>787100</v>
      </c>
    </row>
    <row r="97" spans="1:158" ht="17.25" hidden="1" thickBot="1" x14ac:dyDescent="0.3">
      <c r="A97" s="226">
        <v>46023</v>
      </c>
      <c r="B97" s="227" t="s">
        <v>221</v>
      </c>
      <c r="C97" s="227" t="s">
        <v>240</v>
      </c>
      <c r="D97" s="228">
        <v>400</v>
      </c>
      <c r="E97" s="231">
        <v>1637.3</v>
      </c>
      <c r="F97" s="231">
        <v>1625.3</v>
      </c>
      <c r="G97" s="228">
        <v>12</v>
      </c>
      <c r="H97" s="229">
        <v>7.4000000000000003E-3</v>
      </c>
      <c r="I97" s="231">
        <v>1629.8</v>
      </c>
      <c r="J97" s="231">
        <v>1615.4</v>
      </c>
      <c r="K97" s="228">
        <v>14.4</v>
      </c>
      <c r="L97" s="229">
        <v>8.8999999999999999E-3</v>
      </c>
      <c r="M97" s="231">
        <v>1637.3</v>
      </c>
      <c r="N97" s="231">
        <v>1625.3</v>
      </c>
      <c r="O97" s="228">
        <v>12</v>
      </c>
      <c r="P97" s="229">
        <v>7.4000000000000003E-3</v>
      </c>
      <c r="Q97" s="231">
        <v>1646.6</v>
      </c>
      <c r="R97" s="231">
        <v>1634.7</v>
      </c>
      <c r="S97" s="228">
        <v>11.9</v>
      </c>
      <c r="T97" s="229">
        <v>7.3000000000000001E-3</v>
      </c>
      <c r="U97" s="231">
        <v>1656.8</v>
      </c>
      <c r="V97" s="231">
        <v>1644.9</v>
      </c>
      <c r="W97" s="228">
        <v>11.9</v>
      </c>
      <c r="X97" s="229">
        <v>7.1999999999999998E-3</v>
      </c>
      <c r="Y97" s="228">
        <v>7.5</v>
      </c>
      <c r="Z97" s="228">
        <v>9.9</v>
      </c>
      <c r="AA97" s="228">
        <v>-2.4</v>
      </c>
      <c r="AB97" s="229">
        <v>4.5999999999999999E-3</v>
      </c>
      <c r="AC97" s="228">
        <v>7.5</v>
      </c>
      <c r="AD97" s="228">
        <v>9.9</v>
      </c>
      <c r="AE97" s="228">
        <v>-2.4</v>
      </c>
      <c r="AF97" s="229">
        <v>4.5999999999999999E-3</v>
      </c>
      <c r="AG97" s="228">
        <v>16.8</v>
      </c>
      <c r="AH97" s="228">
        <v>19.3</v>
      </c>
      <c r="AI97" s="228">
        <v>-2.5</v>
      </c>
      <c r="AJ97" s="229">
        <v>1.03E-2</v>
      </c>
      <c r="AK97" s="228">
        <v>27</v>
      </c>
      <c r="AL97" s="228">
        <v>29.5</v>
      </c>
      <c r="AM97" s="228">
        <v>-2.5</v>
      </c>
      <c r="AN97" s="229">
        <v>1.66E-2</v>
      </c>
      <c r="AO97" s="231">
        <v>1635.36</v>
      </c>
      <c r="AP97" s="231">
        <v>1645.33</v>
      </c>
      <c r="AQ97" s="228">
        <v>0</v>
      </c>
      <c r="AR97" s="230">
        <v>3197600</v>
      </c>
      <c r="AS97" s="230">
        <v>7542800</v>
      </c>
      <c r="AT97" s="230">
        <v>-4345200</v>
      </c>
      <c r="AU97" s="229">
        <v>-0.57609999999999995</v>
      </c>
      <c r="AV97" s="230">
        <v>3013200</v>
      </c>
      <c r="AW97" s="230">
        <v>7377600</v>
      </c>
      <c r="AX97" s="230">
        <v>-4364400</v>
      </c>
      <c r="AY97" s="229">
        <v>-0.59160000000000001</v>
      </c>
      <c r="AZ97" s="230">
        <v>128400</v>
      </c>
      <c r="BA97" s="230">
        <v>137200</v>
      </c>
      <c r="BB97" s="230">
        <v>-8800</v>
      </c>
      <c r="BC97" s="229">
        <v>-6.4100000000000004E-2</v>
      </c>
      <c r="BD97" s="230">
        <v>56000</v>
      </c>
      <c r="BE97" s="230">
        <v>28000</v>
      </c>
      <c r="BF97" s="230">
        <v>28000</v>
      </c>
      <c r="BG97" s="229">
        <v>1</v>
      </c>
      <c r="BH97" s="230">
        <v>13256000</v>
      </c>
      <c r="BI97" s="230">
        <v>15006800</v>
      </c>
      <c r="BJ97" s="230">
        <v>-1750800</v>
      </c>
      <c r="BK97" s="229">
        <v>-0.1167</v>
      </c>
      <c r="BL97" s="230">
        <v>5775200</v>
      </c>
      <c r="BM97" s="230">
        <v>7723600</v>
      </c>
      <c r="BN97" s="230">
        <v>-1948400</v>
      </c>
      <c r="BO97" s="229">
        <v>-0.25230000000000002</v>
      </c>
      <c r="BP97" s="230">
        <v>22228800</v>
      </c>
      <c r="BQ97" s="230">
        <v>30273200</v>
      </c>
      <c r="BR97" s="230">
        <v>-8044400</v>
      </c>
      <c r="BS97" s="229">
        <v>-0.26569999999999999</v>
      </c>
      <c r="BT97" s="230">
        <v>4142913</v>
      </c>
      <c r="BU97" s="230">
        <v>6870210</v>
      </c>
      <c r="BV97" s="230">
        <v>-2727297</v>
      </c>
      <c r="BW97" s="229">
        <v>-0.39700000000000002</v>
      </c>
      <c r="BX97" s="230">
        <v>70668000</v>
      </c>
      <c r="BY97" s="230">
        <v>70637600</v>
      </c>
      <c r="BZ97" s="230">
        <v>30400</v>
      </c>
      <c r="CA97" s="229">
        <v>4.0000000000000002E-4</v>
      </c>
      <c r="CB97" s="230">
        <v>69862000</v>
      </c>
      <c r="CC97" s="230">
        <v>69874800</v>
      </c>
      <c r="CD97" s="230">
        <v>-12800</v>
      </c>
      <c r="CE97" s="229">
        <v>-2.0000000000000001E-4</v>
      </c>
      <c r="CF97" s="230">
        <v>746400</v>
      </c>
      <c r="CG97" s="230">
        <v>744400</v>
      </c>
      <c r="CH97" s="230">
        <v>2000</v>
      </c>
      <c r="CI97" s="229">
        <v>2.7000000000000001E-3</v>
      </c>
      <c r="CJ97" s="230">
        <v>59600</v>
      </c>
      <c r="CK97" s="230">
        <v>18400</v>
      </c>
      <c r="CL97" s="230">
        <v>41200</v>
      </c>
      <c r="CM97" s="229">
        <v>2.2391000000000001</v>
      </c>
      <c r="CN97" s="230">
        <v>11748400</v>
      </c>
      <c r="CO97" s="230">
        <v>10625600</v>
      </c>
      <c r="CP97" s="230">
        <v>1122800</v>
      </c>
      <c r="CQ97" s="229">
        <v>0.1057</v>
      </c>
      <c r="CR97" s="230">
        <v>9275200</v>
      </c>
      <c r="CS97" s="230">
        <v>8683200</v>
      </c>
      <c r="CT97" s="230">
        <v>592000</v>
      </c>
      <c r="CU97" s="229">
        <v>6.8199999999999997E-2</v>
      </c>
      <c r="CV97" s="230">
        <v>91691600</v>
      </c>
      <c r="CW97" s="230">
        <v>89946400</v>
      </c>
      <c r="CX97" s="230">
        <v>1745200</v>
      </c>
      <c r="CY97" s="229">
        <v>1.9400000000000001E-2</v>
      </c>
      <c r="CZ97" s="228">
        <v>23.42</v>
      </c>
      <c r="DA97" s="228">
        <v>23.52</v>
      </c>
      <c r="DB97" s="228">
        <v>-0.1</v>
      </c>
      <c r="DC97" s="228">
        <v>-0.1</v>
      </c>
      <c r="DD97" s="228">
        <v>28.25</v>
      </c>
      <c r="DE97" s="228">
        <v>28.3</v>
      </c>
      <c r="DF97" s="228">
        <v>-4.83</v>
      </c>
      <c r="DG97" s="228">
        <v>-0.05</v>
      </c>
      <c r="DH97" s="228">
        <v>23.09</v>
      </c>
      <c r="DI97" s="228">
        <v>23.35</v>
      </c>
      <c r="DJ97" s="228">
        <v>-0.26</v>
      </c>
      <c r="DK97" s="228">
        <v>-0.26</v>
      </c>
      <c r="DL97" s="228">
        <v>24.17</v>
      </c>
      <c r="DM97" s="228">
        <v>23.85</v>
      </c>
      <c r="DN97" s="228">
        <v>0.32</v>
      </c>
      <c r="DO97" s="228">
        <v>0.32</v>
      </c>
      <c r="DP97" s="228">
        <v>0.79</v>
      </c>
      <c r="DQ97" s="228">
        <v>0.82</v>
      </c>
      <c r="DR97" s="228">
        <v>-0.03</v>
      </c>
      <c r="DS97" s="229">
        <v>-3.6600000000000001E-2</v>
      </c>
      <c r="DT97" s="231">
        <v>1660</v>
      </c>
      <c r="DU97" s="231">
        <v>1620</v>
      </c>
      <c r="DV97" s="228">
        <v>0.44</v>
      </c>
      <c r="DW97" s="228">
        <v>0.51</v>
      </c>
      <c r="DX97" s="228">
        <v>-7.0000000000000007E-2</v>
      </c>
      <c r="DY97" s="229">
        <v>-0.13730000000000001</v>
      </c>
      <c r="DZ97" s="229">
        <v>1.14E-2</v>
      </c>
      <c r="EA97" s="230">
        <v>762800</v>
      </c>
      <c r="EB97" s="229">
        <v>5.7000000000000002E-3</v>
      </c>
      <c r="EC97" s="229">
        <v>1.14E-2</v>
      </c>
      <c r="ED97" s="228">
        <v>9.9700000000000006</v>
      </c>
      <c r="EE97" s="229">
        <v>6.1000000000000004E-3</v>
      </c>
      <c r="EF97" s="230">
        <v>1469194</v>
      </c>
      <c r="EG97" s="230">
        <v>5036208</v>
      </c>
      <c r="EH97" s="229">
        <v>-0.70830000000000004</v>
      </c>
      <c r="EI97" s="229">
        <v>0.35460000000000003</v>
      </c>
      <c r="EJ97" s="231">
        <v>226671.85</v>
      </c>
      <c r="EK97" s="231">
        <v>92847.45</v>
      </c>
      <c r="EL97" s="231">
        <v>52318.19</v>
      </c>
      <c r="EM97" s="231">
        <v>54360</v>
      </c>
      <c r="EN97" s="231">
        <v>371837.49</v>
      </c>
      <c r="EO97" s="231">
        <v>502606.54</v>
      </c>
      <c r="EP97" s="231">
        <v>-130769.05</v>
      </c>
      <c r="EQ97" s="229">
        <v>-0.26019999999999999</v>
      </c>
      <c r="ER97" s="231">
        <v>200154</v>
      </c>
      <c r="ES97" s="231">
        <v>145227</v>
      </c>
      <c r="ET97" s="231">
        <v>1157128</v>
      </c>
      <c r="EU97" s="231">
        <v>368703409</v>
      </c>
      <c r="EV97" s="231">
        <v>1502510</v>
      </c>
      <c r="EW97" s="231">
        <v>1464799</v>
      </c>
      <c r="EX97" s="231">
        <v>37711</v>
      </c>
      <c r="EY97" s="229">
        <v>2.5700000000000001E-2</v>
      </c>
      <c r="EZ97" s="229">
        <v>0.2487</v>
      </c>
      <c r="FA97" s="227" t="s">
        <v>555</v>
      </c>
      <c r="FB97" s="161">
        <f t="shared" si="1"/>
        <v>806000</v>
      </c>
    </row>
    <row r="98" spans="1:158" ht="17.25" hidden="1" thickBot="1" x14ac:dyDescent="0.3">
      <c r="A98" s="226">
        <v>46023</v>
      </c>
      <c r="B98" s="227" t="s">
        <v>161</v>
      </c>
      <c r="C98" s="227" t="s">
        <v>669</v>
      </c>
      <c r="D98" s="228">
        <v>3575</v>
      </c>
      <c r="E98" s="228">
        <v>123.68</v>
      </c>
      <c r="F98" s="228">
        <v>124.36</v>
      </c>
      <c r="G98" s="228">
        <v>-0.68</v>
      </c>
      <c r="H98" s="229">
        <v>-5.4999999999999997E-3</v>
      </c>
      <c r="I98" s="228">
        <v>122.85</v>
      </c>
      <c r="J98" s="228">
        <v>123.53</v>
      </c>
      <c r="K98" s="228">
        <v>-0.68</v>
      </c>
      <c r="L98" s="229">
        <v>-5.4999999999999997E-3</v>
      </c>
      <c r="M98" s="228">
        <v>123.68</v>
      </c>
      <c r="N98" s="228">
        <v>124.36</v>
      </c>
      <c r="O98" s="228">
        <v>-0.68</v>
      </c>
      <c r="P98" s="229">
        <v>-5.4999999999999997E-3</v>
      </c>
      <c r="Q98" s="228">
        <v>124.35</v>
      </c>
      <c r="R98" s="228">
        <v>125.23</v>
      </c>
      <c r="S98" s="228">
        <v>-0.88</v>
      </c>
      <c r="T98" s="229">
        <v>-7.0000000000000001E-3</v>
      </c>
      <c r="U98" s="228">
        <v>124.61</v>
      </c>
      <c r="V98" s="228">
        <v>126</v>
      </c>
      <c r="W98" s="228">
        <v>-1.39</v>
      </c>
      <c r="X98" s="229">
        <v>-1.0999999999999999E-2</v>
      </c>
      <c r="Y98" s="228">
        <v>0.83</v>
      </c>
      <c r="Z98" s="228">
        <v>0.83</v>
      </c>
      <c r="AA98" s="228">
        <v>0</v>
      </c>
      <c r="AB98" s="229">
        <v>6.7999999999999996E-3</v>
      </c>
      <c r="AC98" s="228">
        <v>0.83</v>
      </c>
      <c r="AD98" s="228">
        <v>0.83</v>
      </c>
      <c r="AE98" s="228">
        <v>0</v>
      </c>
      <c r="AF98" s="229">
        <v>6.7999999999999996E-3</v>
      </c>
      <c r="AG98" s="228">
        <v>1.5</v>
      </c>
      <c r="AH98" s="228">
        <v>1.7</v>
      </c>
      <c r="AI98" s="228">
        <v>-0.2</v>
      </c>
      <c r="AJ98" s="229">
        <v>1.2200000000000001E-2</v>
      </c>
      <c r="AK98" s="228">
        <v>1.76</v>
      </c>
      <c r="AL98" s="228">
        <v>2.4700000000000002</v>
      </c>
      <c r="AM98" s="228">
        <v>-0.71</v>
      </c>
      <c r="AN98" s="229">
        <v>1.43E-2</v>
      </c>
      <c r="AO98" s="228">
        <v>123.63</v>
      </c>
      <c r="AP98" s="228">
        <v>124.39</v>
      </c>
      <c r="AQ98" s="228">
        <v>0</v>
      </c>
      <c r="AR98" s="230">
        <v>4869150</v>
      </c>
      <c r="AS98" s="230">
        <v>16927625</v>
      </c>
      <c r="AT98" s="230">
        <v>-12058475</v>
      </c>
      <c r="AU98" s="229">
        <v>-0.71240000000000003</v>
      </c>
      <c r="AV98" s="230">
        <v>4497350</v>
      </c>
      <c r="AW98" s="230">
        <v>16305575</v>
      </c>
      <c r="AX98" s="230">
        <v>-11808225</v>
      </c>
      <c r="AY98" s="229">
        <v>-0.72419999999999995</v>
      </c>
      <c r="AZ98" s="230">
        <v>350350</v>
      </c>
      <c r="BA98" s="230">
        <v>597025</v>
      </c>
      <c r="BB98" s="230">
        <v>-246675</v>
      </c>
      <c r="BC98" s="229">
        <v>-0.41320000000000001</v>
      </c>
      <c r="BD98" s="230">
        <v>21450</v>
      </c>
      <c r="BE98" s="230">
        <v>25025</v>
      </c>
      <c r="BF98" s="230">
        <v>-3575</v>
      </c>
      <c r="BG98" s="229">
        <v>-0.1429</v>
      </c>
      <c r="BH98" s="230">
        <v>5702125</v>
      </c>
      <c r="BI98" s="230">
        <v>15293850</v>
      </c>
      <c r="BJ98" s="230">
        <v>-9591725</v>
      </c>
      <c r="BK98" s="229">
        <v>-0.62719999999999998</v>
      </c>
      <c r="BL98" s="230">
        <v>2155725</v>
      </c>
      <c r="BM98" s="230">
        <v>6663800</v>
      </c>
      <c r="BN98" s="230">
        <v>-4508075</v>
      </c>
      <c r="BO98" s="229">
        <v>-0.67649999999999999</v>
      </c>
      <c r="BP98" s="230">
        <v>12727000</v>
      </c>
      <c r="BQ98" s="230">
        <v>38885275</v>
      </c>
      <c r="BR98" s="230">
        <v>-26158275</v>
      </c>
      <c r="BS98" s="229">
        <v>-0.67269999999999996</v>
      </c>
      <c r="BT98" s="230">
        <v>3371886</v>
      </c>
      <c r="BU98" s="230">
        <v>15197402</v>
      </c>
      <c r="BV98" s="230">
        <v>-11825516</v>
      </c>
      <c r="BW98" s="229">
        <v>-0.77810000000000001</v>
      </c>
      <c r="BX98" s="230">
        <v>90955150</v>
      </c>
      <c r="BY98" s="230">
        <v>90754950</v>
      </c>
      <c r="BZ98" s="230">
        <v>200200</v>
      </c>
      <c r="CA98" s="229">
        <v>2.2000000000000001E-3</v>
      </c>
      <c r="CB98" s="230">
        <v>87144200</v>
      </c>
      <c r="CC98" s="230">
        <v>86911825</v>
      </c>
      <c r="CD98" s="230">
        <v>232375</v>
      </c>
      <c r="CE98" s="229">
        <v>2.7000000000000001E-3</v>
      </c>
      <c r="CF98" s="230">
        <v>3775200</v>
      </c>
      <c r="CG98" s="230">
        <v>3818100</v>
      </c>
      <c r="CH98" s="230">
        <v>-42900</v>
      </c>
      <c r="CI98" s="229">
        <v>-1.12E-2</v>
      </c>
      <c r="CJ98" s="230">
        <v>35750</v>
      </c>
      <c r="CK98" s="230">
        <v>25025</v>
      </c>
      <c r="CL98" s="230">
        <v>10725</v>
      </c>
      <c r="CM98" s="229">
        <v>0.42859999999999998</v>
      </c>
      <c r="CN98" s="230">
        <v>18089500</v>
      </c>
      <c r="CO98" s="230">
        <v>16777475</v>
      </c>
      <c r="CP98" s="230">
        <v>1312025</v>
      </c>
      <c r="CQ98" s="229">
        <v>7.8200000000000006E-2</v>
      </c>
      <c r="CR98" s="230">
        <v>14078350</v>
      </c>
      <c r="CS98" s="230">
        <v>13606450</v>
      </c>
      <c r="CT98" s="230">
        <v>471900</v>
      </c>
      <c r="CU98" s="229">
        <v>3.4700000000000002E-2</v>
      </c>
      <c r="CV98" s="230">
        <v>123123000</v>
      </c>
      <c r="CW98" s="230">
        <v>121138875</v>
      </c>
      <c r="CX98" s="230">
        <v>1984125</v>
      </c>
      <c r="CY98" s="229">
        <v>1.6400000000000001E-2</v>
      </c>
      <c r="CZ98" s="228">
        <v>34.909999999999997</v>
      </c>
      <c r="DA98" s="228">
        <v>33.49</v>
      </c>
      <c r="DB98" s="228">
        <v>1.42</v>
      </c>
      <c r="DC98" s="228">
        <v>1.42</v>
      </c>
      <c r="DD98" s="228">
        <v>52.03</v>
      </c>
      <c r="DE98" s="228">
        <v>52.16</v>
      </c>
      <c r="DF98" s="228">
        <v>-17.12</v>
      </c>
      <c r="DG98" s="228">
        <v>-0.13</v>
      </c>
      <c r="DH98" s="228">
        <v>35.119999999999997</v>
      </c>
      <c r="DI98" s="228">
        <v>33.53</v>
      </c>
      <c r="DJ98" s="228">
        <v>1.59</v>
      </c>
      <c r="DK98" s="228">
        <v>1.59</v>
      </c>
      <c r="DL98" s="228">
        <v>34.35</v>
      </c>
      <c r="DM98" s="228">
        <v>33.4</v>
      </c>
      <c r="DN98" s="228">
        <v>0.95</v>
      </c>
      <c r="DO98" s="228">
        <v>0.95</v>
      </c>
      <c r="DP98" s="228">
        <v>0.78</v>
      </c>
      <c r="DQ98" s="228">
        <v>0.81</v>
      </c>
      <c r="DR98" s="228">
        <v>-0.03</v>
      </c>
      <c r="DS98" s="229">
        <v>-3.6999999999999998E-2</v>
      </c>
      <c r="DT98" s="228">
        <v>125</v>
      </c>
      <c r="DU98" s="228">
        <v>125</v>
      </c>
      <c r="DV98" s="228">
        <v>0.38</v>
      </c>
      <c r="DW98" s="228">
        <v>0.44</v>
      </c>
      <c r="DX98" s="228">
        <v>-0.06</v>
      </c>
      <c r="DY98" s="229">
        <v>-0.13639999999999999</v>
      </c>
      <c r="DZ98" s="229">
        <v>4.19E-2</v>
      </c>
      <c r="EA98" s="230">
        <v>3843125</v>
      </c>
      <c r="EB98" s="229">
        <v>5.4000000000000003E-3</v>
      </c>
      <c r="EC98" s="229">
        <v>4.19E-2</v>
      </c>
      <c r="ED98" s="228">
        <v>0.76</v>
      </c>
      <c r="EE98" s="229">
        <v>6.1000000000000004E-3</v>
      </c>
      <c r="EF98" s="230">
        <v>1569759</v>
      </c>
      <c r="EG98" s="230">
        <v>8486333</v>
      </c>
      <c r="EH98" s="229">
        <v>-0.81499999999999995</v>
      </c>
      <c r="EI98" s="229">
        <v>0.46550000000000002</v>
      </c>
      <c r="EJ98" s="231">
        <v>7657.98</v>
      </c>
      <c r="EK98" s="231">
        <v>2603.06</v>
      </c>
      <c r="EL98" s="231">
        <v>6022.73</v>
      </c>
      <c r="EM98" s="231">
        <v>14459</v>
      </c>
      <c r="EN98" s="231">
        <v>16283.77</v>
      </c>
      <c r="EO98" s="231">
        <v>49683.97</v>
      </c>
      <c r="EP98" s="231">
        <v>-33400.199999999997</v>
      </c>
      <c r="EQ98" s="229">
        <v>-0.67230000000000001</v>
      </c>
      <c r="ER98" s="231">
        <v>24136</v>
      </c>
      <c r="ES98" s="231">
        <v>17798</v>
      </c>
      <c r="ET98" s="231">
        <v>112519</v>
      </c>
      <c r="EU98" s="231">
        <v>144708707</v>
      </c>
      <c r="EV98" s="231">
        <v>154453</v>
      </c>
      <c r="EW98" s="231">
        <v>152513</v>
      </c>
      <c r="EX98" s="231">
        <v>1940</v>
      </c>
      <c r="EY98" s="229">
        <v>1.2699999999999999E-2</v>
      </c>
      <c r="EZ98" s="229">
        <v>0.8508</v>
      </c>
      <c r="FA98" s="227" t="s">
        <v>567</v>
      </c>
      <c r="FB98" s="161">
        <f t="shared" si="1"/>
        <v>3810950</v>
      </c>
    </row>
    <row r="99" spans="1:158" ht="17.25" hidden="1" thickBot="1" x14ac:dyDescent="0.3">
      <c r="A99" s="226">
        <v>46023</v>
      </c>
      <c r="B99" s="227" t="s">
        <v>193</v>
      </c>
      <c r="C99" s="227" t="s">
        <v>241</v>
      </c>
      <c r="D99" s="228">
        <v>4875</v>
      </c>
      <c r="E99" s="228">
        <v>166.99</v>
      </c>
      <c r="F99" s="228">
        <v>167.58</v>
      </c>
      <c r="G99" s="228">
        <v>-0.59</v>
      </c>
      <c r="H99" s="229">
        <v>-3.5000000000000001E-3</v>
      </c>
      <c r="I99" s="228">
        <v>165.88</v>
      </c>
      <c r="J99" s="228">
        <v>166.46</v>
      </c>
      <c r="K99" s="228">
        <v>-0.57999999999999996</v>
      </c>
      <c r="L99" s="229">
        <v>-3.5000000000000001E-3</v>
      </c>
      <c r="M99" s="228">
        <v>166.99</v>
      </c>
      <c r="N99" s="228">
        <v>167.58</v>
      </c>
      <c r="O99" s="228">
        <v>-0.59</v>
      </c>
      <c r="P99" s="229">
        <v>-3.5000000000000001E-3</v>
      </c>
      <c r="Q99" s="228">
        <v>167.96</v>
      </c>
      <c r="R99" s="228">
        <v>168.54</v>
      </c>
      <c r="S99" s="228">
        <v>-0.57999999999999996</v>
      </c>
      <c r="T99" s="229">
        <v>-3.3999999999999998E-3</v>
      </c>
      <c r="U99" s="228">
        <v>168.55</v>
      </c>
      <c r="V99" s="228">
        <v>169.08</v>
      </c>
      <c r="W99" s="228">
        <v>-0.53</v>
      </c>
      <c r="X99" s="229">
        <v>-3.0999999999999999E-3</v>
      </c>
      <c r="Y99" s="228">
        <v>1.1100000000000001</v>
      </c>
      <c r="Z99" s="228">
        <v>1.1200000000000001</v>
      </c>
      <c r="AA99" s="228">
        <v>-0.01</v>
      </c>
      <c r="AB99" s="229">
        <v>6.7000000000000002E-3</v>
      </c>
      <c r="AC99" s="228">
        <v>1.1100000000000001</v>
      </c>
      <c r="AD99" s="228">
        <v>1.1200000000000001</v>
      </c>
      <c r="AE99" s="228">
        <v>-0.01</v>
      </c>
      <c r="AF99" s="229">
        <v>6.7000000000000002E-3</v>
      </c>
      <c r="AG99" s="228">
        <v>2.08</v>
      </c>
      <c r="AH99" s="228">
        <v>2.08</v>
      </c>
      <c r="AI99" s="228">
        <v>0</v>
      </c>
      <c r="AJ99" s="229">
        <v>1.2500000000000001E-2</v>
      </c>
      <c r="AK99" s="228">
        <v>2.67</v>
      </c>
      <c r="AL99" s="228">
        <v>2.62</v>
      </c>
      <c r="AM99" s="228">
        <v>0.05</v>
      </c>
      <c r="AN99" s="229">
        <v>1.61E-2</v>
      </c>
      <c r="AO99" s="228">
        <v>167.36</v>
      </c>
      <c r="AP99" s="228">
        <v>168.2</v>
      </c>
      <c r="AQ99" s="228">
        <v>0</v>
      </c>
      <c r="AR99" s="230">
        <v>14015625</v>
      </c>
      <c r="AS99" s="230">
        <v>32838000</v>
      </c>
      <c r="AT99" s="230">
        <v>-18822375</v>
      </c>
      <c r="AU99" s="229">
        <v>-0.57320000000000004</v>
      </c>
      <c r="AV99" s="230">
        <v>12519000</v>
      </c>
      <c r="AW99" s="230">
        <v>29995875</v>
      </c>
      <c r="AX99" s="230">
        <v>-17476875</v>
      </c>
      <c r="AY99" s="229">
        <v>-0.58260000000000001</v>
      </c>
      <c r="AZ99" s="230">
        <v>1184625</v>
      </c>
      <c r="BA99" s="230">
        <v>2642250</v>
      </c>
      <c r="BB99" s="230">
        <v>-1457625</v>
      </c>
      <c r="BC99" s="229">
        <v>-0.55169999999999997</v>
      </c>
      <c r="BD99" s="230">
        <v>312000</v>
      </c>
      <c r="BE99" s="230">
        <v>199875</v>
      </c>
      <c r="BF99" s="230">
        <v>112125</v>
      </c>
      <c r="BG99" s="229">
        <v>0.56100000000000005</v>
      </c>
      <c r="BH99" s="230">
        <v>54990000</v>
      </c>
      <c r="BI99" s="230">
        <v>83045625</v>
      </c>
      <c r="BJ99" s="230">
        <v>-28055625</v>
      </c>
      <c r="BK99" s="229">
        <v>-0.33779999999999999</v>
      </c>
      <c r="BL99" s="230">
        <v>22610250</v>
      </c>
      <c r="BM99" s="230">
        <v>39931125</v>
      </c>
      <c r="BN99" s="230">
        <v>-17320875</v>
      </c>
      <c r="BO99" s="229">
        <v>-0.43380000000000002</v>
      </c>
      <c r="BP99" s="230">
        <v>91615875</v>
      </c>
      <c r="BQ99" s="230">
        <v>155814750</v>
      </c>
      <c r="BR99" s="230">
        <v>-64198875</v>
      </c>
      <c r="BS99" s="229">
        <v>-0.41199999999999998</v>
      </c>
      <c r="BT99" s="230">
        <v>10165664</v>
      </c>
      <c r="BU99" s="230">
        <v>25361471</v>
      </c>
      <c r="BV99" s="230">
        <v>-15195807</v>
      </c>
      <c r="BW99" s="229">
        <v>-0.59919999999999995</v>
      </c>
      <c r="BX99" s="230">
        <v>105802125</v>
      </c>
      <c r="BY99" s="230">
        <v>102794250</v>
      </c>
      <c r="BZ99" s="230">
        <v>3007875</v>
      </c>
      <c r="CA99" s="229">
        <v>2.93E-2</v>
      </c>
      <c r="CB99" s="230">
        <v>102589500</v>
      </c>
      <c r="CC99" s="230">
        <v>100074000</v>
      </c>
      <c r="CD99" s="230">
        <v>2515500</v>
      </c>
      <c r="CE99" s="229">
        <v>2.5100000000000001E-2</v>
      </c>
      <c r="CF99" s="230">
        <v>2929875</v>
      </c>
      <c r="CG99" s="230">
        <v>2622750</v>
      </c>
      <c r="CH99" s="230">
        <v>307125</v>
      </c>
      <c r="CI99" s="229">
        <v>0.1171</v>
      </c>
      <c r="CJ99" s="230">
        <v>282750</v>
      </c>
      <c r="CK99" s="230">
        <v>97500</v>
      </c>
      <c r="CL99" s="230">
        <v>185250</v>
      </c>
      <c r="CM99" s="229">
        <v>1.9</v>
      </c>
      <c r="CN99" s="230">
        <v>34222500</v>
      </c>
      <c r="CO99" s="230">
        <v>29410875</v>
      </c>
      <c r="CP99" s="230">
        <v>4811625</v>
      </c>
      <c r="CQ99" s="229">
        <v>0.1636</v>
      </c>
      <c r="CR99" s="230">
        <v>23414625</v>
      </c>
      <c r="CS99" s="230">
        <v>21099000</v>
      </c>
      <c r="CT99" s="230">
        <v>2315625</v>
      </c>
      <c r="CU99" s="229">
        <v>0.10979999999999999</v>
      </c>
      <c r="CV99" s="230">
        <v>163439250</v>
      </c>
      <c r="CW99" s="230">
        <v>153304125</v>
      </c>
      <c r="CX99" s="230">
        <v>10135125</v>
      </c>
      <c r="CY99" s="229">
        <v>6.6100000000000006E-2</v>
      </c>
      <c r="CZ99" s="228">
        <v>20.82</v>
      </c>
      <c r="DA99" s="228">
        <v>21.76</v>
      </c>
      <c r="DB99" s="228">
        <v>-0.94</v>
      </c>
      <c r="DC99" s="228">
        <v>-0.94</v>
      </c>
      <c r="DD99" s="228">
        <v>30.68</v>
      </c>
      <c r="DE99" s="228">
        <v>30.75</v>
      </c>
      <c r="DF99" s="228">
        <v>-9.86</v>
      </c>
      <c r="DG99" s="228">
        <v>-7.0000000000000007E-2</v>
      </c>
      <c r="DH99" s="228">
        <v>20.82</v>
      </c>
      <c r="DI99" s="228">
        <v>21.49</v>
      </c>
      <c r="DJ99" s="228">
        <v>-0.67</v>
      </c>
      <c r="DK99" s="228">
        <v>-0.67</v>
      </c>
      <c r="DL99" s="228">
        <v>20.82</v>
      </c>
      <c r="DM99" s="228">
        <v>22.33</v>
      </c>
      <c r="DN99" s="228">
        <v>-1.51</v>
      </c>
      <c r="DO99" s="228">
        <v>-1.51</v>
      </c>
      <c r="DP99" s="228">
        <v>0.68</v>
      </c>
      <c r="DQ99" s="228">
        <v>0.72</v>
      </c>
      <c r="DR99" s="228">
        <v>-0.04</v>
      </c>
      <c r="DS99" s="229">
        <v>-5.5599999999999997E-2</v>
      </c>
      <c r="DT99" s="228">
        <v>170</v>
      </c>
      <c r="DU99" s="228">
        <v>165</v>
      </c>
      <c r="DV99" s="228">
        <v>0.41</v>
      </c>
      <c r="DW99" s="228">
        <v>0.48</v>
      </c>
      <c r="DX99" s="228">
        <v>-7.0000000000000007E-2</v>
      </c>
      <c r="DY99" s="229">
        <v>-0.14580000000000001</v>
      </c>
      <c r="DZ99" s="229">
        <v>3.04E-2</v>
      </c>
      <c r="EA99" s="230">
        <v>2720250</v>
      </c>
      <c r="EB99" s="229">
        <v>5.7999999999999996E-3</v>
      </c>
      <c r="EC99" s="229">
        <v>3.04E-2</v>
      </c>
      <c r="ED99" s="228">
        <v>0.84</v>
      </c>
      <c r="EE99" s="229">
        <v>5.0000000000000001E-3</v>
      </c>
      <c r="EF99" s="230">
        <v>4723448</v>
      </c>
      <c r="EG99" s="230">
        <v>15142880</v>
      </c>
      <c r="EH99" s="229">
        <v>-0.68810000000000004</v>
      </c>
      <c r="EI99" s="229">
        <v>0.46460000000000001</v>
      </c>
      <c r="EJ99" s="231">
        <v>95593.65</v>
      </c>
      <c r="EK99" s="231">
        <v>37380.11</v>
      </c>
      <c r="EL99" s="231">
        <v>23471.37</v>
      </c>
      <c r="EM99" s="231">
        <v>10105</v>
      </c>
      <c r="EN99" s="231">
        <v>156445.13</v>
      </c>
      <c r="EO99" s="231">
        <v>263183.09999999998</v>
      </c>
      <c r="EP99" s="231">
        <v>-106737.97</v>
      </c>
      <c r="EQ99" s="229">
        <v>-0.40560000000000002</v>
      </c>
      <c r="ER99" s="231">
        <v>58416</v>
      </c>
      <c r="ES99" s="231">
        <v>37560</v>
      </c>
      <c r="ET99" s="231">
        <v>176712</v>
      </c>
      <c r="EU99" s="231">
        <v>684903861</v>
      </c>
      <c r="EV99" s="231">
        <v>272687</v>
      </c>
      <c r="EW99" s="231">
        <v>256086</v>
      </c>
      <c r="EX99" s="231">
        <v>16601</v>
      </c>
      <c r="EY99" s="229">
        <v>6.4799999999999996E-2</v>
      </c>
      <c r="EZ99" s="229">
        <v>0.23860000000000001</v>
      </c>
      <c r="FA99" s="227" t="s">
        <v>567</v>
      </c>
      <c r="FB99" s="161">
        <f t="shared" si="1"/>
        <v>3212625</v>
      </c>
    </row>
    <row r="100" spans="1:158" ht="17.25" hidden="1" thickBot="1" x14ac:dyDescent="0.3">
      <c r="A100" s="226">
        <v>46023</v>
      </c>
      <c r="B100" s="227" t="s">
        <v>215</v>
      </c>
      <c r="C100" s="227" t="s">
        <v>490</v>
      </c>
      <c r="D100" s="228">
        <v>875</v>
      </c>
      <c r="E100" s="228">
        <v>688.75</v>
      </c>
      <c r="F100" s="228">
        <v>688.45</v>
      </c>
      <c r="G100" s="228">
        <v>0.3</v>
      </c>
      <c r="H100" s="229">
        <v>4.0000000000000002E-4</v>
      </c>
      <c r="I100" s="228">
        <v>685.65</v>
      </c>
      <c r="J100" s="228">
        <v>684.6</v>
      </c>
      <c r="K100" s="228">
        <v>1.05</v>
      </c>
      <c r="L100" s="229">
        <v>1.5E-3</v>
      </c>
      <c r="M100" s="228">
        <v>688.75</v>
      </c>
      <c r="N100" s="228">
        <v>688.45</v>
      </c>
      <c r="O100" s="228">
        <v>0.3</v>
      </c>
      <c r="P100" s="229">
        <v>4.0000000000000002E-4</v>
      </c>
      <c r="Q100" s="228">
        <v>690.65</v>
      </c>
      <c r="R100" s="228">
        <v>690.3</v>
      </c>
      <c r="S100" s="228">
        <v>0.35</v>
      </c>
      <c r="T100" s="229">
        <v>5.0000000000000001E-4</v>
      </c>
      <c r="U100" s="228">
        <v>0</v>
      </c>
      <c r="V100" s="228">
        <v>0</v>
      </c>
      <c r="W100" s="228">
        <v>0</v>
      </c>
      <c r="X100" s="229">
        <v>0</v>
      </c>
      <c r="Y100" s="228">
        <v>3.1</v>
      </c>
      <c r="Z100" s="228">
        <v>3.85</v>
      </c>
      <c r="AA100" s="228">
        <v>-0.75</v>
      </c>
      <c r="AB100" s="229">
        <v>4.4999999999999997E-3</v>
      </c>
      <c r="AC100" s="228">
        <v>3.1</v>
      </c>
      <c r="AD100" s="228">
        <v>3.85</v>
      </c>
      <c r="AE100" s="228">
        <v>-0.75</v>
      </c>
      <c r="AF100" s="229">
        <v>4.4999999999999997E-3</v>
      </c>
      <c r="AG100" s="228">
        <v>5</v>
      </c>
      <c r="AH100" s="228">
        <v>5.7</v>
      </c>
      <c r="AI100" s="228">
        <v>-0.7</v>
      </c>
      <c r="AJ100" s="229">
        <v>7.3000000000000001E-3</v>
      </c>
      <c r="AK100" s="228">
        <v>0</v>
      </c>
      <c r="AL100" s="228">
        <v>0</v>
      </c>
      <c r="AM100" s="228">
        <v>0</v>
      </c>
      <c r="AN100" s="229">
        <v>0</v>
      </c>
      <c r="AO100" s="228">
        <v>686.11</v>
      </c>
      <c r="AP100" s="228">
        <v>687.77</v>
      </c>
      <c r="AQ100" s="228">
        <v>0</v>
      </c>
      <c r="AR100" s="230">
        <v>1514625</v>
      </c>
      <c r="AS100" s="230">
        <v>2193625</v>
      </c>
      <c r="AT100" s="230">
        <v>-679000</v>
      </c>
      <c r="AU100" s="229">
        <v>-0.3095</v>
      </c>
      <c r="AV100" s="230">
        <v>1333500</v>
      </c>
      <c r="AW100" s="230">
        <v>1997625</v>
      </c>
      <c r="AX100" s="230">
        <v>-664125</v>
      </c>
      <c r="AY100" s="229">
        <v>-0.33250000000000002</v>
      </c>
      <c r="AZ100" s="230">
        <v>181125</v>
      </c>
      <c r="BA100" s="230">
        <v>196000</v>
      </c>
      <c r="BB100" s="230">
        <v>-14875</v>
      </c>
      <c r="BC100" s="229">
        <v>-7.5899999999999995E-2</v>
      </c>
      <c r="BD100" s="228">
        <v>0</v>
      </c>
      <c r="BE100" s="228">
        <v>0</v>
      </c>
      <c r="BF100" s="228">
        <v>0</v>
      </c>
      <c r="BG100" s="229">
        <v>0</v>
      </c>
      <c r="BH100" s="230">
        <v>7742000</v>
      </c>
      <c r="BI100" s="230">
        <v>12763625</v>
      </c>
      <c r="BJ100" s="230">
        <v>-5021625</v>
      </c>
      <c r="BK100" s="229">
        <v>-0.39340000000000003</v>
      </c>
      <c r="BL100" s="230">
        <v>2170000</v>
      </c>
      <c r="BM100" s="230">
        <v>3697750</v>
      </c>
      <c r="BN100" s="230">
        <v>-1527750</v>
      </c>
      <c r="BO100" s="229">
        <v>-0.41320000000000001</v>
      </c>
      <c r="BP100" s="230">
        <v>11426625</v>
      </c>
      <c r="BQ100" s="230">
        <v>18655000</v>
      </c>
      <c r="BR100" s="230">
        <v>-7228375</v>
      </c>
      <c r="BS100" s="229">
        <v>-0.38750000000000001</v>
      </c>
      <c r="BT100" s="230">
        <v>660118</v>
      </c>
      <c r="BU100" s="230">
        <v>1203035</v>
      </c>
      <c r="BV100" s="230">
        <v>-542917</v>
      </c>
      <c r="BW100" s="229">
        <v>-0.45129999999999998</v>
      </c>
      <c r="BX100" s="230">
        <v>20115375</v>
      </c>
      <c r="BY100" s="230">
        <v>19923750</v>
      </c>
      <c r="BZ100" s="230">
        <v>191625</v>
      </c>
      <c r="CA100" s="229">
        <v>9.5999999999999992E-3</v>
      </c>
      <c r="CB100" s="230">
        <v>18447625</v>
      </c>
      <c r="CC100" s="230">
        <v>18288375</v>
      </c>
      <c r="CD100" s="230">
        <v>159250</v>
      </c>
      <c r="CE100" s="229">
        <v>8.6999999999999994E-3</v>
      </c>
      <c r="CF100" s="230">
        <v>1667750</v>
      </c>
      <c r="CG100" s="230">
        <v>1635375</v>
      </c>
      <c r="CH100" s="230">
        <v>32375</v>
      </c>
      <c r="CI100" s="229">
        <v>1.9800000000000002E-2</v>
      </c>
      <c r="CJ100" s="228">
        <v>0</v>
      </c>
      <c r="CK100" s="228">
        <v>0</v>
      </c>
      <c r="CL100" s="228">
        <v>0</v>
      </c>
      <c r="CM100" s="229">
        <v>0</v>
      </c>
      <c r="CN100" s="230">
        <v>16375625</v>
      </c>
      <c r="CO100" s="230">
        <v>16243500</v>
      </c>
      <c r="CP100" s="230">
        <v>132125</v>
      </c>
      <c r="CQ100" s="229">
        <v>8.0999999999999996E-3</v>
      </c>
      <c r="CR100" s="230">
        <v>8079750</v>
      </c>
      <c r="CS100" s="230">
        <v>8065750</v>
      </c>
      <c r="CT100" s="230">
        <v>14000</v>
      </c>
      <c r="CU100" s="229">
        <v>1.6999999999999999E-3</v>
      </c>
      <c r="CV100" s="230">
        <v>44570750</v>
      </c>
      <c r="CW100" s="230">
        <v>44233000</v>
      </c>
      <c r="CX100" s="230">
        <v>337750</v>
      </c>
      <c r="CY100" s="229">
        <v>7.6E-3</v>
      </c>
      <c r="CZ100" s="228">
        <v>23.49</v>
      </c>
      <c r="DA100" s="228">
        <v>24.42</v>
      </c>
      <c r="DB100" s="228">
        <v>-0.93</v>
      </c>
      <c r="DC100" s="228">
        <v>-0.93</v>
      </c>
      <c r="DD100" s="228">
        <v>29.1</v>
      </c>
      <c r="DE100" s="228">
        <v>29.17</v>
      </c>
      <c r="DF100" s="228">
        <v>-5.61</v>
      </c>
      <c r="DG100" s="228">
        <v>-7.0000000000000007E-2</v>
      </c>
      <c r="DH100" s="228">
        <v>23.77</v>
      </c>
      <c r="DI100" s="228">
        <v>24.71</v>
      </c>
      <c r="DJ100" s="228">
        <v>-0.94</v>
      </c>
      <c r="DK100" s="228">
        <v>-0.94</v>
      </c>
      <c r="DL100" s="228">
        <v>22.49</v>
      </c>
      <c r="DM100" s="228">
        <v>23.42</v>
      </c>
      <c r="DN100" s="228">
        <v>-0.93</v>
      </c>
      <c r="DO100" s="228">
        <v>-0.93</v>
      </c>
      <c r="DP100" s="228">
        <v>0.49</v>
      </c>
      <c r="DQ100" s="228">
        <v>0.5</v>
      </c>
      <c r="DR100" s="228">
        <v>-0.01</v>
      </c>
      <c r="DS100" s="229">
        <v>-0.02</v>
      </c>
      <c r="DT100" s="228">
        <v>710</v>
      </c>
      <c r="DU100" s="228">
        <v>700</v>
      </c>
      <c r="DV100" s="228">
        <v>0.28000000000000003</v>
      </c>
      <c r="DW100" s="228">
        <v>0.28999999999999998</v>
      </c>
      <c r="DX100" s="228">
        <v>-0.01</v>
      </c>
      <c r="DY100" s="229">
        <v>-3.4500000000000003E-2</v>
      </c>
      <c r="DZ100" s="229">
        <v>8.2900000000000001E-2</v>
      </c>
      <c r="EA100" s="230">
        <v>1635375</v>
      </c>
      <c r="EB100" s="229">
        <v>2.8E-3</v>
      </c>
      <c r="EC100" s="229">
        <v>8.2900000000000001E-2</v>
      </c>
      <c r="ED100" s="228">
        <v>1.66</v>
      </c>
      <c r="EE100" s="229">
        <v>2.3999999999999998E-3</v>
      </c>
      <c r="EF100" s="230">
        <v>223642</v>
      </c>
      <c r="EG100" s="230">
        <v>436571</v>
      </c>
      <c r="EH100" s="229">
        <v>-0.48770000000000002</v>
      </c>
      <c r="EI100" s="229">
        <v>0.33879999999999999</v>
      </c>
      <c r="EJ100" s="231">
        <v>55951.14</v>
      </c>
      <c r="EK100" s="231">
        <v>14809.58</v>
      </c>
      <c r="EL100" s="231">
        <v>10394.959999999999</v>
      </c>
      <c r="EM100" s="231">
        <v>14678</v>
      </c>
      <c r="EN100" s="231">
        <v>81155.679999999993</v>
      </c>
      <c r="EO100" s="231">
        <v>133256.95000000001</v>
      </c>
      <c r="EP100" s="231">
        <v>-52101.27</v>
      </c>
      <c r="EQ100" s="229">
        <v>-0.39100000000000001</v>
      </c>
      <c r="ER100" s="231">
        <v>119511</v>
      </c>
      <c r="ES100" s="231">
        <v>55260</v>
      </c>
      <c r="ET100" s="231">
        <v>138576</v>
      </c>
      <c r="EU100" s="231">
        <v>32504261</v>
      </c>
      <c r="EV100" s="231">
        <v>313347</v>
      </c>
      <c r="EW100" s="231">
        <v>310747</v>
      </c>
      <c r="EX100" s="231">
        <v>2600</v>
      </c>
      <c r="EY100" s="229">
        <v>8.3999999999999995E-3</v>
      </c>
      <c r="EZ100" s="229">
        <v>1.3712</v>
      </c>
      <c r="FA100" s="227" t="s">
        <v>555</v>
      </c>
      <c r="FB100" s="161">
        <f t="shared" si="1"/>
        <v>1667750</v>
      </c>
    </row>
    <row r="101" spans="1:158" ht="17.25" hidden="1" thickBot="1" x14ac:dyDescent="0.3">
      <c r="A101" s="226">
        <v>46023</v>
      </c>
      <c r="B101" s="227" t="s">
        <v>175</v>
      </c>
      <c r="C101" s="227" t="s">
        <v>664</v>
      </c>
      <c r="D101" s="228">
        <v>3450</v>
      </c>
      <c r="E101" s="228">
        <v>139.15</v>
      </c>
      <c r="F101" s="228">
        <v>140.62</v>
      </c>
      <c r="G101" s="228">
        <v>-1.47</v>
      </c>
      <c r="H101" s="229">
        <v>-1.0500000000000001E-2</v>
      </c>
      <c r="I101" s="228">
        <v>139.36000000000001</v>
      </c>
      <c r="J101" s="228">
        <v>139.9</v>
      </c>
      <c r="K101" s="228">
        <v>-0.54</v>
      </c>
      <c r="L101" s="229">
        <v>-3.8999999999999998E-3</v>
      </c>
      <c r="M101" s="228">
        <v>139.15</v>
      </c>
      <c r="N101" s="228">
        <v>140.62</v>
      </c>
      <c r="O101" s="228">
        <v>-1.47</v>
      </c>
      <c r="P101" s="229">
        <v>-1.0500000000000001E-2</v>
      </c>
      <c r="Q101" s="228">
        <v>138.88999999999999</v>
      </c>
      <c r="R101" s="228">
        <v>140.38999999999999</v>
      </c>
      <c r="S101" s="228">
        <v>-1.5</v>
      </c>
      <c r="T101" s="229">
        <v>-1.0699999999999999E-2</v>
      </c>
      <c r="U101" s="228">
        <v>139.05000000000001</v>
      </c>
      <c r="V101" s="228">
        <v>140.66999999999999</v>
      </c>
      <c r="W101" s="228">
        <v>-1.62</v>
      </c>
      <c r="X101" s="229">
        <v>-1.15E-2</v>
      </c>
      <c r="Y101" s="228">
        <v>-0.21</v>
      </c>
      <c r="Z101" s="228">
        <v>0.72</v>
      </c>
      <c r="AA101" s="228">
        <v>-0.93</v>
      </c>
      <c r="AB101" s="229">
        <v>-1.5E-3</v>
      </c>
      <c r="AC101" s="228">
        <v>-0.21</v>
      </c>
      <c r="AD101" s="228">
        <v>0.72</v>
      </c>
      <c r="AE101" s="228">
        <v>-0.93</v>
      </c>
      <c r="AF101" s="229">
        <v>-1.5E-3</v>
      </c>
      <c r="AG101" s="228">
        <v>-0.47</v>
      </c>
      <c r="AH101" s="228">
        <v>0.49</v>
      </c>
      <c r="AI101" s="228">
        <v>-0.96</v>
      </c>
      <c r="AJ101" s="229">
        <v>-3.3999999999999998E-3</v>
      </c>
      <c r="AK101" s="228">
        <v>-0.31</v>
      </c>
      <c r="AL101" s="228">
        <v>0.77</v>
      </c>
      <c r="AM101" s="228">
        <v>-1.08</v>
      </c>
      <c r="AN101" s="229">
        <v>-2.2000000000000001E-3</v>
      </c>
      <c r="AO101" s="228">
        <v>139.9</v>
      </c>
      <c r="AP101" s="228">
        <v>139.66999999999999</v>
      </c>
      <c r="AQ101" s="228">
        <v>0</v>
      </c>
      <c r="AR101" s="230">
        <v>11830050</v>
      </c>
      <c r="AS101" s="230">
        <v>10070550</v>
      </c>
      <c r="AT101" s="230">
        <v>1759500</v>
      </c>
      <c r="AU101" s="229">
        <v>0.17469999999999999</v>
      </c>
      <c r="AV101" s="230">
        <v>10636350</v>
      </c>
      <c r="AW101" s="230">
        <v>9183900</v>
      </c>
      <c r="AX101" s="230">
        <v>1452450</v>
      </c>
      <c r="AY101" s="229">
        <v>0.15820000000000001</v>
      </c>
      <c r="AZ101" s="230">
        <v>1069500</v>
      </c>
      <c r="BA101" s="230">
        <v>765900</v>
      </c>
      <c r="BB101" s="230">
        <v>303600</v>
      </c>
      <c r="BC101" s="229">
        <v>0.39639999999999997</v>
      </c>
      <c r="BD101" s="230">
        <v>124200</v>
      </c>
      <c r="BE101" s="230">
        <v>120750</v>
      </c>
      <c r="BF101" s="230">
        <v>3450</v>
      </c>
      <c r="BG101" s="229">
        <v>2.86E-2</v>
      </c>
      <c r="BH101" s="230">
        <v>20655150</v>
      </c>
      <c r="BI101" s="230">
        <v>24022350</v>
      </c>
      <c r="BJ101" s="230">
        <v>-3367200</v>
      </c>
      <c r="BK101" s="229">
        <v>-0.14019999999999999</v>
      </c>
      <c r="BL101" s="230">
        <v>4367700</v>
      </c>
      <c r="BM101" s="230">
        <v>7100100</v>
      </c>
      <c r="BN101" s="230">
        <v>-2732400</v>
      </c>
      <c r="BO101" s="229">
        <v>-0.38479999999999998</v>
      </c>
      <c r="BP101" s="230">
        <v>36852900</v>
      </c>
      <c r="BQ101" s="230">
        <v>41193000</v>
      </c>
      <c r="BR101" s="230">
        <v>-4340100</v>
      </c>
      <c r="BS101" s="229">
        <v>-0.10539999999999999</v>
      </c>
      <c r="BT101" s="230">
        <v>8976200</v>
      </c>
      <c r="BU101" s="230">
        <v>8211185</v>
      </c>
      <c r="BV101" s="230">
        <v>765015</v>
      </c>
      <c r="BW101" s="229">
        <v>9.3200000000000005E-2</v>
      </c>
      <c r="BX101" s="230">
        <v>50225100</v>
      </c>
      <c r="BY101" s="230">
        <v>48010200</v>
      </c>
      <c r="BZ101" s="230">
        <v>2214900</v>
      </c>
      <c r="CA101" s="229">
        <v>4.6100000000000002E-2</v>
      </c>
      <c r="CB101" s="230">
        <v>45533100</v>
      </c>
      <c r="CC101" s="230">
        <v>43697700</v>
      </c>
      <c r="CD101" s="230">
        <v>1835400</v>
      </c>
      <c r="CE101" s="229">
        <v>4.2000000000000003E-2</v>
      </c>
      <c r="CF101" s="230">
        <v>4481550</v>
      </c>
      <c r="CG101" s="230">
        <v>4205550</v>
      </c>
      <c r="CH101" s="230">
        <v>276000</v>
      </c>
      <c r="CI101" s="229">
        <v>6.5600000000000006E-2</v>
      </c>
      <c r="CJ101" s="230">
        <v>210450</v>
      </c>
      <c r="CK101" s="230">
        <v>106950</v>
      </c>
      <c r="CL101" s="230">
        <v>103500</v>
      </c>
      <c r="CM101" s="229">
        <v>0.9677</v>
      </c>
      <c r="CN101" s="230">
        <v>25191900</v>
      </c>
      <c r="CO101" s="230">
        <v>22842450</v>
      </c>
      <c r="CP101" s="230">
        <v>2349450</v>
      </c>
      <c r="CQ101" s="229">
        <v>0.10290000000000001</v>
      </c>
      <c r="CR101" s="230">
        <v>15062700</v>
      </c>
      <c r="CS101" s="230">
        <v>14572800</v>
      </c>
      <c r="CT101" s="230">
        <v>489900</v>
      </c>
      <c r="CU101" s="229">
        <v>3.3599999999999998E-2</v>
      </c>
      <c r="CV101" s="230">
        <v>90479700</v>
      </c>
      <c r="CW101" s="230">
        <v>85425450</v>
      </c>
      <c r="CX101" s="230">
        <v>5054250</v>
      </c>
      <c r="CY101" s="229">
        <v>5.9200000000000003E-2</v>
      </c>
      <c r="CZ101" s="228">
        <v>35.619999999999997</v>
      </c>
      <c r="DA101" s="228">
        <v>36.29</v>
      </c>
      <c r="DB101" s="228">
        <v>-0.67</v>
      </c>
      <c r="DC101" s="228">
        <v>-0.67</v>
      </c>
      <c r="DD101" s="228">
        <v>47.98</v>
      </c>
      <c r="DE101" s="228">
        <v>48.08</v>
      </c>
      <c r="DF101" s="228">
        <v>-12.36</v>
      </c>
      <c r="DG101" s="228">
        <v>-0.1</v>
      </c>
      <c r="DH101" s="228">
        <v>35.76</v>
      </c>
      <c r="DI101" s="228">
        <v>35.93</v>
      </c>
      <c r="DJ101" s="228">
        <v>-0.17</v>
      </c>
      <c r="DK101" s="228">
        <v>-0.17</v>
      </c>
      <c r="DL101" s="228">
        <v>34.93</v>
      </c>
      <c r="DM101" s="228">
        <v>37.479999999999997</v>
      </c>
      <c r="DN101" s="228">
        <v>-2.5499999999999998</v>
      </c>
      <c r="DO101" s="228">
        <v>-2.5499999999999998</v>
      </c>
      <c r="DP101" s="228">
        <v>0.6</v>
      </c>
      <c r="DQ101" s="228">
        <v>0.64</v>
      </c>
      <c r="DR101" s="228">
        <v>-0.04</v>
      </c>
      <c r="DS101" s="229">
        <v>-6.25E-2</v>
      </c>
      <c r="DT101" s="228">
        <v>150</v>
      </c>
      <c r="DU101" s="228">
        <v>140</v>
      </c>
      <c r="DV101" s="228">
        <v>0.21</v>
      </c>
      <c r="DW101" s="228">
        <v>0.3</v>
      </c>
      <c r="DX101" s="228">
        <v>-0.09</v>
      </c>
      <c r="DY101" s="229">
        <v>-0.3</v>
      </c>
      <c r="DZ101" s="229">
        <v>9.3399999999999997E-2</v>
      </c>
      <c r="EA101" s="230">
        <v>4312500</v>
      </c>
      <c r="EB101" s="229">
        <v>-1.9E-3</v>
      </c>
      <c r="EC101" s="229">
        <v>9.3399999999999997E-2</v>
      </c>
      <c r="ED101" s="228">
        <v>-0.23</v>
      </c>
      <c r="EE101" s="229">
        <v>-1.6000000000000001E-3</v>
      </c>
      <c r="EF101" s="230">
        <v>2738012</v>
      </c>
      <c r="EG101" s="230">
        <v>2356013</v>
      </c>
      <c r="EH101" s="229">
        <v>0.16209999999999999</v>
      </c>
      <c r="EI101" s="229">
        <v>0.30499999999999999</v>
      </c>
      <c r="EJ101" s="231">
        <v>31077.07</v>
      </c>
      <c r="EK101" s="231">
        <v>6104.91</v>
      </c>
      <c r="EL101" s="231">
        <v>16547.14</v>
      </c>
      <c r="EM101" s="231">
        <v>9960</v>
      </c>
      <c r="EN101" s="231">
        <v>53729.120000000003</v>
      </c>
      <c r="EO101" s="231">
        <v>59775.64</v>
      </c>
      <c r="EP101" s="231">
        <v>-6046.52</v>
      </c>
      <c r="EQ101" s="229">
        <v>-0.1012</v>
      </c>
      <c r="ER101" s="231">
        <v>37031</v>
      </c>
      <c r="ES101" s="231">
        <v>20862</v>
      </c>
      <c r="ET101" s="231">
        <v>69876</v>
      </c>
      <c r="EU101" s="231">
        <v>119011160</v>
      </c>
      <c r="EV101" s="231">
        <v>127769</v>
      </c>
      <c r="EW101" s="231">
        <v>121399</v>
      </c>
      <c r="EX101" s="231">
        <v>6370</v>
      </c>
      <c r="EY101" s="229">
        <v>5.2499999999999998E-2</v>
      </c>
      <c r="EZ101" s="229">
        <v>0.76029999999999998</v>
      </c>
      <c r="FA101" s="227" t="s">
        <v>567</v>
      </c>
      <c r="FB101" s="161">
        <f t="shared" si="1"/>
        <v>4692000</v>
      </c>
    </row>
    <row r="102" spans="1:158" ht="17.25" hidden="1" thickBot="1" x14ac:dyDescent="0.3">
      <c r="A102" s="226">
        <v>46023</v>
      </c>
      <c r="B102" s="227" t="s">
        <v>215</v>
      </c>
      <c r="C102" s="227" t="s">
        <v>592</v>
      </c>
      <c r="D102" s="228">
        <v>4250</v>
      </c>
      <c r="E102" s="228">
        <v>126.52</v>
      </c>
      <c r="F102" s="228">
        <v>124.85</v>
      </c>
      <c r="G102" s="228">
        <v>1.67</v>
      </c>
      <c r="H102" s="229">
        <v>1.34E-2</v>
      </c>
      <c r="I102" s="228">
        <v>125.79</v>
      </c>
      <c r="J102" s="228">
        <v>124.62</v>
      </c>
      <c r="K102" s="228">
        <v>1.17</v>
      </c>
      <c r="L102" s="229">
        <v>9.4000000000000004E-3</v>
      </c>
      <c r="M102" s="228">
        <v>126.52</v>
      </c>
      <c r="N102" s="228">
        <v>124.85</v>
      </c>
      <c r="O102" s="228">
        <v>1.67</v>
      </c>
      <c r="P102" s="229">
        <v>1.34E-2</v>
      </c>
      <c r="Q102" s="228">
        <v>127.14</v>
      </c>
      <c r="R102" s="228">
        <v>125.4</v>
      </c>
      <c r="S102" s="228">
        <v>1.74</v>
      </c>
      <c r="T102" s="229">
        <v>1.3899999999999999E-2</v>
      </c>
      <c r="U102" s="228">
        <v>127.72</v>
      </c>
      <c r="V102" s="228">
        <v>125.9</v>
      </c>
      <c r="W102" s="228">
        <v>1.82</v>
      </c>
      <c r="X102" s="229">
        <v>1.4500000000000001E-2</v>
      </c>
      <c r="Y102" s="228">
        <v>0.73</v>
      </c>
      <c r="Z102" s="228">
        <v>0.23</v>
      </c>
      <c r="AA102" s="228">
        <v>0.5</v>
      </c>
      <c r="AB102" s="229">
        <v>5.7999999999999996E-3</v>
      </c>
      <c r="AC102" s="228">
        <v>0.73</v>
      </c>
      <c r="AD102" s="228">
        <v>0.23</v>
      </c>
      <c r="AE102" s="228">
        <v>0.5</v>
      </c>
      <c r="AF102" s="229">
        <v>5.7999999999999996E-3</v>
      </c>
      <c r="AG102" s="228">
        <v>1.35</v>
      </c>
      <c r="AH102" s="228">
        <v>0.78</v>
      </c>
      <c r="AI102" s="228">
        <v>0.56999999999999995</v>
      </c>
      <c r="AJ102" s="229">
        <v>1.0699999999999999E-2</v>
      </c>
      <c r="AK102" s="228">
        <v>1.93</v>
      </c>
      <c r="AL102" s="228">
        <v>1.28</v>
      </c>
      <c r="AM102" s="228">
        <v>0.65</v>
      </c>
      <c r="AN102" s="229">
        <v>1.5299999999999999E-2</v>
      </c>
      <c r="AO102" s="228">
        <v>125.74</v>
      </c>
      <c r="AP102" s="228">
        <v>126.12</v>
      </c>
      <c r="AQ102" s="228">
        <v>0</v>
      </c>
      <c r="AR102" s="230">
        <v>11989250</v>
      </c>
      <c r="AS102" s="230">
        <v>19435250</v>
      </c>
      <c r="AT102" s="230">
        <v>-7446000</v>
      </c>
      <c r="AU102" s="229">
        <v>-0.3831</v>
      </c>
      <c r="AV102" s="230">
        <v>11130750</v>
      </c>
      <c r="AW102" s="230">
        <v>17871250</v>
      </c>
      <c r="AX102" s="230">
        <v>-6740500</v>
      </c>
      <c r="AY102" s="229">
        <v>-0.37719999999999998</v>
      </c>
      <c r="AZ102" s="230">
        <v>811750</v>
      </c>
      <c r="BA102" s="230">
        <v>1406750</v>
      </c>
      <c r="BB102" s="230">
        <v>-595000</v>
      </c>
      <c r="BC102" s="229">
        <v>-0.42299999999999999</v>
      </c>
      <c r="BD102" s="230">
        <v>46750</v>
      </c>
      <c r="BE102" s="230">
        <v>157250</v>
      </c>
      <c r="BF102" s="230">
        <v>-110500</v>
      </c>
      <c r="BG102" s="229">
        <v>-0.70269999999999999</v>
      </c>
      <c r="BH102" s="230">
        <v>42011250</v>
      </c>
      <c r="BI102" s="230">
        <v>70686000</v>
      </c>
      <c r="BJ102" s="230">
        <v>-28674750</v>
      </c>
      <c r="BK102" s="229">
        <v>-0.40570000000000001</v>
      </c>
      <c r="BL102" s="230">
        <v>11649250</v>
      </c>
      <c r="BM102" s="230">
        <v>20829250</v>
      </c>
      <c r="BN102" s="230">
        <v>-9180000</v>
      </c>
      <c r="BO102" s="229">
        <v>-0.44069999999999998</v>
      </c>
      <c r="BP102" s="230">
        <v>65649750</v>
      </c>
      <c r="BQ102" s="230">
        <v>110950500</v>
      </c>
      <c r="BR102" s="230">
        <v>-45300750</v>
      </c>
      <c r="BS102" s="229">
        <v>-0.4083</v>
      </c>
      <c r="BT102" s="230">
        <v>17099554</v>
      </c>
      <c r="BU102" s="230">
        <v>29130617</v>
      </c>
      <c r="BV102" s="230">
        <v>-12031063</v>
      </c>
      <c r="BW102" s="229">
        <v>-0.41299999999999998</v>
      </c>
      <c r="BX102" s="230">
        <v>61514500</v>
      </c>
      <c r="BY102" s="230">
        <v>60877000</v>
      </c>
      <c r="BZ102" s="230">
        <v>637500</v>
      </c>
      <c r="CA102" s="229">
        <v>1.0500000000000001E-2</v>
      </c>
      <c r="CB102" s="230">
        <v>56903250</v>
      </c>
      <c r="CC102" s="230">
        <v>56384750</v>
      </c>
      <c r="CD102" s="230">
        <v>518500</v>
      </c>
      <c r="CE102" s="229">
        <v>9.1999999999999998E-3</v>
      </c>
      <c r="CF102" s="230">
        <v>4449750</v>
      </c>
      <c r="CG102" s="230">
        <v>4360500</v>
      </c>
      <c r="CH102" s="230">
        <v>89250</v>
      </c>
      <c r="CI102" s="229">
        <v>2.0500000000000001E-2</v>
      </c>
      <c r="CJ102" s="230">
        <v>161500</v>
      </c>
      <c r="CK102" s="230">
        <v>131750</v>
      </c>
      <c r="CL102" s="230">
        <v>29750</v>
      </c>
      <c r="CM102" s="229">
        <v>0.2258</v>
      </c>
      <c r="CN102" s="230">
        <v>73410250</v>
      </c>
      <c r="CO102" s="230">
        <v>73886250</v>
      </c>
      <c r="CP102" s="230">
        <v>-476000</v>
      </c>
      <c r="CQ102" s="229">
        <v>-6.4000000000000003E-3</v>
      </c>
      <c r="CR102" s="230">
        <v>30748750</v>
      </c>
      <c r="CS102" s="230">
        <v>30353500</v>
      </c>
      <c r="CT102" s="230">
        <v>395250</v>
      </c>
      <c r="CU102" s="229">
        <v>1.2999999999999999E-2</v>
      </c>
      <c r="CV102" s="230">
        <v>165673500</v>
      </c>
      <c r="CW102" s="230">
        <v>165116750</v>
      </c>
      <c r="CX102" s="230">
        <v>556750</v>
      </c>
      <c r="CY102" s="229">
        <v>3.3999999999999998E-3</v>
      </c>
      <c r="CZ102" s="228">
        <v>39.42</v>
      </c>
      <c r="DA102" s="228">
        <v>40.54</v>
      </c>
      <c r="DB102" s="228">
        <v>-1.1200000000000001</v>
      </c>
      <c r="DC102" s="228">
        <v>-1.1200000000000001</v>
      </c>
      <c r="DD102" s="228">
        <v>45.87</v>
      </c>
      <c r="DE102" s="228">
        <v>45.95</v>
      </c>
      <c r="DF102" s="228">
        <v>-6.45</v>
      </c>
      <c r="DG102" s="228">
        <v>-0.08</v>
      </c>
      <c r="DH102" s="228">
        <v>39.69</v>
      </c>
      <c r="DI102" s="228">
        <v>41.01</v>
      </c>
      <c r="DJ102" s="228">
        <v>-1.32</v>
      </c>
      <c r="DK102" s="228">
        <v>-1.32</v>
      </c>
      <c r="DL102" s="228">
        <v>38.46</v>
      </c>
      <c r="DM102" s="228">
        <v>38.950000000000003</v>
      </c>
      <c r="DN102" s="228">
        <v>-0.49</v>
      </c>
      <c r="DO102" s="228">
        <v>-0.49</v>
      </c>
      <c r="DP102" s="228">
        <v>0.42</v>
      </c>
      <c r="DQ102" s="228">
        <v>0.41</v>
      </c>
      <c r="DR102" s="228">
        <v>0.01</v>
      </c>
      <c r="DS102" s="229">
        <v>2.4400000000000002E-2</v>
      </c>
      <c r="DT102" s="228">
        <v>140</v>
      </c>
      <c r="DU102" s="228">
        <v>125</v>
      </c>
      <c r="DV102" s="228">
        <v>0.28000000000000003</v>
      </c>
      <c r="DW102" s="228">
        <v>0.28999999999999998</v>
      </c>
      <c r="DX102" s="228">
        <v>-0.01</v>
      </c>
      <c r="DY102" s="229">
        <v>-3.4500000000000003E-2</v>
      </c>
      <c r="DZ102" s="229">
        <v>7.4999999999999997E-2</v>
      </c>
      <c r="EA102" s="230">
        <v>4492250</v>
      </c>
      <c r="EB102" s="229">
        <v>4.8999999999999998E-3</v>
      </c>
      <c r="EC102" s="229">
        <v>7.4999999999999997E-2</v>
      </c>
      <c r="ED102" s="228">
        <v>0.38</v>
      </c>
      <c r="EE102" s="229">
        <v>3.0000000000000001E-3</v>
      </c>
      <c r="EF102" s="230">
        <v>4330071</v>
      </c>
      <c r="EG102" s="230">
        <v>7957141</v>
      </c>
      <c r="EH102" s="229">
        <v>-0.45579999999999998</v>
      </c>
      <c r="EI102" s="229">
        <v>0.25319999999999998</v>
      </c>
      <c r="EJ102" s="231">
        <v>57380.12</v>
      </c>
      <c r="EK102" s="231">
        <v>14157.87</v>
      </c>
      <c r="EL102" s="231">
        <v>15079.12</v>
      </c>
      <c r="EM102" s="231">
        <v>15661</v>
      </c>
      <c r="EN102" s="231">
        <v>86617.11</v>
      </c>
      <c r="EO102" s="231">
        <v>146797.66</v>
      </c>
      <c r="EP102" s="231">
        <v>-60180.55</v>
      </c>
      <c r="EQ102" s="229">
        <v>-0.41</v>
      </c>
      <c r="ER102" s="231">
        <v>99588</v>
      </c>
      <c r="ES102" s="231">
        <v>37297</v>
      </c>
      <c r="ET102" s="231">
        <v>77858</v>
      </c>
      <c r="EU102" s="231">
        <v>200960551</v>
      </c>
      <c r="EV102" s="231">
        <v>214743</v>
      </c>
      <c r="EW102" s="231">
        <v>213014</v>
      </c>
      <c r="EX102" s="231">
        <v>1729</v>
      </c>
      <c r="EY102" s="229">
        <v>8.0999999999999996E-3</v>
      </c>
      <c r="EZ102" s="229">
        <v>0.82440000000000002</v>
      </c>
      <c r="FA102" s="227" t="s">
        <v>555</v>
      </c>
      <c r="FB102" s="161">
        <f t="shared" si="1"/>
        <v>4611250</v>
      </c>
    </row>
    <row r="103" spans="1:158" ht="17.25" hidden="1" thickBot="1" x14ac:dyDescent="0.3">
      <c r="A103" s="226">
        <v>46023</v>
      </c>
      <c r="B103" s="227" t="s">
        <v>168</v>
      </c>
      <c r="C103" s="227" t="s">
        <v>242</v>
      </c>
      <c r="D103" s="228">
        <v>1600</v>
      </c>
      <c r="E103" s="228">
        <v>366.1</v>
      </c>
      <c r="F103" s="228">
        <v>405.4</v>
      </c>
      <c r="G103" s="228">
        <v>-39.299999999999997</v>
      </c>
      <c r="H103" s="229">
        <v>-9.69E-2</v>
      </c>
      <c r="I103" s="228">
        <v>363.85</v>
      </c>
      <c r="J103" s="228">
        <v>403</v>
      </c>
      <c r="K103" s="228">
        <v>-39.15</v>
      </c>
      <c r="L103" s="229">
        <v>-9.7100000000000006E-2</v>
      </c>
      <c r="M103" s="228">
        <v>366.1</v>
      </c>
      <c r="N103" s="228">
        <v>405.4</v>
      </c>
      <c r="O103" s="228">
        <v>-39.299999999999997</v>
      </c>
      <c r="P103" s="229">
        <v>-9.69E-2</v>
      </c>
      <c r="Q103" s="228">
        <v>364.7</v>
      </c>
      <c r="R103" s="228">
        <v>402.7</v>
      </c>
      <c r="S103" s="228">
        <v>-38</v>
      </c>
      <c r="T103" s="229">
        <v>-9.4399999999999998E-2</v>
      </c>
      <c r="U103" s="228">
        <v>367</v>
      </c>
      <c r="V103" s="228">
        <v>405.25</v>
      </c>
      <c r="W103" s="228">
        <v>-38.25</v>
      </c>
      <c r="X103" s="229">
        <v>-9.4399999999999998E-2</v>
      </c>
      <c r="Y103" s="228">
        <v>2.25</v>
      </c>
      <c r="Z103" s="228">
        <v>2.4</v>
      </c>
      <c r="AA103" s="228">
        <v>-0.15</v>
      </c>
      <c r="AB103" s="229">
        <v>6.1999999999999998E-3</v>
      </c>
      <c r="AC103" s="228">
        <v>2.25</v>
      </c>
      <c r="AD103" s="228">
        <v>2.4</v>
      </c>
      <c r="AE103" s="228">
        <v>-0.15</v>
      </c>
      <c r="AF103" s="229">
        <v>6.1999999999999998E-3</v>
      </c>
      <c r="AG103" s="228">
        <v>0.85</v>
      </c>
      <c r="AH103" s="228">
        <v>-0.3</v>
      </c>
      <c r="AI103" s="228">
        <v>1.1499999999999999</v>
      </c>
      <c r="AJ103" s="229">
        <v>2.3E-3</v>
      </c>
      <c r="AK103" s="228">
        <v>3.15</v>
      </c>
      <c r="AL103" s="228">
        <v>2.25</v>
      </c>
      <c r="AM103" s="228">
        <v>0.9</v>
      </c>
      <c r="AN103" s="229">
        <v>8.6999999999999994E-3</v>
      </c>
      <c r="AO103" s="228">
        <v>374.94</v>
      </c>
      <c r="AP103" s="228">
        <v>373.24</v>
      </c>
      <c r="AQ103" s="228">
        <v>0</v>
      </c>
      <c r="AR103" s="230">
        <v>200390400</v>
      </c>
      <c r="AS103" s="230">
        <v>9478400</v>
      </c>
      <c r="AT103" s="230">
        <v>190912000</v>
      </c>
      <c r="AU103" s="229">
        <v>20.1418</v>
      </c>
      <c r="AV103" s="230">
        <v>175558400</v>
      </c>
      <c r="AW103" s="230">
        <v>8329600</v>
      </c>
      <c r="AX103" s="230">
        <v>167228800</v>
      </c>
      <c r="AY103" s="229">
        <v>20.076499999999999</v>
      </c>
      <c r="AZ103" s="230">
        <v>21491200</v>
      </c>
      <c r="BA103" s="230">
        <v>1102400</v>
      </c>
      <c r="BB103" s="230">
        <v>20388800</v>
      </c>
      <c r="BC103" s="229">
        <v>18.494900000000001</v>
      </c>
      <c r="BD103" s="230">
        <v>3340800</v>
      </c>
      <c r="BE103" s="230">
        <v>46400</v>
      </c>
      <c r="BF103" s="230">
        <v>3294400</v>
      </c>
      <c r="BG103" s="229">
        <v>71</v>
      </c>
      <c r="BH103" s="230">
        <v>797430400</v>
      </c>
      <c r="BI103" s="230">
        <v>45091200</v>
      </c>
      <c r="BJ103" s="230">
        <v>752339200</v>
      </c>
      <c r="BK103" s="229">
        <v>16.684799999999999</v>
      </c>
      <c r="BL103" s="230">
        <v>698132800</v>
      </c>
      <c r="BM103" s="230">
        <v>18185600</v>
      </c>
      <c r="BN103" s="230">
        <v>679947200</v>
      </c>
      <c r="BO103" s="229">
        <v>37.389299999999999</v>
      </c>
      <c r="BP103" s="230">
        <v>1695953600</v>
      </c>
      <c r="BQ103" s="230">
        <v>72755200</v>
      </c>
      <c r="BR103" s="230">
        <v>1623198400</v>
      </c>
      <c r="BS103" s="229">
        <v>22.310400000000001</v>
      </c>
      <c r="BT103" s="230">
        <v>294510859</v>
      </c>
      <c r="BU103" s="230">
        <v>10310691</v>
      </c>
      <c r="BV103" s="230">
        <v>284200168</v>
      </c>
      <c r="BW103" s="229">
        <v>27.563600000000001</v>
      </c>
      <c r="BX103" s="230">
        <v>217107200</v>
      </c>
      <c r="BY103" s="230">
        <v>175043200</v>
      </c>
      <c r="BZ103" s="230">
        <v>42064000</v>
      </c>
      <c r="CA103" s="229">
        <v>0.24030000000000001</v>
      </c>
      <c r="CB103" s="230">
        <v>198017600</v>
      </c>
      <c r="CC103" s="230">
        <v>169073600</v>
      </c>
      <c r="CD103" s="230">
        <v>28944000</v>
      </c>
      <c r="CE103" s="229">
        <v>0.17119999999999999</v>
      </c>
      <c r="CF103" s="230">
        <v>16774400</v>
      </c>
      <c r="CG103" s="230">
        <v>5932800</v>
      </c>
      <c r="CH103" s="230">
        <v>10841600</v>
      </c>
      <c r="CI103" s="229">
        <v>1.8273999999999999</v>
      </c>
      <c r="CJ103" s="230">
        <v>2315200</v>
      </c>
      <c r="CK103" s="230">
        <v>36800</v>
      </c>
      <c r="CL103" s="230">
        <v>2278400</v>
      </c>
      <c r="CM103" s="229">
        <v>61.912999999999997</v>
      </c>
      <c r="CN103" s="230">
        <v>183216000</v>
      </c>
      <c r="CO103" s="230">
        <v>40984000</v>
      </c>
      <c r="CP103" s="230">
        <v>142232000</v>
      </c>
      <c r="CQ103" s="229">
        <v>3.4704000000000002</v>
      </c>
      <c r="CR103" s="230">
        <v>93617600</v>
      </c>
      <c r="CS103" s="230">
        <v>24556800</v>
      </c>
      <c r="CT103" s="230">
        <v>69060800</v>
      </c>
      <c r="CU103" s="229">
        <v>2.8123</v>
      </c>
      <c r="CV103" s="230">
        <v>493940800</v>
      </c>
      <c r="CW103" s="230">
        <v>240584000</v>
      </c>
      <c r="CX103" s="230">
        <v>253356800</v>
      </c>
      <c r="CY103" s="229">
        <v>1.0530999999999999</v>
      </c>
      <c r="CZ103" s="228">
        <v>26.3</v>
      </c>
      <c r="DA103" s="228">
        <v>12.82</v>
      </c>
      <c r="DB103" s="228">
        <v>13.48</v>
      </c>
      <c r="DC103" s="228">
        <v>13.48</v>
      </c>
      <c r="DD103" s="228">
        <v>22.81</v>
      </c>
      <c r="DE103" s="228">
        <v>18.2</v>
      </c>
      <c r="DF103" s="228">
        <v>3.49</v>
      </c>
      <c r="DG103" s="228">
        <v>4.6100000000000003</v>
      </c>
      <c r="DH103" s="228">
        <v>26.43</v>
      </c>
      <c r="DI103" s="228">
        <v>12.65</v>
      </c>
      <c r="DJ103" s="228">
        <v>13.78</v>
      </c>
      <c r="DK103" s="228">
        <v>13.78</v>
      </c>
      <c r="DL103" s="228">
        <v>26.15</v>
      </c>
      <c r="DM103" s="228">
        <v>13.26</v>
      </c>
      <c r="DN103" s="228">
        <v>12.89</v>
      </c>
      <c r="DO103" s="228">
        <v>12.89</v>
      </c>
      <c r="DP103" s="228">
        <v>0.51</v>
      </c>
      <c r="DQ103" s="228">
        <v>0.6</v>
      </c>
      <c r="DR103" s="228">
        <v>-0.09</v>
      </c>
      <c r="DS103" s="229">
        <v>-0.15</v>
      </c>
      <c r="DT103" s="228">
        <v>400</v>
      </c>
      <c r="DU103" s="228">
        <v>350</v>
      </c>
      <c r="DV103" s="228">
        <v>0.88</v>
      </c>
      <c r="DW103" s="228">
        <v>0.4</v>
      </c>
      <c r="DX103" s="228">
        <v>0.48</v>
      </c>
      <c r="DY103" s="229">
        <v>1.2</v>
      </c>
      <c r="DZ103" s="229">
        <v>8.7900000000000006E-2</v>
      </c>
      <c r="EA103" s="230">
        <v>5969600</v>
      </c>
      <c r="EB103" s="229">
        <v>-3.8E-3</v>
      </c>
      <c r="EC103" s="229">
        <v>8.7900000000000006E-2</v>
      </c>
      <c r="ED103" s="228">
        <v>-1.7</v>
      </c>
      <c r="EE103" s="229">
        <v>-4.4999999999999997E-3</v>
      </c>
      <c r="EF103" s="230">
        <v>161811722</v>
      </c>
      <c r="EG103" s="230">
        <v>7747879</v>
      </c>
      <c r="EH103" s="229">
        <v>19.884599999999999</v>
      </c>
      <c r="EI103" s="229">
        <v>0.5494</v>
      </c>
      <c r="EJ103" s="231">
        <v>3151401</v>
      </c>
      <c r="EK103" s="231">
        <v>2600874.71</v>
      </c>
      <c r="EL103" s="231">
        <v>750940.54</v>
      </c>
      <c r="EM103" s="231">
        <v>31758</v>
      </c>
      <c r="EN103" s="231">
        <v>6503216.25</v>
      </c>
      <c r="EO103" s="231">
        <v>298926.28999999998</v>
      </c>
      <c r="EP103" s="231">
        <v>6204289.96</v>
      </c>
      <c r="EQ103" s="229">
        <v>20.755299999999998</v>
      </c>
      <c r="ER103" s="231">
        <v>719693</v>
      </c>
      <c r="ES103" s="231">
        <v>343961</v>
      </c>
      <c r="ET103" s="231">
        <v>794615</v>
      </c>
      <c r="EU103" s="231">
        <v>1252401670</v>
      </c>
      <c r="EV103" s="231">
        <v>1858269</v>
      </c>
      <c r="EW103" s="231">
        <v>978189</v>
      </c>
      <c r="EX103" s="231">
        <v>880080</v>
      </c>
      <c r="EY103" s="229">
        <v>0.89970000000000006</v>
      </c>
      <c r="EZ103" s="229">
        <v>0.39439999999999997</v>
      </c>
      <c r="FA103" s="227" t="s">
        <v>567</v>
      </c>
      <c r="FB103" s="161">
        <f t="shared" si="1"/>
        <v>19089600</v>
      </c>
    </row>
    <row r="104" spans="1:158" ht="17.25" hidden="1" thickBot="1" x14ac:dyDescent="0.3">
      <c r="A104" s="226">
        <v>46023</v>
      </c>
      <c r="B104" s="227" t="s">
        <v>227</v>
      </c>
      <c r="C104" s="227" t="s">
        <v>243</v>
      </c>
      <c r="D104" s="228">
        <v>625</v>
      </c>
      <c r="E104" s="231">
        <v>1072.4000000000001</v>
      </c>
      <c r="F104" s="231">
        <v>1057.4000000000001</v>
      </c>
      <c r="G104" s="228">
        <v>15</v>
      </c>
      <c r="H104" s="229">
        <v>1.4200000000000001E-2</v>
      </c>
      <c r="I104" s="231">
        <v>1068.4000000000001</v>
      </c>
      <c r="J104" s="231">
        <v>1053.8</v>
      </c>
      <c r="K104" s="228">
        <v>14.6</v>
      </c>
      <c r="L104" s="229">
        <v>1.3899999999999999E-2</v>
      </c>
      <c r="M104" s="231">
        <v>1072.4000000000001</v>
      </c>
      <c r="N104" s="231">
        <v>1057.4000000000001</v>
      </c>
      <c r="O104" s="228">
        <v>15</v>
      </c>
      <c r="P104" s="229">
        <v>1.4200000000000001E-2</v>
      </c>
      <c r="Q104" s="231">
        <v>1078.5999999999999</v>
      </c>
      <c r="R104" s="231">
        <v>1063.5</v>
      </c>
      <c r="S104" s="228">
        <v>15.1</v>
      </c>
      <c r="T104" s="229">
        <v>1.4200000000000001E-2</v>
      </c>
      <c r="U104" s="231">
        <v>1085.7</v>
      </c>
      <c r="V104" s="231">
        <v>1069.5</v>
      </c>
      <c r="W104" s="228">
        <v>16.2</v>
      </c>
      <c r="X104" s="229">
        <v>1.5100000000000001E-2</v>
      </c>
      <c r="Y104" s="228">
        <v>4</v>
      </c>
      <c r="Z104" s="228">
        <v>3.6</v>
      </c>
      <c r="AA104" s="228">
        <v>0.4</v>
      </c>
      <c r="AB104" s="229">
        <v>3.7000000000000002E-3</v>
      </c>
      <c r="AC104" s="228">
        <v>4</v>
      </c>
      <c r="AD104" s="228">
        <v>3.6</v>
      </c>
      <c r="AE104" s="228">
        <v>0.4</v>
      </c>
      <c r="AF104" s="229">
        <v>3.7000000000000002E-3</v>
      </c>
      <c r="AG104" s="228">
        <v>10.199999999999999</v>
      </c>
      <c r="AH104" s="228">
        <v>9.6999999999999993</v>
      </c>
      <c r="AI104" s="228">
        <v>0.5</v>
      </c>
      <c r="AJ104" s="229">
        <v>9.4999999999999998E-3</v>
      </c>
      <c r="AK104" s="228">
        <v>17.3</v>
      </c>
      <c r="AL104" s="228">
        <v>15.7</v>
      </c>
      <c r="AM104" s="228">
        <v>1.6</v>
      </c>
      <c r="AN104" s="229">
        <v>1.6199999999999999E-2</v>
      </c>
      <c r="AO104" s="231">
        <v>1065.04</v>
      </c>
      <c r="AP104" s="231">
        <v>1069.74</v>
      </c>
      <c r="AQ104" s="228">
        <v>0</v>
      </c>
      <c r="AR104" s="230">
        <v>2703125</v>
      </c>
      <c r="AS104" s="230">
        <v>6996875</v>
      </c>
      <c r="AT104" s="230">
        <v>-4293750</v>
      </c>
      <c r="AU104" s="229">
        <v>-0.61370000000000002</v>
      </c>
      <c r="AV104" s="230">
        <v>2616250</v>
      </c>
      <c r="AW104" s="230">
        <v>6813125</v>
      </c>
      <c r="AX104" s="230">
        <v>-4196875</v>
      </c>
      <c r="AY104" s="229">
        <v>-0.61599999999999999</v>
      </c>
      <c r="AZ104" s="230">
        <v>85000</v>
      </c>
      <c r="BA104" s="230">
        <v>176250</v>
      </c>
      <c r="BB104" s="230">
        <v>-91250</v>
      </c>
      <c r="BC104" s="229">
        <v>-0.51770000000000005</v>
      </c>
      <c r="BD104" s="230">
        <v>1875</v>
      </c>
      <c r="BE104" s="230">
        <v>7500</v>
      </c>
      <c r="BF104" s="230">
        <v>-5625</v>
      </c>
      <c r="BG104" s="229">
        <v>-0.75</v>
      </c>
      <c r="BH104" s="230">
        <v>7825625</v>
      </c>
      <c r="BI104" s="230">
        <v>23089375</v>
      </c>
      <c r="BJ104" s="230">
        <v>-15263750</v>
      </c>
      <c r="BK104" s="229">
        <v>-0.66110000000000002</v>
      </c>
      <c r="BL104" s="230">
        <v>4050625</v>
      </c>
      <c r="BM104" s="230">
        <v>8646250</v>
      </c>
      <c r="BN104" s="230">
        <v>-4595625</v>
      </c>
      <c r="BO104" s="229">
        <v>-0.53149999999999997</v>
      </c>
      <c r="BP104" s="230">
        <v>14579375</v>
      </c>
      <c r="BQ104" s="230">
        <v>38732500</v>
      </c>
      <c r="BR104" s="230">
        <v>-24153125</v>
      </c>
      <c r="BS104" s="229">
        <v>-0.62360000000000004</v>
      </c>
      <c r="BT104" s="230">
        <v>1405315</v>
      </c>
      <c r="BU104" s="230">
        <v>4809066</v>
      </c>
      <c r="BV104" s="230">
        <v>-3403751</v>
      </c>
      <c r="BW104" s="229">
        <v>-0.70779999999999998</v>
      </c>
      <c r="BX104" s="230">
        <v>12910000</v>
      </c>
      <c r="BY104" s="230">
        <v>12716250</v>
      </c>
      <c r="BZ104" s="230">
        <v>193750</v>
      </c>
      <c r="CA104" s="229">
        <v>1.52E-2</v>
      </c>
      <c r="CB104" s="230">
        <v>12770000</v>
      </c>
      <c r="CC104" s="230">
        <v>12586250</v>
      </c>
      <c r="CD104" s="230">
        <v>183750</v>
      </c>
      <c r="CE104" s="229">
        <v>1.46E-2</v>
      </c>
      <c r="CF104" s="230">
        <v>131875</v>
      </c>
      <c r="CG104" s="230">
        <v>123750</v>
      </c>
      <c r="CH104" s="230">
        <v>8125</v>
      </c>
      <c r="CI104" s="229">
        <v>6.5699999999999995E-2</v>
      </c>
      <c r="CJ104" s="230">
        <v>8125</v>
      </c>
      <c r="CK104" s="230">
        <v>6250</v>
      </c>
      <c r="CL104" s="230">
        <v>1875</v>
      </c>
      <c r="CM104" s="229">
        <v>0.3</v>
      </c>
      <c r="CN104" s="230">
        <v>3941250</v>
      </c>
      <c r="CO104" s="230">
        <v>4303125</v>
      </c>
      <c r="CP104" s="230">
        <v>-361875</v>
      </c>
      <c r="CQ104" s="229">
        <v>-8.4099999999999994E-2</v>
      </c>
      <c r="CR104" s="230">
        <v>3477500</v>
      </c>
      <c r="CS104" s="230">
        <v>3196250</v>
      </c>
      <c r="CT104" s="230">
        <v>281250</v>
      </c>
      <c r="CU104" s="229">
        <v>8.7999999999999995E-2</v>
      </c>
      <c r="CV104" s="230">
        <v>20328750</v>
      </c>
      <c r="CW104" s="230">
        <v>20215625</v>
      </c>
      <c r="CX104" s="230">
        <v>113125</v>
      </c>
      <c r="CY104" s="229">
        <v>5.5999999999999999E-3</v>
      </c>
      <c r="CZ104" s="228">
        <v>24.98</v>
      </c>
      <c r="DA104" s="228">
        <v>26.48</v>
      </c>
      <c r="DB104" s="228">
        <v>-1.5</v>
      </c>
      <c r="DC104" s="228">
        <v>-1.5</v>
      </c>
      <c r="DD104" s="228">
        <v>34.340000000000003</v>
      </c>
      <c r="DE104" s="228">
        <v>34.369999999999997</v>
      </c>
      <c r="DF104" s="228">
        <v>-9.36</v>
      </c>
      <c r="DG104" s="228">
        <v>-0.03</v>
      </c>
      <c r="DH104" s="228">
        <v>24.76</v>
      </c>
      <c r="DI104" s="228">
        <v>26.38</v>
      </c>
      <c r="DJ104" s="228">
        <v>-1.62</v>
      </c>
      <c r="DK104" s="228">
        <v>-1.62</v>
      </c>
      <c r="DL104" s="228">
        <v>25.42</v>
      </c>
      <c r="DM104" s="228">
        <v>26.72</v>
      </c>
      <c r="DN104" s="228">
        <v>-1.3</v>
      </c>
      <c r="DO104" s="228">
        <v>-1.3</v>
      </c>
      <c r="DP104" s="228">
        <v>0.88</v>
      </c>
      <c r="DQ104" s="228">
        <v>0.74</v>
      </c>
      <c r="DR104" s="228">
        <v>0.14000000000000001</v>
      </c>
      <c r="DS104" s="229">
        <v>0.18920000000000001</v>
      </c>
      <c r="DT104" s="231">
        <v>1060</v>
      </c>
      <c r="DU104" s="231">
        <v>1000</v>
      </c>
      <c r="DV104" s="228">
        <v>0.52</v>
      </c>
      <c r="DW104" s="228">
        <v>0.37</v>
      </c>
      <c r="DX104" s="228">
        <v>0.15</v>
      </c>
      <c r="DY104" s="229">
        <v>0.40539999999999998</v>
      </c>
      <c r="DZ104" s="229">
        <v>1.0800000000000001E-2</v>
      </c>
      <c r="EA104" s="230">
        <v>130000</v>
      </c>
      <c r="EB104" s="229">
        <v>5.7999999999999996E-3</v>
      </c>
      <c r="EC104" s="229">
        <v>1.0800000000000001E-2</v>
      </c>
      <c r="ED104" s="228">
        <v>4.7</v>
      </c>
      <c r="EE104" s="229">
        <v>4.4000000000000003E-3</v>
      </c>
      <c r="EF104" s="230">
        <v>489434</v>
      </c>
      <c r="EG104" s="230">
        <v>2067757</v>
      </c>
      <c r="EH104" s="229">
        <v>-0.76329999999999998</v>
      </c>
      <c r="EI104" s="229">
        <v>0.3483</v>
      </c>
      <c r="EJ104" s="231">
        <v>86701.15</v>
      </c>
      <c r="EK104" s="231">
        <v>42499.78</v>
      </c>
      <c r="EL104" s="231">
        <v>28793.75</v>
      </c>
      <c r="EM104" s="231">
        <v>13938</v>
      </c>
      <c r="EN104" s="231">
        <v>157994.68</v>
      </c>
      <c r="EO104" s="231">
        <v>420198.44</v>
      </c>
      <c r="EP104" s="231">
        <v>-262203.76</v>
      </c>
      <c r="EQ104" s="229">
        <v>-0.624</v>
      </c>
      <c r="ER104" s="231">
        <v>42999</v>
      </c>
      <c r="ES104" s="231">
        <v>35009</v>
      </c>
      <c r="ET104" s="231">
        <v>138456</v>
      </c>
      <c r="EU104" s="231">
        <v>48257090</v>
      </c>
      <c r="EV104" s="231">
        <v>216464</v>
      </c>
      <c r="EW104" s="231">
        <v>213227</v>
      </c>
      <c r="EX104" s="231">
        <v>3237</v>
      </c>
      <c r="EY104" s="229">
        <v>1.52E-2</v>
      </c>
      <c r="EZ104" s="229">
        <v>0.42130000000000001</v>
      </c>
      <c r="FA104" s="227" t="s">
        <v>555</v>
      </c>
      <c r="FB104" s="161">
        <f t="shared" si="1"/>
        <v>140000</v>
      </c>
    </row>
    <row r="105" spans="1:158" ht="17.25" hidden="1" thickBot="1" x14ac:dyDescent="0.3">
      <c r="A105" s="226">
        <v>46023</v>
      </c>
      <c r="B105" s="227" t="s">
        <v>175</v>
      </c>
      <c r="C105" s="227" t="s">
        <v>570</v>
      </c>
      <c r="D105" s="228">
        <v>2350</v>
      </c>
      <c r="E105" s="228">
        <v>297.7</v>
      </c>
      <c r="F105" s="228">
        <v>296.89999999999998</v>
      </c>
      <c r="G105" s="228">
        <v>0.8</v>
      </c>
      <c r="H105" s="229">
        <v>2.7000000000000001E-3</v>
      </c>
      <c r="I105" s="228">
        <v>295.7</v>
      </c>
      <c r="J105" s="228">
        <v>294.95</v>
      </c>
      <c r="K105" s="228">
        <v>0.75</v>
      </c>
      <c r="L105" s="229">
        <v>2.5000000000000001E-3</v>
      </c>
      <c r="M105" s="228">
        <v>297.7</v>
      </c>
      <c r="N105" s="228">
        <v>296.89999999999998</v>
      </c>
      <c r="O105" s="228">
        <v>0.8</v>
      </c>
      <c r="P105" s="229">
        <v>2.7000000000000001E-3</v>
      </c>
      <c r="Q105" s="228">
        <v>299.45</v>
      </c>
      <c r="R105" s="228">
        <v>298.75</v>
      </c>
      <c r="S105" s="228">
        <v>0.7</v>
      </c>
      <c r="T105" s="229">
        <v>2.3E-3</v>
      </c>
      <c r="U105" s="228">
        <v>301.39999999999998</v>
      </c>
      <c r="V105" s="228">
        <v>300.95</v>
      </c>
      <c r="W105" s="228">
        <v>0.45</v>
      </c>
      <c r="X105" s="229">
        <v>1.5E-3</v>
      </c>
      <c r="Y105" s="228">
        <v>2</v>
      </c>
      <c r="Z105" s="228">
        <v>1.95</v>
      </c>
      <c r="AA105" s="228">
        <v>0.05</v>
      </c>
      <c r="AB105" s="229">
        <v>6.7999999999999996E-3</v>
      </c>
      <c r="AC105" s="228">
        <v>2</v>
      </c>
      <c r="AD105" s="228">
        <v>1.95</v>
      </c>
      <c r="AE105" s="228">
        <v>0.05</v>
      </c>
      <c r="AF105" s="229">
        <v>6.7999999999999996E-3</v>
      </c>
      <c r="AG105" s="228">
        <v>3.75</v>
      </c>
      <c r="AH105" s="228">
        <v>3.8</v>
      </c>
      <c r="AI105" s="228">
        <v>-0.05</v>
      </c>
      <c r="AJ105" s="229">
        <v>1.2699999999999999E-2</v>
      </c>
      <c r="AK105" s="228">
        <v>5.7</v>
      </c>
      <c r="AL105" s="228">
        <v>6</v>
      </c>
      <c r="AM105" s="228">
        <v>-0.3</v>
      </c>
      <c r="AN105" s="229">
        <v>1.9300000000000001E-2</v>
      </c>
      <c r="AO105" s="228">
        <v>297.12</v>
      </c>
      <c r="AP105" s="228">
        <v>298.81</v>
      </c>
      <c r="AQ105" s="228">
        <v>0</v>
      </c>
      <c r="AR105" s="230">
        <v>6020700</v>
      </c>
      <c r="AS105" s="230">
        <v>12943800</v>
      </c>
      <c r="AT105" s="230">
        <v>-6923100</v>
      </c>
      <c r="AU105" s="229">
        <v>-0.53490000000000004</v>
      </c>
      <c r="AV105" s="230">
        <v>5503700</v>
      </c>
      <c r="AW105" s="230">
        <v>11867500</v>
      </c>
      <c r="AX105" s="230">
        <v>-6363800</v>
      </c>
      <c r="AY105" s="229">
        <v>-0.53620000000000001</v>
      </c>
      <c r="AZ105" s="230">
        <v>397150</v>
      </c>
      <c r="BA105" s="230">
        <v>944700</v>
      </c>
      <c r="BB105" s="230">
        <v>-547550</v>
      </c>
      <c r="BC105" s="229">
        <v>-0.5796</v>
      </c>
      <c r="BD105" s="230">
        <v>119850</v>
      </c>
      <c r="BE105" s="230">
        <v>131600</v>
      </c>
      <c r="BF105" s="230">
        <v>-11750</v>
      </c>
      <c r="BG105" s="229">
        <v>-8.9300000000000004E-2</v>
      </c>
      <c r="BH105" s="230">
        <v>16821300</v>
      </c>
      <c r="BI105" s="230">
        <v>28084850</v>
      </c>
      <c r="BJ105" s="230">
        <v>-11263550</v>
      </c>
      <c r="BK105" s="229">
        <v>-0.40110000000000001</v>
      </c>
      <c r="BL105" s="230">
        <v>6218100</v>
      </c>
      <c r="BM105" s="230">
        <v>12863900</v>
      </c>
      <c r="BN105" s="230">
        <v>-6645800</v>
      </c>
      <c r="BO105" s="229">
        <v>-0.51659999999999995</v>
      </c>
      <c r="BP105" s="230">
        <v>29060100</v>
      </c>
      <c r="BQ105" s="230">
        <v>53892550</v>
      </c>
      <c r="BR105" s="230">
        <v>-24832450</v>
      </c>
      <c r="BS105" s="229">
        <v>-0.46079999999999999</v>
      </c>
      <c r="BT105" s="230">
        <v>4107906</v>
      </c>
      <c r="BU105" s="230">
        <v>7283510</v>
      </c>
      <c r="BV105" s="230">
        <v>-3175604</v>
      </c>
      <c r="BW105" s="229">
        <v>-0.436</v>
      </c>
      <c r="BX105" s="230">
        <v>158545100</v>
      </c>
      <c r="BY105" s="230">
        <v>157995200</v>
      </c>
      <c r="BZ105" s="230">
        <v>549900</v>
      </c>
      <c r="CA105" s="229">
        <v>3.5000000000000001E-3</v>
      </c>
      <c r="CB105" s="230">
        <v>151887550</v>
      </c>
      <c r="CC105" s="230">
        <v>151422250</v>
      </c>
      <c r="CD105" s="230">
        <v>465300</v>
      </c>
      <c r="CE105" s="229">
        <v>3.0999999999999999E-3</v>
      </c>
      <c r="CF105" s="230">
        <v>6502450</v>
      </c>
      <c r="CG105" s="230">
        <v>6464850</v>
      </c>
      <c r="CH105" s="230">
        <v>37600</v>
      </c>
      <c r="CI105" s="229">
        <v>5.7999999999999996E-3</v>
      </c>
      <c r="CJ105" s="230">
        <v>155100</v>
      </c>
      <c r="CK105" s="230">
        <v>108100</v>
      </c>
      <c r="CL105" s="230">
        <v>47000</v>
      </c>
      <c r="CM105" s="229">
        <v>0.43480000000000002</v>
      </c>
      <c r="CN105" s="230">
        <v>37961900</v>
      </c>
      <c r="CO105" s="230">
        <v>35973800</v>
      </c>
      <c r="CP105" s="230">
        <v>1988100</v>
      </c>
      <c r="CQ105" s="229">
        <v>5.5300000000000002E-2</v>
      </c>
      <c r="CR105" s="230">
        <v>33992750</v>
      </c>
      <c r="CS105" s="230">
        <v>33494550</v>
      </c>
      <c r="CT105" s="230">
        <v>498200</v>
      </c>
      <c r="CU105" s="229">
        <v>1.49E-2</v>
      </c>
      <c r="CV105" s="230">
        <v>230499750</v>
      </c>
      <c r="CW105" s="230">
        <v>227463550</v>
      </c>
      <c r="CX105" s="230">
        <v>3036200</v>
      </c>
      <c r="CY105" s="229">
        <v>1.3299999999999999E-2</v>
      </c>
      <c r="CZ105" s="228">
        <v>23.22</v>
      </c>
      <c r="DA105" s="228">
        <v>23.35</v>
      </c>
      <c r="DB105" s="228">
        <v>-0.13</v>
      </c>
      <c r="DC105" s="228">
        <v>-0.13</v>
      </c>
      <c r="DD105" s="228">
        <v>33.36</v>
      </c>
      <c r="DE105" s="228">
        <v>33.44</v>
      </c>
      <c r="DF105" s="228">
        <v>-10.14</v>
      </c>
      <c r="DG105" s="228">
        <v>-0.08</v>
      </c>
      <c r="DH105" s="228">
        <v>23.03</v>
      </c>
      <c r="DI105" s="228">
        <v>23.32</v>
      </c>
      <c r="DJ105" s="228">
        <v>-0.28999999999999998</v>
      </c>
      <c r="DK105" s="228">
        <v>-0.28999999999999998</v>
      </c>
      <c r="DL105" s="228">
        <v>23.73</v>
      </c>
      <c r="DM105" s="228">
        <v>23.41</v>
      </c>
      <c r="DN105" s="228">
        <v>0.32</v>
      </c>
      <c r="DO105" s="228">
        <v>0.32</v>
      </c>
      <c r="DP105" s="228">
        <v>0.9</v>
      </c>
      <c r="DQ105" s="228">
        <v>0.93</v>
      </c>
      <c r="DR105" s="228">
        <v>-0.03</v>
      </c>
      <c r="DS105" s="229">
        <v>-3.2300000000000002E-2</v>
      </c>
      <c r="DT105" s="228">
        <v>300</v>
      </c>
      <c r="DU105" s="228">
        <v>290</v>
      </c>
      <c r="DV105" s="228">
        <v>0.37</v>
      </c>
      <c r="DW105" s="228">
        <v>0.46</v>
      </c>
      <c r="DX105" s="228">
        <v>-0.09</v>
      </c>
      <c r="DY105" s="229">
        <v>-0.19570000000000001</v>
      </c>
      <c r="DZ105" s="229">
        <v>4.2000000000000003E-2</v>
      </c>
      <c r="EA105" s="230">
        <v>6572950</v>
      </c>
      <c r="EB105" s="229">
        <v>5.8999999999999999E-3</v>
      </c>
      <c r="EC105" s="229">
        <v>4.2000000000000003E-2</v>
      </c>
      <c r="ED105" s="228">
        <v>1.69</v>
      </c>
      <c r="EE105" s="229">
        <v>5.7000000000000002E-3</v>
      </c>
      <c r="EF105" s="230">
        <v>1947897</v>
      </c>
      <c r="EG105" s="230">
        <v>4303745</v>
      </c>
      <c r="EH105" s="229">
        <v>-0.5474</v>
      </c>
      <c r="EI105" s="229">
        <v>0.47420000000000001</v>
      </c>
      <c r="EJ105" s="231">
        <v>52982.94</v>
      </c>
      <c r="EK105" s="231">
        <v>17890.400000000001</v>
      </c>
      <c r="EL105" s="231">
        <v>17899.810000000001</v>
      </c>
      <c r="EM105" s="231">
        <v>23942</v>
      </c>
      <c r="EN105" s="231">
        <v>88773.15</v>
      </c>
      <c r="EO105" s="231">
        <v>164081.68</v>
      </c>
      <c r="EP105" s="231">
        <v>-75308.53</v>
      </c>
      <c r="EQ105" s="229">
        <v>-0.45900000000000002</v>
      </c>
      <c r="ER105" s="231">
        <v>118668</v>
      </c>
      <c r="ES105" s="231">
        <v>102488</v>
      </c>
      <c r="ET105" s="231">
        <v>472108</v>
      </c>
      <c r="EU105" s="231">
        <v>355358091</v>
      </c>
      <c r="EV105" s="231">
        <v>693264</v>
      </c>
      <c r="EW105" s="231">
        <v>682600</v>
      </c>
      <c r="EX105" s="231">
        <v>10664</v>
      </c>
      <c r="EY105" s="229">
        <v>1.5599999999999999E-2</v>
      </c>
      <c r="EZ105" s="229">
        <v>0.64859999999999995</v>
      </c>
      <c r="FA105" s="227" t="s">
        <v>555</v>
      </c>
      <c r="FB105" s="161">
        <f t="shared" si="1"/>
        <v>6657550</v>
      </c>
    </row>
    <row r="106" spans="1:158" ht="17.25" hidden="1" thickBot="1" x14ac:dyDescent="0.3">
      <c r="A106" s="226">
        <v>46023</v>
      </c>
      <c r="B106" s="227" t="s">
        <v>161</v>
      </c>
      <c r="C106" s="227" t="s">
        <v>580</v>
      </c>
      <c r="D106" s="228">
        <v>1000</v>
      </c>
      <c r="E106" s="228">
        <v>505.05</v>
      </c>
      <c r="F106" s="228">
        <v>484.3</v>
      </c>
      <c r="G106" s="228">
        <v>20.75</v>
      </c>
      <c r="H106" s="229">
        <v>4.2799999999999998E-2</v>
      </c>
      <c r="I106" s="228">
        <v>502</v>
      </c>
      <c r="J106" s="228">
        <v>482.45</v>
      </c>
      <c r="K106" s="228">
        <v>19.55</v>
      </c>
      <c r="L106" s="229">
        <v>4.0500000000000001E-2</v>
      </c>
      <c r="M106" s="228">
        <v>505.05</v>
      </c>
      <c r="N106" s="228">
        <v>484.3</v>
      </c>
      <c r="O106" s="228">
        <v>20.75</v>
      </c>
      <c r="P106" s="229">
        <v>4.2799999999999998E-2</v>
      </c>
      <c r="Q106" s="228">
        <v>507.7</v>
      </c>
      <c r="R106" s="228">
        <v>487</v>
      </c>
      <c r="S106" s="228">
        <v>20.7</v>
      </c>
      <c r="T106" s="229">
        <v>4.2500000000000003E-2</v>
      </c>
      <c r="U106" s="228">
        <v>510.9</v>
      </c>
      <c r="V106" s="228">
        <v>490.05</v>
      </c>
      <c r="W106" s="228">
        <v>20.85</v>
      </c>
      <c r="X106" s="229">
        <v>4.2500000000000003E-2</v>
      </c>
      <c r="Y106" s="228">
        <v>3.05</v>
      </c>
      <c r="Z106" s="228">
        <v>1.85</v>
      </c>
      <c r="AA106" s="228">
        <v>1.2</v>
      </c>
      <c r="AB106" s="229">
        <v>6.1000000000000004E-3</v>
      </c>
      <c r="AC106" s="228">
        <v>3.05</v>
      </c>
      <c r="AD106" s="228">
        <v>1.85</v>
      </c>
      <c r="AE106" s="228">
        <v>1.2</v>
      </c>
      <c r="AF106" s="229">
        <v>6.1000000000000004E-3</v>
      </c>
      <c r="AG106" s="228">
        <v>5.7</v>
      </c>
      <c r="AH106" s="228">
        <v>4.55</v>
      </c>
      <c r="AI106" s="228">
        <v>1.1499999999999999</v>
      </c>
      <c r="AJ106" s="229">
        <v>1.14E-2</v>
      </c>
      <c r="AK106" s="228">
        <v>8.9</v>
      </c>
      <c r="AL106" s="228">
        <v>7.6</v>
      </c>
      <c r="AM106" s="228">
        <v>1.3</v>
      </c>
      <c r="AN106" s="229">
        <v>1.77E-2</v>
      </c>
      <c r="AO106" s="228">
        <v>499.09</v>
      </c>
      <c r="AP106" s="228">
        <v>501.03</v>
      </c>
      <c r="AQ106" s="228">
        <v>0</v>
      </c>
      <c r="AR106" s="230">
        <v>6256000</v>
      </c>
      <c r="AS106" s="230">
        <v>3796000</v>
      </c>
      <c r="AT106" s="230">
        <v>2460000</v>
      </c>
      <c r="AU106" s="229">
        <v>0.64810000000000001</v>
      </c>
      <c r="AV106" s="230">
        <v>5973000</v>
      </c>
      <c r="AW106" s="230">
        <v>3735000</v>
      </c>
      <c r="AX106" s="230">
        <v>2238000</v>
      </c>
      <c r="AY106" s="229">
        <v>0.59919999999999995</v>
      </c>
      <c r="AZ106" s="230">
        <v>252000</v>
      </c>
      <c r="BA106" s="230">
        <v>56000</v>
      </c>
      <c r="BB106" s="230">
        <v>196000</v>
      </c>
      <c r="BC106" s="229">
        <v>3.5</v>
      </c>
      <c r="BD106" s="230">
        <v>31000</v>
      </c>
      <c r="BE106" s="230">
        <v>5000</v>
      </c>
      <c r="BF106" s="230">
        <v>26000</v>
      </c>
      <c r="BG106" s="229">
        <v>5.2</v>
      </c>
      <c r="BH106" s="230">
        <v>25725000</v>
      </c>
      <c r="BI106" s="230">
        <v>5963000</v>
      </c>
      <c r="BJ106" s="230">
        <v>19762000</v>
      </c>
      <c r="BK106" s="229">
        <v>3.3140999999999998</v>
      </c>
      <c r="BL106" s="230">
        <v>8459000</v>
      </c>
      <c r="BM106" s="230">
        <v>2530000</v>
      </c>
      <c r="BN106" s="230">
        <v>5929000</v>
      </c>
      <c r="BO106" s="229">
        <v>2.3435000000000001</v>
      </c>
      <c r="BP106" s="230">
        <v>40440000</v>
      </c>
      <c r="BQ106" s="230">
        <v>12289000</v>
      </c>
      <c r="BR106" s="230">
        <v>28151000</v>
      </c>
      <c r="BS106" s="229">
        <v>2.2907000000000002</v>
      </c>
      <c r="BT106" s="230">
        <v>6368983</v>
      </c>
      <c r="BU106" s="230">
        <v>2390297</v>
      </c>
      <c r="BV106" s="230">
        <v>3978686</v>
      </c>
      <c r="BW106" s="229">
        <v>1.6645000000000001</v>
      </c>
      <c r="BX106" s="230">
        <v>42211000</v>
      </c>
      <c r="BY106" s="230">
        <v>42121000</v>
      </c>
      <c r="BZ106" s="230">
        <v>90000</v>
      </c>
      <c r="CA106" s="229">
        <v>2.0999999999999999E-3</v>
      </c>
      <c r="CB106" s="230">
        <v>41830000</v>
      </c>
      <c r="CC106" s="230">
        <v>41799000</v>
      </c>
      <c r="CD106" s="230">
        <v>31000</v>
      </c>
      <c r="CE106" s="229">
        <v>6.9999999999999999E-4</v>
      </c>
      <c r="CF106" s="230">
        <v>361000</v>
      </c>
      <c r="CG106" s="230">
        <v>318000</v>
      </c>
      <c r="CH106" s="230">
        <v>43000</v>
      </c>
      <c r="CI106" s="229">
        <v>0.13519999999999999</v>
      </c>
      <c r="CJ106" s="230">
        <v>20000</v>
      </c>
      <c r="CK106" s="230">
        <v>4000</v>
      </c>
      <c r="CL106" s="230">
        <v>16000</v>
      </c>
      <c r="CM106" s="229">
        <v>4</v>
      </c>
      <c r="CN106" s="230">
        <v>6175000</v>
      </c>
      <c r="CO106" s="230">
        <v>5207000</v>
      </c>
      <c r="CP106" s="230">
        <v>968000</v>
      </c>
      <c r="CQ106" s="229">
        <v>0.18590000000000001</v>
      </c>
      <c r="CR106" s="230">
        <v>6846000</v>
      </c>
      <c r="CS106" s="230">
        <v>5571000</v>
      </c>
      <c r="CT106" s="230">
        <v>1275000</v>
      </c>
      <c r="CU106" s="229">
        <v>0.22889999999999999</v>
      </c>
      <c r="CV106" s="230">
        <v>55232000</v>
      </c>
      <c r="CW106" s="230">
        <v>52899000</v>
      </c>
      <c r="CX106" s="230">
        <v>2333000</v>
      </c>
      <c r="CY106" s="229">
        <v>4.41E-2</v>
      </c>
      <c r="CZ106" s="228">
        <v>27.3</v>
      </c>
      <c r="DA106" s="228">
        <v>26.67</v>
      </c>
      <c r="DB106" s="228">
        <v>0.63</v>
      </c>
      <c r="DC106" s="228">
        <v>0.63</v>
      </c>
      <c r="DD106" s="228">
        <v>42.73</v>
      </c>
      <c r="DE106" s="228">
        <v>42.46</v>
      </c>
      <c r="DF106" s="228">
        <v>-15.43</v>
      </c>
      <c r="DG106" s="228">
        <v>0.27</v>
      </c>
      <c r="DH106" s="228">
        <v>27.12</v>
      </c>
      <c r="DI106" s="228">
        <v>26.51</v>
      </c>
      <c r="DJ106" s="228">
        <v>0.61</v>
      </c>
      <c r="DK106" s="228">
        <v>0.61</v>
      </c>
      <c r="DL106" s="228">
        <v>27.83</v>
      </c>
      <c r="DM106" s="228">
        <v>27.03</v>
      </c>
      <c r="DN106" s="228">
        <v>0.8</v>
      </c>
      <c r="DO106" s="228">
        <v>0.8</v>
      </c>
      <c r="DP106" s="228">
        <v>1.1100000000000001</v>
      </c>
      <c r="DQ106" s="228">
        <v>1.07</v>
      </c>
      <c r="DR106" s="228">
        <v>0.04</v>
      </c>
      <c r="DS106" s="229">
        <v>3.7400000000000003E-2</v>
      </c>
      <c r="DT106" s="228">
        <v>500</v>
      </c>
      <c r="DU106" s="228">
        <v>530</v>
      </c>
      <c r="DV106" s="228">
        <v>0.33</v>
      </c>
      <c r="DW106" s="228">
        <v>0.42</v>
      </c>
      <c r="DX106" s="228">
        <v>-0.09</v>
      </c>
      <c r="DY106" s="229">
        <v>-0.21429999999999999</v>
      </c>
      <c r="DZ106" s="229">
        <v>8.9999999999999993E-3</v>
      </c>
      <c r="EA106" s="230">
        <v>322000</v>
      </c>
      <c r="EB106" s="229">
        <v>5.1999999999999998E-3</v>
      </c>
      <c r="EC106" s="229">
        <v>8.9999999999999993E-3</v>
      </c>
      <c r="ED106" s="228">
        <v>1.94</v>
      </c>
      <c r="EE106" s="229">
        <v>3.8999999999999998E-3</v>
      </c>
      <c r="EF106" s="230">
        <v>1575376</v>
      </c>
      <c r="EG106" s="230">
        <v>1235802</v>
      </c>
      <c r="EH106" s="229">
        <v>0.27479999999999999</v>
      </c>
      <c r="EI106" s="229">
        <v>0.24740000000000001</v>
      </c>
      <c r="EJ106" s="231">
        <v>133551.87</v>
      </c>
      <c r="EK106" s="231">
        <v>41701.07</v>
      </c>
      <c r="EL106" s="231">
        <v>31230.12</v>
      </c>
      <c r="EM106" s="231">
        <v>18852</v>
      </c>
      <c r="EN106" s="231">
        <v>206483.06</v>
      </c>
      <c r="EO106" s="231">
        <v>60552.98</v>
      </c>
      <c r="EP106" s="231">
        <v>145930.07999999999</v>
      </c>
      <c r="EQ106" s="229">
        <v>2.41</v>
      </c>
      <c r="ER106" s="231">
        <v>31362</v>
      </c>
      <c r="ES106" s="231">
        <v>33383</v>
      </c>
      <c r="ET106" s="231">
        <v>213197</v>
      </c>
      <c r="EU106" s="231">
        <v>80385888</v>
      </c>
      <c r="EV106" s="231">
        <v>277942</v>
      </c>
      <c r="EW106" s="231">
        <v>257166</v>
      </c>
      <c r="EX106" s="231">
        <v>20776</v>
      </c>
      <c r="EY106" s="229">
        <v>8.0799999999999997E-2</v>
      </c>
      <c r="EZ106" s="229">
        <v>0.68710000000000004</v>
      </c>
      <c r="FA106" s="227" t="s">
        <v>555</v>
      </c>
      <c r="FB106" s="161">
        <f t="shared" si="1"/>
        <v>381000</v>
      </c>
    </row>
    <row r="107" spans="1:158" ht="17.25" hidden="1" thickBot="1" x14ac:dyDescent="0.3">
      <c r="A107" s="226">
        <v>46023</v>
      </c>
      <c r="B107" s="227" t="s">
        <v>227</v>
      </c>
      <c r="C107" s="227" t="s">
        <v>244</v>
      </c>
      <c r="D107" s="228">
        <v>675</v>
      </c>
      <c r="E107" s="231">
        <v>1178</v>
      </c>
      <c r="F107" s="231">
        <v>1172.3</v>
      </c>
      <c r="G107" s="228">
        <v>5.7</v>
      </c>
      <c r="H107" s="229">
        <v>4.8999999999999998E-3</v>
      </c>
      <c r="I107" s="231">
        <v>1171.5</v>
      </c>
      <c r="J107" s="231">
        <v>1164.8</v>
      </c>
      <c r="K107" s="228">
        <v>6.7</v>
      </c>
      <c r="L107" s="229">
        <v>5.7999999999999996E-3</v>
      </c>
      <c r="M107" s="231">
        <v>1178</v>
      </c>
      <c r="N107" s="231">
        <v>1172.3</v>
      </c>
      <c r="O107" s="228">
        <v>5.7</v>
      </c>
      <c r="P107" s="229">
        <v>4.8999999999999998E-3</v>
      </c>
      <c r="Q107" s="231">
        <v>1183.8</v>
      </c>
      <c r="R107" s="231">
        <v>1178.7</v>
      </c>
      <c r="S107" s="228">
        <v>5.0999999999999996</v>
      </c>
      <c r="T107" s="229">
        <v>4.3E-3</v>
      </c>
      <c r="U107" s="231">
        <v>1190.4000000000001</v>
      </c>
      <c r="V107" s="231">
        <v>1186.2</v>
      </c>
      <c r="W107" s="228">
        <v>4.2</v>
      </c>
      <c r="X107" s="229">
        <v>3.5000000000000001E-3</v>
      </c>
      <c r="Y107" s="228">
        <v>6.5</v>
      </c>
      <c r="Z107" s="228">
        <v>7.5</v>
      </c>
      <c r="AA107" s="228">
        <v>-1</v>
      </c>
      <c r="AB107" s="229">
        <v>5.4999999999999997E-3</v>
      </c>
      <c r="AC107" s="228">
        <v>6.5</v>
      </c>
      <c r="AD107" s="228">
        <v>7.5</v>
      </c>
      <c r="AE107" s="228">
        <v>-1</v>
      </c>
      <c r="AF107" s="229">
        <v>5.4999999999999997E-3</v>
      </c>
      <c r="AG107" s="228">
        <v>12.3</v>
      </c>
      <c r="AH107" s="228">
        <v>13.9</v>
      </c>
      <c r="AI107" s="228">
        <v>-1.6</v>
      </c>
      <c r="AJ107" s="229">
        <v>1.0500000000000001E-2</v>
      </c>
      <c r="AK107" s="228">
        <v>18.899999999999999</v>
      </c>
      <c r="AL107" s="228">
        <v>21.4</v>
      </c>
      <c r="AM107" s="228">
        <v>-2.5</v>
      </c>
      <c r="AN107" s="229">
        <v>1.61E-2</v>
      </c>
      <c r="AO107" s="231">
        <v>1175.73</v>
      </c>
      <c r="AP107" s="231">
        <v>1182.02</v>
      </c>
      <c r="AQ107" s="228">
        <v>0</v>
      </c>
      <c r="AR107" s="230">
        <v>3075300</v>
      </c>
      <c r="AS107" s="230">
        <v>14351175</v>
      </c>
      <c r="AT107" s="230">
        <v>-11275875</v>
      </c>
      <c r="AU107" s="229">
        <v>-0.78569999999999995</v>
      </c>
      <c r="AV107" s="230">
        <v>2936250</v>
      </c>
      <c r="AW107" s="230">
        <v>14018400</v>
      </c>
      <c r="AX107" s="230">
        <v>-11082150</v>
      </c>
      <c r="AY107" s="229">
        <v>-0.79049999999999998</v>
      </c>
      <c r="AZ107" s="230">
        <v>120825</v>
      </c>
      <c r="BA107" s="230">
        <v>301725</v>
      </c>
      <c r="BB107" s="230">
        <v>-180900</v>
      </c>
      <c r="BC107" s="229">
        <v>-0.59960000000000002</v>
      </c>
      <c r="BD107" s="230">
        <v>18225</v>
      </c>
      <c r="BE107" s="230">
        <v>31050</v>
      </c>
      <c r="BF107" s="230">
        <v>-12825</v>
      </c>
      <c r="BG107" s="229">
        <v>-0.41299999999999998</v>
      </c>
      <c r="BH107" s="230">
        <v>10674450</v>
      </c>
      <c r="BI107" s="230">
        <v>48622950</v>
      </c>
      <c r="BJ107" s="230">
        <v>-37948500</v>
      </c>
      <c r="BK107" s="229">
        <v>-0.78049999999999997</v>
      </c>
      <c r="BL107" s="230">
        <v>11179350</v>
      </c>
      <c r="BM107" s="230">
        <v>23193675</v>
      </c>
      <c r="BN107" s="230">
        <v>-12014325</v>
      </c>
      <c r="BO107" s="229">
        <v>-0.51800000000000002</v>
      </c>
      <c r="BP107" s="230">
        <v>24929100</v>
      </c>
      <c r="BQ107" s="230">
        <v>86167800</v>
      </c>
      <c r="BR107" s="230">
        <v>-61238700</v>
      </c>
      <c r="BS107" s="229">
        <v>-0.7107</v>
      </c>
      <c r="BT107" s="230">
        <v>1242858</v>
      </c>
      <c r="BU107" s="230">
        <v>6332688</v>
      </c>
      <c r="BV107" s="230">
        <v>-5089830</v>
      </c>
      <c r="BW107" s="229">
        <v>-0.80369999999999997</v>
      </c>
      <c r="BX107" s="230">
        <v>49558500</v>
      </c>
      <c r="BY107" s="230">
        <v>49600350</v>
      </c>
      <c r="BZ107" s="230">
        <v>-41850</v>
      </c>
      <c r="CA107" s="229">
        <v>-8.0000000000000004E-4</v>
      </c>
      <c r="CB107" s="230">
        <v>49209525</v>
      </c>
      <c r="CC107" s="230">
        <v>49252050</v>
      </c>
      <c r="CD107" s="230">
        <v>-42525</v>
      </c>
      <c r="CE107" s="229">
        <v>-8.9999999999999998E-4</v>
      </c>
      <c r="CF107" s="230">
        <v>319950</v>
      </c>
      <c r="CG107" s="230">
        <v>332100</v>
      </c>
      <c r="CH107" s="230">
        <v>-12150</v>
      </c>
      <c r="CI107" s="229">
        <v>-3.6600000000000001E-2</v>
      </c>
      <c r="CJ107" s="230">
        <v>29025</v>
      </c>
      <c r="CK107" s="230">
        <v>16200</v>
      </c>
      <c r="CL107" s="230">
        <v>12825</v>
      </c>
      <c r="CM107" s="229">
        <v>0.79169999999999996</v>
      </c>
      <c r="CN107" s="230">
        <v>8535375</v>
      </c>
      <c r="CO107" s="230">
        <v>8698725</v>
      </c>
      <c r="CP107" s="230">
        <v>-163350</v>
      </c>
      <c r="CQ107" s="229">
        <v>-1.8800000000000001E-2</v>
      </c>
      <c r="CR107" s="230">
        <v>8189775</v>
      </c>
      <c r="CS107" s="230">
        <v>7756425</v>
      </c>
      <c r="CT107" s="230">
        <v>433350</v>
      </c>
      <c r="CU107" s="229">
        <v>5.5899999999999998E-2</v>
      </c>
      <c r="CV107" s="230">
        <v>66283650</v>
      </c>
      <c r="CW107" s="230">
        <v>66055500</v>
      </c>
      <c r="CX107" s="230">
        <v>228150</v>
      </c>
      <c r="CY107" s="229">
        <v>3.5000000000000001E-3</v>
      </c>
      <c r="CZ107" s="228">
        <v>22.76</v>
      </c>
      <c r="DA107" s="228">
        <v>23.07</v>
      </c>
      <c r="DB107" s="228">
        <v>-0.31</v>
      </c>
      <c r="DC107" s="228">
        <v>-0.31</v>
      </c>
      <c r="DD107" s="228">
        <v>29.48</v>
      </c>
      <c r="DE107" s="228">
        <v>29.55</v>
      </c>
      <c r="DF107" s="228">
        <v>-6.72</v>
      </c>
      <c r="DG107" s="228">
        <v>-7.0000000000000007E-2</v>
      </c>
      <c r="DH107" s="228">
        <v>22.15</v>
      </c>
      <c r="DI107" s="228">
        <v>22.95</v>
      </c>
      <c r="DJ107" s="228">
        <v>-0.8</v>
      </c>
      <c r="DK107" s="228">
        <v>-0.8</v>
      </c>
      <c r="DL107" s="228">
        <v>23.34</v>
      </c>
      <c r="DM107" s="228">
        <v>23.34</v>
      </c>
      <c r="DN107" s="228">
        <v>0</v>
      </c>
      <c r="DO107" s="228">
        <v>0</v>
      </c>
      <c r="DP107" s="228">
        <v>0.96</v>
      </c>
      <c r="DQ107" s="228">
        <v>0.89</v>
      </c>
      <c r="DR107" s="228">
        <v>7.0000000000000007E-2</v>
      </c>
      <c r="DS107" s="229">
        <v>7.8700000000000006E-2</v>
      </c>
      <c r="DT107" s="231">
        <v>1160</v>
      </c>
      <c r="DU107" s="231">
        <v>1100</v>
      </c>
      <c r="DV107" s="228">
        <v>1.05</v>
      </c>
      <c r="DW107" s="228">
        <v>0.48</v>
      </c>
      <c r="DX107" s="228">
        <v>0.56999999999999995</v>
      </c>
      <c r="DY107" s="229">
        <v>1.1875</v>
      </c>
      <c r="DZ107" s="229">
        <v>7.0000000000000001E-3</v>
      </c>
      <c r="EA107" s="230">
        <v>348300</v>
      </c>
      <c r="EB107" s="229">
        <v>4.8999999999999998E-3</v>
      </c>
      <c r="EC107" s="229">
        <v>7.0000000000000001E-3</v>
      </c>
      <c r="ED107" s="228">
        <v>6.29</v>
      </c>
      <c r="EE107" s="229">
        <v>5.3E-3</v>
      </c>
      <c r="EF107" s="230">
        <v>344616</v>
      </c>
      <c r="EG107" s="230">
        <v>2149056</v>
      </c>
      <c r="EH107" s="229">
        <v>-0.83960000000000001</v>
      </c>
      <c r="EI107" s="229">
        <v>0.27729999999999999</v>
      </c>
      <c r="EJ107" s="231">
        <v>130791.54</v>
      </c>
      <c r="EK107" s="231">
        <v>125190.35</v>
      </c>
      <c r="EL107" s="231">
        <v>36167.199999999997</v>
      </c>
      <c r="EM107" s="231">
        <v>31301</v>
      </c>
      <c r="EN107" s="231">
        <v>292149.09000000003</v>
      </c>
      <c r="EO107" s="231">
        <v>1021205.81</v>
      </c>
      <c r="EP107" s="231">
        <v>-729056.72</v>
      </c>
      <c r="EQ107" s="229">
        <v>-0.71389999999999998</v>
      </c>
      <c r="ER107" s="231">
        <v>100125</v>
      </c>
      <c r="ES107" s="231">
        <v>90835</v>
      </c>
      <c r="ET107" s="231">
        <v>583821</v>
      </c>
      <c r="EU107" s="231">
        <v>133434355</v>
      </c>
      <c r="EV107" s="231">
        <v>774781</v>
      </c>
      <c r="EW107" s="231">
        <v>768454</v>
      </c>
      <c r="EX107" s="231">
        <v>6327</v>
      </c>
      <c r="EY107" s="229">
        <v>8.2000000000000007E-3</v>
      </c>
      <c r="EZ107" s="229">
        <v>0.49680000000000002</v>
      </c>
      <c r="FA107" s="227" t="s">
        <v>556</v>
      </c>
      <c r="FB107" s="161">
        <f t="shared" si="1"/>
        <v>348975</v>
      </c>
    </row>
    <row r="108" spans="1:158" ht="17.25" hidden="1" thickBot="1" x14ac:dyDescent="0.3">
      <c r="A108" s="226">
        <v>46023</v>
      </c>
      <c r="B108" s="227" t="s">
        <v>168</v>
      </c>
      <c r="C108" s="227" t="s">
        <v>245</v>
      </c>
      <c r="D108" s="228">
        <v>1250</v>
      </c>
      <c r="E108" s="228">
        <v>551.70000000000005</v>
      </c>
      <c r="F108" s="228">
        <v>557.25</v>
      </c>
      <c r="G108" s="228">
        <v>-5.55</v>
      </c>
      <c r="H108" s="229">
        <v>-0.01</v>
      </c>
      <c r="I108" s="228">
        <v>553.15</v>
      </c>
      <c r="J108" s="228">
        <v>558.6</v>
      </c>
      <c r="K108" s="228">
        <v>-5.45</v>
      </c>
      <c r="L108" s="229">
        <v>-9.7999999999999997E-3</v>
      </c>
      <c r="M108" s="228">
        <v>551.70000000000005</v>
      </c>
      <c r="N108" s="228">
        <v>557.25</v>
      </c>
      <c r="O108" s="228">
        <v>-5.55</v>
      </c>
      <c r="P108" s="229">
        <v>-0.01</v>
      </c>
      <c r="Q108" s="228">
        <v>549.79999999999995</v>
      </c>
      <c r="R108" s="228">
        <v>555.70000000000005</v>
      </c>
      <c r="S108" s="228">
        <v>-5.9</v>
      </c>
      <c r="T108" s="229">
        <v>-1.06E-2</v>
      </c>
      <c r="U108" s="228">
        <v>549.29999999999995</v>
      </c>
      <c r="V108" s="228">
        <v>554.25</v>
      </c>
      <c r="W108" s="228">
        <v>-4.95</v>
      </c>
      <c r="X108" s="229">
        <v>-8.8999999999999999E-3</v>
      </c>
      <c r="Y108" s="228">
        <v>-1.45</v>
      </c>
      <c r="Z108" s="228">
        <v>-1.35</v>
      </c>
      <c r="AA108" s="228">
        <v>-0.1</v>
      </c>
      <c r="AB108" s="229">
        <v>-2.5999999999999999E-3</v>
      </c>
      <c r="AC108" s="228">
        <v>-1.45</v>
      </c>
      <c r="AD108" s="228">
        <v>-1.35</v>
      </c>
      <c r="AE108" s="228">
        <v>-0.1</v>
      </c>
      <c r="AF108" s="229">
        <v>-2.5999999999999999E-3</v>
      </c>
      <c r="AG108" s="228">
        <v>-3.35</v>
      </c>
      <c r="AH108" s="228">
        <v>-2.9</v>
      </c>
      <c r="AI108" s="228">
        <v>-0.45</v>
      </c>
      <c r="AJ108" s="229">
        <v>-6.1000000000000004E-3</v>
      </c>
      <c r="AK108" s="228">
        <v>-3.85</v>
      </c>
      <c r="AL108" s="228">
        <v>-4.3499999999999996</v>
      </c>
      <c r="AM108" s="228">
        <v>0.5</v>
      </c>
      <c r="AN108" s="229">
        <v>-7.0000000000000001E-3</v>
      </c>
      <c r="AO108" s="228">
        <v>553.73</v>
      </c>
      <c r="AP108" s="228">
        <v>551.76</v>
      </c>
      <c r="AQ108" s="228">
        <v>0</v>
      </c>
      <c r="AR108" s="230">
        <v>2516250</v>
      </c>
      <c r="AS108" s="230">
        <v>4458750</v>
      </c>
      <c r="AT108" s="230">
        <v>-1942500</v>
      </c>
      <c r="AU108" s="229">
        <v>-0.43569999999999998</v>
      </c>
      <c r="AV108" s="230">
        <v>2355000</v>
      </c>
      <c r="AW108" s="230">
        <v>4122500</v>
      </c>
      <c r="AX108" s="230">
        <v>-1767500</v>
      </c>
      <c r="AY108" s="229">
        <v>-0.42870000000000003</v>
      </c>
      <c r="AZ108" s="230">
        <v>143750</v>
      </c>
      <c r="BA108" s="230">
        <v>318750</v>
      </c>
      <c r="BB108" s="230">
        <v>-175000</v>
      </c>
      <c r="BC108" s="229">
        <v>-0.54900000000000004</v>
      </c>
      <c r="BD108" s="230">
        <v>17500</v>
      </c>
      <c r="BE108" s="230">
        <v>17500</v>
      </c>
      <c r="BF108" s="228">
        <v>0</v>
      </c>
      <c r="BG108" s="229">
        <v>0</v>
      </c>
      <c r="BH108" s="230">
        <v>3382500</v>
      </c>
      <c r="BI108" s="230">
        <v>7036250</v>
      </c>
      <c r="BJ108" s="230">
        <v>-3653750</v>
      </c>
      <c r="BK108" s="229">
        <v>-0.51929999999999998</v>
      </c>
      <c r="BL108" s="230">
        <v>2701250</v>
      </c>
      <c r="BM108" s="230">
        <v>3741250</v>
      </c>
      <c r="BN108" s="230">
        <v>-1040000</v>
      </c>
      <c r="BO108" s="229">
        <v>-0.27800000000000002</v>
      </c>
      <c r="BP108" s="230">
        <v>8600000</v>
      </c>
      <c r="BQ108" s="230">
        <v>15236250</v>
      </c>
      <c r="BR108" s="230">
        <v>-6636250</v>
      </c>
      <c r="BS108" s="229">
        <v>-0.43559999999999999</v>
      </c>
      <c r="BT108" s="230">
        <v>931547</v>
      </c>
      <c r="BU108" s="230">
        <v>1229836</v>
      </c>
      <c r="BV108" s="230">
        <v>-298289</v>
      </c>
      <c r="BW108" s="229">
        <v>-0.24249999999999999</v>
      </c>
      <c r="BX108" s="230">
        <v>24737500</v>
      </c>
      <c r="BY108" s="230">
        <v>24308750</v>
      </c>
      <c r="BZ108" s="230">
        <v>428750</v>
      </c>
      <c r="CA108" s="229">
        <v>1.7600000000000001E-2</v>
      </c>
      <c r="CB108" s="230">
        <v>23680000</v>
      </c>
      <c r="CC108" s="230">
        <v>23290000</v>
      </c>
      <c r="CD108" s="230">
        <v>390000</v>
      </c>
      <c r="CE108" s="229">
        <v>1.67E-2</v>
      </c>
      <c r="CF108" s="230">
        <v>1028750</v>
      </c>
      <c r="CG108" s="230">
        <v>1001250</v>
      </c>
      <c r="CH108" s="230">
        <v>27500</v>
      </c>
      <c r="CI108" s="229">
        <v>2.75E-2</v>
      </c>
      <c r="CJ108" s="230">
        <v>28750</v>
      </c>
      <c r="CK108" s="230">
        <v>17500</v>
      </c>
      <c r="CL108" s="230">
        <v>11250</v>
      </c>
      <c r="CM108" s="229">
        <v>0.64290000000000003</v>
      </c>
      <c r="CN108" s="230">
        <v>7958750</v>
      </c>
      <c r="CO108" s="230">
        <v>7280000</v>
      </c>
      <c r="CP108" s="230">
        <v>678750</v>
      </c>
      <c r="CQ108" s="229">
        <v>9.3200000000000005E-2</v>
      </c>
      <c r="CR108" s="230">
        <v>5727500</v>
      </c>
      <c r="CS108" s="230">
        <v>5155000</v>
      </c>
      <c r="CT108" s="230">
        <v>572500</v>
      </c>
      <c r="CU108" s="229">
        <v>0.1111</v>
      </c>
      <c r="CV108" s="230">
        <v>38423750</v>
      </c>
      <c r="CW108" s="230">
        <v>36743750</v>
      </c>
      <c r="CX108" s="230">
        <v>1680000</v>
      </c>
      <c r="CY108" s="229">
        <v>4.5699999999999998E-2</v>
      </c>
      <c r="CZ108" s="228">
        <v>26.12</v>
      </c>
      <c r="DA108" s="228">
        <v>25.92</v>
      </c>
      <c r="DB108" s="228">
        <v>0.2</v>
      </c>
      <c r="DC108" s="228">
        <v>0.2</v>
      </c>
      <c r="DD108" s="228">
        <v>33.130000000000003</v>
      </c>
      <c r="DE108" s="228">
        <v>33.19</v>
      </c>
      <c r="DF108" s="228">
        <v>-7.01</v>
      </c>
      <c r="DG108" s="228">
        <v>-0.06</v>
      </c>
      <c r="DH108" s="228">
        <v>26.22</v>
      </c>
      <c r="DI108" s="228">
        <v>25.81</v>
      </c>
      <c r="DJ108" s="228">
        <v>0.41</v>
      </c>
      <c r="DK108" s="228">
        <v>0.41</v>
      </c>
      <c r="DL108" s="228">
        <v>26.01</v>
      </c>
      <c r="DM108" s="228">
        <v>26.12</v>
      </c>
      <c r="DN108" s="228">
        <v>-0.11</v>
      </c>
      <c r="DO108" s="228">
        <v>-0.11</v>
      </c>
      <c r="DP108" s="228">
        <v>0.72</v>
      </c>
      <c r="DQ108" s="228">
        <v>0.71</v>
      </c>
      <c r="DR108" s="228">
        <v>0.01</v>
      </c>
      <c r="DS108" s="229">
        <v>1.41E-2</v>
      </c>
      <c r="DT108" s="228">
        <v>600</v>
      </c>
      <c r="DU108" s="228">
        <v>560</v>
      </c>
      <c r="DV108" s="228">
        <v>0.8</v>
      </c>
      <c r="DW108" s="228">
        <v>0.53</v>
      </c>
      <c r="DX108" s="228">
        <v>0.27</v>
      </c>
      <c r="DY108" s="229">
        <v>0.50939999999999996</v>
      </c>
      <c r="DZ108" s="229">
        <v>4.2700000000000002E-2</v>
      </c>
      <c r="EA108" s="230">
        <v>1018750</v>
      </c>
      <c r="EB108" s="229">
        <v>-3.3999999999999998E-3</v>
      </c>
      <c r="EC108" s="229">
        <v>4.2700000000000002E-2</v>
      </c>
      <c r="ED108" s="228">
        <v>-1.97</v>
      </c>
      <c r="EE108" s="229">
        <v>-3.5999999999999999E-3</v>
      </c>
      <c r="EF108" s="230">
        <v>519993</v>
      </c>
      <c r="EG108" s="230">
        <v>560782</v>
      </c>
      <c r="EH108" s="229">
        <v>-7.2700000000000001E-2</v>
      </c>
      <c r="EI108" s="229">
        <v>0.55820000000000003</v>
      </c>
      <c r="EJ108" s="231">
        <v>19882.05</v>
      </c>
      <c r="EK108" s="231">
        <v>14717.95</v>
      </c>
      <c r="EL108" s="231">
        <v>13929.62</v>
      </c>
      <c r="EM108" s="231">
        <v>12184</v>
      </c>
      <c r="EN108" s="231">
        <v>48529.62</v>
      </c>
      <c r="EO108" s="231">
        <v>86967.06</v>
      </c>
      <c r="EP108" s="231">
        <v>-38437.440000000002</v>
      </c>
      <c r="EQ108" s="229">
        <v>-0.442</v>
      </c>
      <c r="ER108" s="231">
        <v>46927</v>
      </c>
      <c r="ES108" s="231">
        <v>31699</v>
      </c>
      <c r="ET108" s="231">
        <v>136457</v>
      </c>
      <c r="EU108" s="231">
        <v>58761693</v>
      </c>
      <c r="EV108" s="231">
        <v>215082</v>
      </c>
      <c r="EW108" s="231">
        <v>207160</v>
      </c>
      <c r="EX108" s="231">
        <v>7922</v>
      </c>
      <c r="EY108" s="229">
        <v>3.8199999999999998E-2</v>
      </c>
      <c r="EZ108" s="229">
        <v>0.65390000000000004</v>
      </c>
      <c r="FA108" s="227" t="s">
        <v>567</v>
      </c>
      <c r="FB108" s="161">
        <f t="shared" si="1"/>
        <v>1057500</v>
      </c>
    </row>
    <row r="109" spans="1:158" ht="17.25" hidden="1" thickBot="1" x14ac:dyDescent="0.3">
      <c r="A109" s="226">
        <v>46023</v>
      </c>
      <c r="B109" s="227" t="s">
        <v>168</v>
      </c>
      <c r="C109" s="227" t="s">
        <v>582</v>
      </c>
      <c r="D109" s="228">
        <v>1175</v>
      </c>
      <c r="E109" s="228">
        <v>487.55</v>
      </c>
      <c r="F109" s="228">
        <v>488.4</v>
      </c>
      <c r="G109" s="228">
        <v>-0.85</v>
      </c>
      <c r="H109" s="229">
        <v>-1.6999999999999999E-3</v>
      </c>
      <c r="I109" s="228">
        <v>484.2</v>
      </c>
      <c r="J109" s="228">
        <v>485.35</v>
      </c>
      <c r="K109" s="228">
        <v>-1.1499999999999999</v>
      </c>
      <c r="L109" s="229">
        <v>-2.3999999999999998E-3</v>
      </c>
      <c r="M109" s="228">
        <v>487.55</v>
      </c>
      <c r="N109" s="228">
        <v>488.4</v>
      </c>
      <c r="O109" s="228">
        <v>-0.85</v>
      </c>
      <c r="P109" s="229">
        <v>-1.6999999999999999E-3</v>
      </c>
      <c r="Q109" s="228">
        <v>490.45</v>
      </c>
      <c r="R109" s="228">
        <v>491.2</v>
      </c>
      <c r="S109" s="228">
        <v>-0.75</v>
      </c>
      <c r="T109" s="229">
        <v>-1.5E-3</v>
      </c>
      <c r="U109" s="228">
        <v>493.25</v>
      </c>
      <c r="V109" s="228">
        <v>0</v>
      </c>
      <c r="W109" s="228">
        <v>493.25</v>
      </c>
      <c r="X109" s="229">
        <v>0</v>
      </c>
      <c r="Y109" s="228">
        <v>3.35</v>
      </c>
      <c r="Z109" s="228">
        <v>3.05</v>
      </c>
      <c r="AA109" s="228">
        <v>0.3</v>
      </c>
      <c r="AB109" s="229">
        <v>6.8999999999999999E-3</v>
      </c>
      <c r="AC109" s="228">
        <v>3.35</v>
      </c>
      <c r="AD109" s="228">
        <v>3.05</v>
      </c>
      <c r="AE109" s="228">
        <v>0.3</v>
      </c>
      <c r="AF109" s="229">
        <v>6.8999999999999999E-3</v>
      </c>
      <c r="AG109" s="228">
        <v>6.25</v>
      </c>
      <c r="AH109" s="228">
        <v>5.85</v>
      </c>
      <c r="AI109" s="228">
        <v>0.4</v>
      </c>
      <c r="AJ109" s="229">
        <v>1.29E-2</v>
      </c>
      <c r="AK109" s="228">
        <v>9.0500000000000007</v>
      </c>
      <c r="AL109" s="228">
        <v>0</v>
      </c>
      <c r="AM109" s="228">
        <v>9.0500000000000007</v>
      </c>
      <c r="AN109" s="229">
        <v>1.8700000000000001E-2</v>
      </c>
      <c r="AO109" s="228">
        <v>486.12</v>
      </c>
      <c r="AP109" s="228">
        <v>489.29</v>
      </c>
      <c r="AQ109" s="228">
        <v>0</v>
      </c>
      <c r="AR109" s="230">
        <v>868325</v>
      </c>
      <c r="AS109" s="230">
        <v>1958725</v>
      </c>
      <c r="AT109" s="230">
        <v>-1090400</v>
      </c>
      <c r="AU109" s="229">
        <v>-0.55669999999999997</v>
      </c>
      <c r="AV109" s="230">
        <v>793125</v>
      </c>
      <c r="AW109" s="230">
        <v>1887050</v>
      </c>
      <c r="AX109" s="230">
        <v>-1093925</v>
      </c>
      <c r="AY109" s="229">
        <v>-0.57969999999999999</v>
      </c>
      <c r="AZ109" s="230">
        <v>68150</v>
      </c>
      <c r="BA109" s="230">
        <v>71675</v>
      </c>
      <c r="BB109" s="230">
        <v>-3525</v>
      </c>
      <c r="BC109" s="229">
        <v>-4.9200000000000001E-2</v>
      </c>
      <c r="BD109" s="230">
        <v>7050</v>
      </c>
      <c r="BE109" s="228">
        <v>0</v>
      </c>
      <c r="BF109" s="230">
        <v>7050</v>
      </c>
      <c r="BG109" s="229">
        <v>0</v>
      </c>
      <c r="BH109" s="230">
        <v>1767200</v>
      </c>
      <c r="BI109" s="230">
        <v>3395750</v>
      </c>
      <c r="BJ109" s="230">
        <v>-1628550</v>
      </c>
      <c r="BK109" s="229">
        <v>-0.47960000000000003</v>
      </c>
      <c r="BL109" s="230">
        <v>599250</v>
      </c>
      <c r="BM109" s="230">
        <v>1646175</v>
      </c>
      <c r="BN109" s="230">
        <v>-1046925</v>
      </c>
      <c r="BO109" s="229">
        <v>-0.63600000000000001</v>
      </c>
      <c r="BP109" s="230">
        <v>3234775</v>
      </c>
      <c r="BQ109" s="230">
        <v>7000650</v>
      </c>
      <c r="BR109" s="230">
        <v>-3765875</v>
      </c>
      <c r="BS109" s="229">
        <v>-0.53790000000000004</v>
      </c>
      <c r="BT109" s="230">
        <v>791536</v>
      </c>
      <c r="BU109" s="230">
        <v>1195430</v>
      </c>
      <c r="BV109" s="230">
        <v>-403894</v>
      </c>
      <c r="BW109" s="229">
        <v>-0.33789999999999998</v>
      </c>
      <c r="BX109" s="230">
        <v>35345175</v>
      </c>
      <c r="BY109" s="230">
        <v>35314625</v>
      </c>
      <c r="BZ109" s="230">
        <v>30550</v>
      </c>
      <c r="CA109" s="229">
        <v>8.9999999999999998E-4</v>
      </c>
      <c r="CB109" s="230">
        <v>34987975</v>
      </c>
      <c r="CC109" s="230">
        <v>34971525</v>
      </c>
      <c r="CD109" s="230">
        <v>16450</v>
      </c>
      <c r="CE109" s="229">
        <v>5.0000000000000001E-4</v>
      </c>
      <c r="CF109" s="230">
        <v>354850</v>
      </c>
      <c r="CG109" s="230">
        <v>343100</v>
      </c>
      <c r="CH109" s="230">
        <v>11750</v>
      </c>
      <c r="CI109" s="229">
        <v>3.4200000000000001E-2</v>
      </c>
      <c r="CJ109" s="230">
        <v>2350</v>
      </c>
      <c r="CK109" s="228">
        <v>0</v>
      </c>
      <c r="CL109" s="230">
        <v>2350</v>
      </c>
      <c r="CM109" s="229">
        <v>0</v>
      </c>
      <c r="CN109" s="230">
        <v>3661300</v>
      </c>
      <c r="CO109" s="230">
        <v>3338175</v>
      </c>
      <c r="CP109" s="230">
        <v>323125</v>
      </c>
      <c r="CQ109" s="229">
        <v>9.6799999999999997E-2</v>
      </c>
      <c r="CR109" s="230">
        <v>2456925</v>
      </c>
      <c r="CS109" s="230">
        <v>2353525</v>
      </c>
      <c r="CT109" s="230">
        <v>103400</v>
      </c>
      <c r="CU109" s="229">
        <v>4.3900000000000002E-2</v>
      </c>
      <c r="CV109" s="230">
        <v>41463400</v>
      </c>
      <c r="CW109" s="230">
        <v>41006325</v>
      </c>
      <c r="CX109" s="230">
        <v>457075</v>
      </c>
      <c r="CY109" s="229">
        <v>1.11E-2</v>
      </c>
      <c r="CZ109" s="228">
        <v>29.52</v>
      </c>
      <c r="DA109" s="228">
        <v>30.69</v>
      </c>
      <c r="DB109" s="228">
        <v>-1.17</v>
      </c>
      <c r="DC109" s="228">
        <v>-1.17</v>
      </c>
      <c r="DD109" s="228">
        <v>47.18</v>
      </c>
      <c r="DE109" s="228">
        <v>47.3</v>
      </c>
      <c r="DF109" s="228">
        <v>-17.66</v>
      </c>
      <c r="DG109" s="228">
        <v>-0.12</v>
      </c>
      <c r="DH109" s="228">
        <v>29.45</v>
      </c>
      <c r="DI109" s="228">
        <v>30.49</v>
      </c>
      <c r="DJ109" s="228">
        <v>-1.04</v>
      </c>
      <c r="DK109" s="228">
        <v>-1.04</v>
      </c>
      <c r="DL109" s="228">
        <v>29.71</v>
      </c>
      <c r="DM109" s="228">
        <v>31.08</v>
      </c>
      <c r="DN109" s="228">
        <v>-1.37</v>
      </c>
      <c r="DO109" s="228">
        <v>-1.37</v>
      </c>
      <c r="DP109" s="228">
        <v>0.67</v>
      </c>
      <c r="DQ109" s="228">
        <v>0.71</v>
      </c>
      <c r="DR109" s="228">
        <v>-0.04</v>
      </c>
      <c r="DS109" s="229">
        <v>-5.6300000000000003E-2</v>
      </c>
      <c r="DT109" s="228">
        <v>500</v>
      </c>
      <c r="DU109" s="228">
        <v>500</v>
      </c>
      <c r="DV109" s="228">
        <v>0.34</v>
      </c>
      <c r="DW109" s="228">
        <v>0.48</v>
      </c>
      <c r="DX109" s="228">
        <v>-0.14000000000000001</v>
      </c>
      <c r="DY109" s="229">
        <v>-0.29170000000000001</v>
      </c>
      <c r="DZ109" s="229">
        <v>1.01E-2</v>
      </c>
      <c r="EA109" s="230">
        <v>343100</v>
      </c>
      <c r="EB109" s="229">
        <v>5.8999999999999999E-3</v>
      </c>
      <c r="EC109" s="229">
        <v>1.01E-2</v>
      </c>
      <c r="ED109" s="228">
        <v>3.17</v>
      </c>
      <c r="EE109" s="229">
        <v>6.4999999999999997E-3</v>
      </c>
      <c r="EF109" s="230">
        <v>311455</v>
      </c>
      <c r="EG109" s="230">
        <v>494441</v>
      </c>
      <c r="EH109" s="229">
        <v>-0.37009999999999998</v>
      </c>
      <c r="EI109" s="229">
        <v>0.39350000000000002</v>
      </c>
      <c r="EJ109" s="231">
        <v>9105.85</v>
      </c>
      <c r="EK109" s="231">
        <v>2877.91</v>
      </c>
      <c r="EL109" s="231">
        <v>4223.7299999999996</v>
      </c>
      <c r="EM109" s="231">
        <v>11002</v>
      </c>
      <c r="EN109" s="231">
        <v>16207.49</v>
      </c>
      <c r="EO109" s="231">
        <v>35051.25</v>
      </c>
      <c r="EP109" s="231">
        <v>-18843.759999999998</v>
      </c>
      <c r="EQ109" s="229">
        <v>-0.53759999999999997</v>
      </c>
      <c r="ER109" s="231">
        <v>18871</v>
      </c>
      <c r="ES109" s="231">
        <v>11684</v>
      </c>
      <c r="ET109" s="231">
        <v>172336</v>
      </c>
      <c r="EU109" s="231">
        <v>57654984</v>
      </c>
      <c r="EV109" s="231">
        <v>202891</v>
      </c>
      <c r="EW109" s="231">
        <v>200935</v>
      </c>
      <c r="EX109" s="231">
        <v>1956</v>
      </c>
      <c r="EY109" s="229">
        <v>9.7000000000000003E-3</v>
      </c>
      <c r="EZ109" s="229">
        <v>0.71919999999999995</v>
      </c>
      <c r="FA109" s="227" t="s">
        <v>567</v>
      </c>
      <c r="FB109" s="161">
        <f t="shared" si="1"/>
        <v>357200</v>
      </c>
    </row>
    <row r="110" spans="1:158" ht="17.25" hidden="1" thickBot="1" x14ac:dyDescent="0.3">
      <c r="A110" s="226">
        <v>46023</v>
      </c>
      <c r="B110" s="227" t="s">
        <v>184</v>
      </c>
      <c r="C110" s="227" t="s">
        <v>676</v>
      </c>
      <c r="D110" s="228">
        <v>100</v>
      </c>
      <c r="E110" s="231">
        <v>3958.4</v>
      </c>
      <c r="F110" s="231">
        <v>4036.5</v>
      </c>
      <c r="G110" s="228">
        <v>-78.099999999999994</v>
      </c>
      <c r="H110" s="229">
        <v>-1.9300000000000001E-2</v>
      </c>
      <c r="I110" s="231">
        <v>3943.5</v>
      </c>
      <c r="J110" s="231">
        <v>4013</v>
      </c>
      <c r="K110" s="228">
        <v>-69.5</v>
      </c>
      <c r="L110" s="229">
        <v>-1.7299999999999999E-2</v>
      </c>
      <c r="M110" s="231">
        <v>3958.4</v>
      </c>
      <c r="N110" s="231">
        <v>4036.5</v>
      </c>
      <c r="O110" s="228">
        <v>-78.099999999999994</v>
      </c>
      <c r="P110" s="229">
        <v>-1.9300000000000001E-2</v>
      </c>
      <c r="Q110" s="231">
        <v>3980.9</v>
      </c>
      <c r="R110" s="231">
        <v>4056.5</v>
      </c>
      <c r="S110" s="228">
        <v>-75.599999999999994</v>
      </c>
      <c r="T110" s="229">
        <v>-1.8599999999999998E-2</v>
      </c>
      <c r="U110" s="231">
        <v>4000.2</v>
      </c>
      <c r="V110" s="231">
        <v>4080</v>
      </c>
      <c r="W110" s="228">
        <v>-79.8</v>
      </c>
      <c r="X110" s="229">
        <v>-1.9599999999999999E-2</v>
      </c>
      <c r="Y110" s="228">
        <v>14.9</v>
      </c>
      <c r="Z110" s="228">
        <v>23.5</v>
      </c>
      <c r="AA110" s="228">
        <v>-8.6</v>
      </c>
      <c r="AB110" s="229">
        <v>3.8E-3</v>
      </c>
      <c r="AC110" s="228">
        <v>14.9</v>
      </c>
      <c r="AD110" s="228">
        <v>23.5</v>
      </c>
      <c r="AE110" s="228">
        <v>-8.6</v>
      </c>
      <c r="AF110" s="229">
        <v>3.8E-3</v>
      </c>
      <c r="AG110" s="228">
        <v>37.4</v>
      </c>
      <c r="AH110" s="228">
        <v>43.5</v>
      </c>
      <c r="AI110" s="228">
        <v>-6.1</v>
      </c>
      <c r="AJ110" s="229">
        <v>9.4999999999999998E-3</v>
      </c>
      <c r="AK110" s="228">
        <v>56.7</v>
      </c>
      <c r="AL110" s="228">
        <v>67</v>
      </c>
      <c r="AM110" s="228">
        <v>-10.3</v>
      </c>
      <c r="AN110" s="229">
        <v>1.44E-2</v>
      </c>
      <c r="AO110" s="231">
        <v>3974.24</v>
      </c>
      <c r="AP110" s="231">
        <v>3991.7</v>
      </c>
      <c r="AQ110" s="228">
        <v>0</v>
      </c>
      <c r="AR110" s="230">
        <v>511500</v>
      </c>
      <c r="AS110" s="230">
        <v>581500</v>
      </c>
      <c r="AT110" s="230">
        <v>-70000</v>
      </c>
      <c r="AU110" s="229">
        <v>-0.12039999999999999</v>
      </c>
      <c r="AV110" s="230">
        <v>475500</v>
      </c>
      <c r="AW110" s="230">
        <v>546200</v>
      </c>
      <c r="AX110" s="230">
        <v>-70700</v>
      </c>
      <c r="AY110" s="229">
        <v>-0.12939999999999999</v>
      </c>
      <c r="AZ110" s="230">
        <v>27600</v>
      </c>
      <c r="BA110" s="230">
        <v>31500</v>
      </c>
      <c r="BB110" s="230">
        <v>-3900</v>
      </c>
      <c r="BC110" s="229">
        <v>-0.12379999999999999</v>
      </c>
      <c r="BD110" s="230">
        <v>8400</v>
      </c>
      <c r="BE110" s="230">
        <v>3800</v>
      </c>
      <c r="BF110" s="230">
        <v>4600</v>
      </c>
      <c r="BG110" s="229">
        <v>1.2104999999999999</v>
      </c>
      <c r="BH110" s="230">
        <v>1690600</v>
      </c>
      <c r="BI110" s="230">
        <v>2427000</v>
      </c>
      <c r="BJ110" s="230">
        <v>-736400</v>
      </c>
      <c r="BK110" s="229">
        <v>-0.3034</v>
      </c>
      <c r="BL110" s="230">
        <v>972200</v>
      </c>
      <c r="BM110" s="230">
        <v>1208500</v>
      </c>
      <c r="BN110" s="230">
        <v>-236300</v>
      </c>
      <c r="BO110" s="229">
        <v>-0.19550000000000001</v>
      </c>
      <c r="BP110" s="230">
        <v>3174300</v>
      </c>
      <c r="BQ110" s="230">
        <v>4217000</v>
      </c>
      <c r="BR110" s="230">
        <v>-1042700</v>
      </c>
      <c r="BS110" s="229">
        <v>-0.24729999999999999</v>
      </c>
      <c r="BT110" s="230">
        <v>949497</v>
      </c>
      <c r="BU110" s="230">
        <v>1137899</v>
      </c>
      <c r="BV110" s="230">
        <v>-188402</v>
      </c>
      <c r="BW110" s="229">
        <v>-0.1656</v>
      </c>
      <c r="BX110" s="230">
        <v>2924800</v>
      </c>
      <c r="BY110" s="230">
        <v>2814100</v>
      </c>
      <c r="BZ110" s="230">
        <v>110700</v>
      </c>
      <c r="CA110" s="229">
        <v>3.9300000000000002E-2</v>
      </c>
      <c r="CB110" s="230">
        <v>2703700</v>
      </c>
      <c r="CC110" s="230">
        <v>2608400</v>
      </c>
      <c r="CD110" s="230">
        <v>95300</v>
      </c>
      <c r="CE110" s="229">
        <v>3.6499999999999998E-2</v>
      </c>
      <c r="CF110" s="230">
        <v>214100</v>
      </c>
      <c r="CG110" s="230">
        <v>203500</v>
      </c>
      <c r="CH110" s="230">
        <v>10600</v>
      </c>
      <c r="CI110" s="229">
        <v>5.21E-2</v>
      </c>
      <c r="CJ110" s="230">
        <v>7000</v>
      </c>
      <c r="CK110" s="230">
        <v>2200</v>
      </c>
      <c r="CL110" s="230">
        <v>4800</v>
      </c>
      <c r="CM110" s="229">
        <v>2.1818</v>
      </c>
      <c r="CN110" s="230">
        <v>2048900</v>
      </c>
      <c r="CO110" s="230">
        <v>1763900</v>
      </c>
      <c r="CP110" s="230">
        <v>285000</v>
      </c>
      <c r="CQ110" s="229">
        <v>0.16159999999999999</v>
      </c>
      <c r="CR110" s="230">
        <v>1062200</v>
      </c>
      <c r="CS110" s="230">
        <v>968100</v>
      </c>
      <c r="CT110" s="230">
        <v>94100</v>
      </c>
      <c r="CU110" s="229">
        <v>9.7199999999999995E-2</v>
      </c>
      <c r="CV110" s="230">
        <v>6035900</v>
      </c>
      <c r="CW110" s="230">
        <v>5546100</v>
      </c>
      <c r="CX110" s="230">
        <v>489800</v>
      </c>
      <c r="CY110" s="229">
        <v>8.8300000000000003E-2</v>
      </c>
      <c r="CZ110" s="228">
        <v>41.03</v>
      </c>
      <c r="DA110" s="228">
        <v>40.97</v>
      </c>
      <c r="DB110" s="228">
        <v>0.06</v>
      </c>
      <c r="DC110" s="228">
        <v>0.06</v>
      </c>
      <c r="DD110" s="228">
        <v>62.03</v>
      </c>
      <c r="DE110" s="228">
        <v>62.14</v>
      </c>
      <c r="DF110" s="228">
        <v>-21</v>
      </c>
      <c r="DG110" s="228">
        <v>-0.11</v>
      </c>
      <c r="DH110" s="228">
        <v>41.31</v>
      </c>
      <c r="DI110" s="228">
        <v>40.85</v>
      </c>
      <c r="DJ110" s="228">
        <v>0.46</v>
      </c>
      <c r="DK110" s="228">
        <v>0.46</v>
      </c>
      <c r="DL110" s="228">
        <v>40.54</v>
      </c>
      <c r="DM110" s="228">
        <v>41.21</v>
      </c>
      <c r="DN110" s="228">
        <v>-0.67</v>
      </c>
      <c r="DO110" s="228">
        <v>-0.67</v>
      </c>
      <c r="DP110" s="228">
        <v>0.52</v>
      </c>
      <c r="DQ110" s="228">
        <v>0.55000000000000004</v>
      </c>
      <c r="DR110" s="228">
        <v>-0.03</v>
      </c>
      <c r="DS110" s="229">
        <v>-5.45E-2</v>
      </c>
      <c r="DT110" s="231">
        <v>4200</v>
      </c>
      <c r="DU110" s="231">
        <v>4000</v>
      </c>
      <c r="DV110" s="228">
        <v>0.57999999999999996</v>
      </c>
      <c r="DW110" s="228">
        <v>0.5</v>
      </c>
      <c r="DX110" s="228">
        <v>0.08</v>
      </c>
      <c r="DY110" s="229">
        <v>0.16</v>
      </c>
      <c r="DZ110" s="229">
        <v>7.5600000000000001E-2</v>
      </c>
      <c r="EA110" s="230">
        <v>205700</v>
      </c>
      <c r="EB110" s="229">
        <v>5.7000000000000002E-3</v>
      </c>
      <c r="EC110" s="229">
        <v>7.5600000000000001E-2</v>
      </c>
      <c r="ED110" s="228">
        <v>17.46</v>
      </c>
      <c r="EE110" s="229">
        <v>4.4000000000000003E-3</v>
      </c>
      <c r="EF110" s="230">
        <v>257007</v>
      </c>
      <c r="EG110" s="230">
        <v>196366</v>
      </c>
      <c r="EH110" s="229">
        <v>0.30880000000000002</v>
      </c>
      <c r="EI110" s="229">
        <v>0.2707</v>
      </c>
      <c r="EJ110" s="231">
        <v>74045.88</v>
      </c>
      <c r="EK110" s="231">
        <v>38150.730000000003</v>
      </c>
      <c r="EL110" s="231">
        <v>20335.990000000002</v>
      </c>
      <c r="EM110" s="231">
        <v>19064</v>
      </c>
      <c r="EN110" s="231">
        <v>132532.6</v>
      </c>
      <c r="EO110" s="231">
        <v>178355.72</v>
      </c>
      <c r="EP110" s="231">
        <v>-45823.12</v>
      </c>
      <c r="EQ110" s="229">
        <v>-0.25690000000000002</v>
      </c>
      <c r="ER110" s="231">
        <v>91702</v>
      </c>
      <c r="ES110" s="231">
        <v>41996</v>
      </c>
      <c r="ET110" s="231">
        <v>115826</v>
      </c>
      <c r="EU110" s="231">
        <v>4679418</v>
      </c>
      <c r="EV110" s="231">
        <v>249525</v>
      </c>
      <c r="EW110" s="231">
        <v>231875</v>
      </c>
      <c r="EX110" s="231">
        <v>17650</v>
      </c>
      <c r="EY110" s="229">
        <v>7.6100000000000001E-2</v>
      </c>
      <c r="EZ110" s="229">
        <v>1.2899</v>
      </c>
      <c r="FA110" s="227" t="s">
        <v>567</v>
      </c>
      <c r="FB110" s="161">
        <f t="shared" si="1"/>
        <v>221100</v>
      </c>
    </row>
    <row r="111" spans="1:158" ht="17.25" hidden="1" thickBot="1" x14ac:dyDescent="0.3">
      <c r="A111" s="226">
        <v>46023</v>
      </c>
      <c r="B111" s="227" t="s">
        <v>161</v>
      </c>
      <c r="C111" s="227" t="s">
        <v>610</v>
      </c>
      <c r="D111" s="228">
        <v>175</v>
      </c>
      <c r="E111" s="231">
        <v>4536.3</v>
      </c>
      <c r="F111" s="231">
        <v>4485.8999999999996</v>
      </c>
      <c r="G111" s="228">
        <v>50.4</v>
      </c>
      <c r="H111" s="229">
        <v>1.12E-2</v>
      </c>
      <c r="I111" s="231">
        <v>4514.5</v>
      </c>
      <c r="J111" s="231">
        <v>4460.2</v>
      </c>
      <c r="K111" s="228">
        <v>54.3</v>
      </c>
      <c r="L111" s="229">
        <v>1.2200000000000001E-2</v>
      </c>
      <c r="M111" s="231">
        <v>4536.3</v>
      </c>
      <c r="N111" s="231">
        <v>4485.8999999999996</v>
      </c>
      <c r="O111" s="228">
        <v>50.4</v>
      </c>
      <c r="P111" s="229">
        <v>1.12E-2</v>
      </c>
      <c r="Q111" s="231">
        <v>4534.3999999999996</v>
      </c>
      <c r="R111" s="231">
        <v>4493.2</v>
      </c>
      <c r="S111" s="228">
        <v>41.2</v>
      </c>
      <c r="T111" s="229">
        <v>9.1999999999999998E-3</v>
      </c>
      <c r="U111" s="228">
        <v>0</v>
      </c>
      <c r="V111" s="228">
        <v>0</v>
      </c>
      <c r="W111" s="228">
        <v>0</v>
      </c>
      <c r="X111" s="229">
        <v>0</v>
      </c>
      <c r="Y111" s="228">
        <v>21.8</v>
      </c>
      <c r="Z111" s="228">
        <v>25.7</v>
      </c>
      <c r="AA111" s="228">
        <v>-3.9</v>
      </c>
      <c r="AB111" s="229">
        <v>4.7999999999999996E-3</v>
      </c>
      <c r="AC111" s="228">
        <v>21.8</v>
      </c>
      <c r="AD111" s="228">
        <v>25.7</v>
      </c>
      <c r="AE111" s="228">
        <v>-3.9</v>
      </c>
      <c r="AF111" s="229">
        <v>4.7999999999999996E-3</v>
      </c>
      <c r="AG111" s="228">
        <v>19.899999999999999</v>
      </c>
      <c r="AH111" s="228">
        <v>33</v>
      </c>
      <c r="AI111" s="228">
        <v>-13.1</v>
      </c>
      <c r="AJ111" s="229">
        <v>4.4000000000000003E-3</v>
      </c>
      <c r="AK111" s="228">
        <v>0</v>
      </c>
      <c r="AL111" s="228">
        <v>0</v>
      </c>
      <c r="AM111" s="228">
        <v>0</v>
      </c>
      <c r="AN111" s="229">
        <v>0</v>
      </c>
      <c r="AO111" s="231">
        <v>4507.32</v>
      </c>
      <c r="AP111" s="231">
        <v>4513.47</v>
      </c>
      <c r="AQ111" s="228">
        <v>0</v>
      </c>
      <c r="AR111" s="230">
        <v>206150</v>
      </c>
      <c r="AS111" s="230">
        <v>322525</v>
      </c>
      <c r="AT111" s="230">
        <v>-116375</v>
      </c>
      <c r="AU111" s="229">
        <v>-0.36080000000000001</v>
      </c>
      <c r="AV111" s="230">
        <v>197575</v>
      </c>
      <c r="AW111" s="230">
        <v>317275</v>
      </c>
      <c r="AX111" s="230">
        <v>-119700</v>
      </c>
      <c r="AY111" s="229">
        <v>-0.37730000000000002</v>
      </c>
      <c r="AZ111" s="230">
        <v>8575</v>
      </c>
      <c r="BA111" s="230">
        <v>5250</v>
      </c>
      <c r="BB111" s="230">
        <v>3325</v>
      </c>
      <c r="BC111" s="229">
        <v>0.63329999999999997</v>
      </c>
      <c r="BD111" s="228">
        <v>0</v>
      </c>
      <c r="BE111" s="228">
        <v>0</v>
      </c>
      <c r="BF111" s="228">
        <v>0</v>
      </c>
      <c r="BG111" s="229">
        <v>0</v>
      </c>
      <c r="BH111" s="230">
        <v>642950</v>
      </c>
      <c r="BI111" s="230">
        <v>866250</v>
      </c>
      <c r="BJ111" s="230">
        <v>-223300</v>
      </c>
      <c r="BK111" s="229">
        <v>-0.25779999999999997</v>
      </c>
      <c r="BL111" s="230">
        <v>220675</v>
      </c>
      <c r="BM111" s="230">
        <v>262325</v>
      </c>
      <c r="BN111" s="230">
        <v>-41650</v>
      </c>
      <c r="BO111" s="229">
        <v>-0.1588</v>
      </c>
      <c r="BP111" s="230">
        <v>1069775</v>
      </c>
      <c r="BQ111" s="230">
        <v>1451100</v>
      </c>
      <c r="BR111" s="230">
        <v>-381325</v>
      </c>
      <c r="BS111" s="229">
        <v>-0.26279999999999998</v>
      </c>
      <c r="BT111" s="230">
        <v>168088</v>
      </c>
      <c r="BU111" s="230">
        <v>284268</v>
      </c>
      <c r="BV111" s="230">
        <v>-116180</v>
      </c>
      <c r="BW111" s="229">
        <v>-0.40870000000000001</v>
      </c>
      <c r="BX111" s="230">
        <v>925925</v>
      </c>
      <c r="BY111" s="230">
        <v>933450</v>
      </c>
      <c r="BZ111" s="230">
        <v>-7525</v>
      </c>
      <c r="CA111" s="229">
        <v>-8.0999999999999996E-3</v>
      </c>
      <c r="CB111" s="230">
        <v>918925</v>
      </c>
      <c r="CC111" s="230">
        <v>927675</v>
      </c>
      <c r="CD111" s="230">
        <v>-8750</v>
      </c>
      <c r="CE111" s="229">
        <v>-9.4000000000000004E-3</v>
      </c>
      <c r="CF111" s="230">
        <v>7000</v>
      </c>
      <c r="CG111" s="230">
        <v>5775</v>
      </c>
      <c r="CH111" s="230">
        <v>1225</v>
      </c>
      <c r="CI111" s="229">
        <v>0.21210000000000001</v>
      </c>
      <c r="CJ111" s="228">
        <v>0</v>
      </c>
      <c r="CK111" s="228">
        <v>0</v>
      </c>
      <c r="CL111" s="228">
        <v>0</v>
      </c>
      <c r="CM111" s="229">
        <v>0</v>
      </c>
      <c r="CN111" s="230">
        <v>304150</v>
      </c>
      <c r="CO111" s="230">
        <v>266525</v>
      </c>
      <c r="CP111" s="230">
        <v>37625</v>
      </c>
      <c r="CQ111" s="229">
        <v>0.14119999999999999</v>
      </c>
      <c r="CR111" s="230">
        <v>210000</v>
      </c>
      <c r="CS111" s="230">
        <v>136325</v>
      </c>
      <c r="CT111" s="230">
        <v>73675</v>
      </c>
      <c r="CU111" s="229">
        <v>0.54039999999999999</v>
      </c>
      <c r="CV111" s="230">
        <v>1440075</v>
      </c>
      <c r="CW111" s="230">
        <v>1336300</v>
      </c>
      <c r="CX111" s="230">
        <v>103775</v>
      </c>
      <c r="CY111" s="229">
        <v>7.7700000000000005E-2</v>
      </c>
      <c r="CZ111" s="228">
        <v>26.64</v>
      </c>
      <c r="DA111" s="228">
        <v>27.65</v>
      </c>
      <c r="DB111" s="228">
        <v>-1.01</v>
      </c>
      <c r="DC111" s="228">
        <v>-1.01</v>
      </c>
      <c r="DD111" s="228">
        <v>45.43</v>
      </c>
      <c r="DE111" s="228">
        <v>45.52</v>
      </c>
      <c r="DF111" s="228">
        <v>-18.79</v>
      </c>
      <c r="DG111" s="228">
        <v>-0.09</v>
      </c>
      <c r="DH111" s="228">
        <v>26.55</v>
      </c>
      <c r="DI111" s="228">
        <v>27.49</v>
      </c>
      <c r="DJ111" s="228">
        <v>-0.94</v>
      </c>
      <c r="DK111" s="228">
        <v>-0.94</v>
      </c>
      <c r="DL111" s="228">
        <v>26.9</v>
      </c>
      <c r="DM111" s="228">
        <v>28.19</v>
      </c>
      <c r="DN111" s="228">
        <v>-1.29</v>
      </c>
      <c r="DO111" s="228">
        <v>-1.29</v>
      </c>
      <c r="DP111" s="228">
        <v>0.69</v>
      </c>
      <c r="DQ111" s="228">
        <v>0.51</v>
      </c>
      <c r="DR111" s="228">
        <v>0.18</v>
      </c>
      <c r="DS111" s="229">
        <v>0.35289999999999999</v>
      </c>
      <c r="DT111" s="231">
        <v>4500</v>
      </c>
      <c r="DU111" s="231">
        <v>4500</v>
      </c>
      <c r="DV111" s="228">
        <v>0.34</v>
      </c>
      <c r="DW111" s="228">
        <v>0.3</v>
      </c>
      <c r="DX111" s="228">
        <v>0.04</v>
      </c>
      <c r="DY111" s="229">
        <v>0.1333</v>
      </c>
      <c r="DZ111" s="229">
        <v>7.6E-3</v>
      </c>
      <c r="EA111" s="230">
        <v>5775</v>
      </c>
      <c r="EB111" s="229">
        <v>-4.0000000000000002E-4</v>
      </c>
      <c r="EC111" s="229">
        <v>7.6E-3</v>
      </c>
      <c r="ED111" s="228">
        <v>6.15</v>
      </c>
      <c r="EE111" s="229">
        <v>1.4E-3</v>
      </c>
      <c r="EF111" s="230">
        <v>74227</v>
      </c>
      <c r="EG111" s="230">
        <v>151507</v>
      </c>
      <c r="EH111" s="229">
        <v>-0.5101</v>
      </c>
      <c r="EI111" s="229">
        <v>0.44159999999999999</v>
      </c>
      <c r="EJ111" s="231">
        <v>30142.560000000001</v>
      </c>
      <c r="EK111" s="231">
        <v>9876.68</v>
      </c>
      <c r="EL111" s="231">
        <v>9292.36</v>
      </c>
      <c r="EM111" s="231">
        <v>4353</v>
      </c>
      <c r="EN111" s="231">
        <v>49311.6</v>
      </c>
      <c r="EO111" s="231">
        <v>65916.25</v>
      </c>
      <c r="EP111" s="231">
        <v>-16604.650000000001</v>
      </c>
      <c r="EQ111" s="229">
        <v>-0.25190000000000001</v>
      </c>
      <c r="ER111" s="231">
        <v>13993</v>
      </c>
      <c r="ES111" s="231">
        <v>9092</v>
      </c>
      <c r="ET111" s="231">
        <v>42003</v>
      </c>
      <c r="EU111" s="231">
        <v>8553821</v>
      </c>
      <c r="EV111" s="231">
        <v>65088</v>
      </c>
      <c r="EW111" s="231">
        <v>59917</v>
      </c>
      <c r="EX111" s="231">
        <v>5171</v>
      </c>
      <c r="EY111" s="229">
        <v>8.6300000000000002E-2</v>
      </c>
      <c r="EZ111" s="229">
        <v>0.16839999999999999</v>
      </c>
      <c r="FA111" s="227" t="s">
        <v>556</v>
      </c>
      <c r="FB111" s="161">
        <f t="shared" si="1"/>
        <v>7000</v>
      </c>
    </row>
    <row r="112" spans="1:158" ht="17.25" hidden="1" thickBot="1" x14ac:dyDescent="0.3">
      <c r="A112" s="226">
        <v>46023</v>
      </c>
      <c r="B112" s="227" t="s">
        <v>175</v>
      </c>
      <c r="C112" s="227" t="s">
        <v>683</v>
      </c>
      <c r="D112" s="228">
        <v>500</v>
      </c>
      <c r="E112" s="231">
        <v>1078.5999999999999</v>
      </c>
      <c r="F112" s="231">
        <v>1078.9000000000001</v>
      </c>
      <c r="G112" s="228">
        <v>-0.3</v>
      </c>
      <c r="H112" s="229">
        <v>-2.9999999999999997E-4</v>
      </c>
      <c r="I112" s="231">
        <v>1076.7</v>
      </c>
      <c r="J112" s="231">
        <v>1082</v>
      </c>
      <c r="K112" s="228">
        <v>-5.3</v>
      </c>
      <c r="L112" s="229">
        <v>-4.8999999999999998E-3</v>
      </c>
      <c r="M112" s="231">
        <v>1078.5999999999999</v>
      </c>
      <c r="N112" s="231">
        <v>1078.9000000000001</v>
      </c>
      <c r="O112" s="228">
        <v>-0.3</v>
      </c>
      <c r="P112" s="229">
        <v>-2.9999999999999997E-4</v>
      </c>
      <c r="Q112" s="231">
        <v>1073.8</v>
      </c>
      <c r="R112" s="231">
        <v>1075.7</v>
      </c>
      <c r="S112" s="228">
        <v>-1.9</v>
      </c>
      <c r="T112" s="229">
        <v>-1.8E-3</v>
      </c>
      <c r="U112" s="231">
        <v>1066.8</v>
      </c>
      <c r="V112" s="231">
        <v>1065.5999999999999</v>
      </c>
      <c r="W112" s="228">
        <v>1.2</v>
      </c>
      <c r="X112" s="229">
        <v>1.1000000000000001E-3</v>
      </c>
      <c r="Y112" s="228">
        <v>1.9</v>
      </c>
      <c r="Z112" s="228">
        <v>-3.1</v>
      </c>
      <c r="AA112" s="228">
        <v>5</v>
      </c>
      <c r="AB112" s="229">
        <v>1.8E-3</v>
      </c>
      <c r="AC112" s="228">
        <v>1.9</v>
      </c>
      <c r="AD112" s="228">
        <v>-3.1</v>
      </c>
      <c r="AE112" s="228">
        <v>5</v>
      </c>
      <c r="AF112" s="229">
        <v>1.8E-3</v>
      </c>
      <c r="AG112" s="228">
        <v>-2.9</v>
      </c>
      <c r="AH112" s="228">
        <v>-6.3</v>
      </c>
      <c r="AI112" s="228">
        <v>3.4</v>
      </c>
      <c r="AJ112" s="229">
        <v>-2.7000000000000001E-3</v>
      </c>
      <c r="AK112" s="228">
        <v>-9.9</v>
      </c>
      <c r="AL112" s="228">
        <v>-16.399999999999999</v>
      </c>
      <c r="AM112" s="228">
        <v>6.5</v>
      </c>
      <c r="AN112" s="229">
        <v>-9.1999999999999998E-3</v>
      </c>
      <c r="AO112" s="231">
        <v>1069.3399999999999</v>
      </c>
      <c r="AP112" s="231">
        <v>1064.27</v>
      </c>
      <c r="AQ112" s="228">
        <v>0</v>
      </c>
      <c r="AR112" s="230">
        <v>618000</v>
      </c>
      <c r="AS112" s="230">
        <v>729000</v>
      </c>
      <c r="AT112" s="230">
        <v>-111000</v>
      </c>
      <c r="AU112" s="229">
        <v>-0.15229999999999999</v>
      </c>
      <c r="AV112" s="230">
        <v>579000</v>
      </c>
      <c r="AW112" s="230">
        <v>707500</v>
      </c>
      <c r="AX112" s="230">
        <v>-128500</v>
      </c>
      <c r="AY112" s="229">
        <v>-0.18160000000000001</v>
      </c>
      <c r="AZ112" s="230">
        <v>37500</v>
      </c>
      <c r="BA112" s="230">
        <v>20500</v>
      </c>
      <c r="BB112" s="230">
        <v>17000</v>
      </c>
      <c r="BC112" s="229">
        <v>0.82930000000000004</v>
      </c>
      <c r="BD112" s="230">
        <v>1500</v>
      </c>
      <c r="BE112" s="230">
        <v>1000</v>
      </c>
      <c r="BF112" s="228">
        <v>500</v>
      </c>
      <c r="BG112" s="229">
        <v>0.5</v>
      </c>
      <c r="BH112" s="230">
        <v>758000</v>
      </c>
      <c r="BI112" s="230">
        <v>611000</v>
      </c>
      <c r="BJ112" s="230">
        <v>147000</v>
      </c>
      <c r="BK112" s="229">
        <v>0.24060000000000001</v>
      </c>
      <c r="BL112" s="230">
        <v>247500</v>
      </c>
      <c r="BM112" s="230">
        <v>356500</v>
      </c>
      <c r="BN112" s="230">
        <v>-109000</v>
      </c>
      <c r="BO112" s="229">
        <v>-0.30580000000000002</v>
      </c>
      <c r="BP112" s="230">
        <v>1623500</v>
      </c>
      <c r="BQ112" s="230">
        <v>1696500</v>
      </c>
      <c r="BR112" s="230">
        <v>-73000</v>
      </c>
      <c r="BS112" s="229">
        <v>-4.2999999999999997E-2</v>
      </c>
      <c r="BT112" s="230">
        <v>354159</v>
      </c>
      <c r="BU112" s="230">
        <v>449889</v>
      </c>
      <c r="BV112" s="230">
        <v>-95730</v>
      </c>
      <c r="BW112" s="229">
        <v>-0.21279999999999999</v>
      </c>
      <c r="BX112" s="230">
        <v>3097000</v>
      </c>
      <c r="BY112" s="230">
        <v>3019000</v>
      </c>
      <c r="BZ112" s="230">
        <v>78000</v>
      </c>
      <c r="CA112" s="229">
        <v>2.58E-2</v>
      </c>
      <c r="CB112" s="230">
        <v>2995500</v>
      </c>
      <c r="CC112" s="230">
        <v>2927000</v>
      </c>
      <c r="CD112" s="230">
        <v>68500</v>
      </c>
      <c r="CE112" s="229">
        <v>2.3400000000000001E-2</v>
      </c>
      <c r="CF112" s="230">
        <v>99500</v>
      </c>
      <c r="CG112" s="230">
        <v>91000</v>
      </c>
      <c r="CH112" s="230">
        <v>8500</v>
      </c>
      <c r="CI112" s="229">
        <v>9.3399999999999997E-2</v>
      </c>
      <c r="CJ112" s="230">
        <v>2000</v>
      </c>
      <c r="CK112" s="230">
        <v>1000</v>
      </c>
      <c r="CL112" s="230">
        <v>1000</v>
      </c>
      <c r="CM112" s="229">
        <v>1</v>
      </c>
      <c r="CN112" s="230">
        <v>821500</v>
      </c>
      <c r="CO112" s="230">
        <v>771500</v>
      </c>
      <c r="CP112" s="230">
        <v>50000</v>
      </c>
      <c r="CQ112" s="229">
        <v>6.4799999999999996E-2</v>
      </c>
      <c r="CR112" s="230">
        <v>609500</v>
      </c>
      <c r="CS112" s="230">
        <v>573000</v>
      </c>
      <c r="CT112" s="230">
        <v>36500</v>
      </c>
      <c r="CU112" s="229">
        <v>6.3700000000000007E-2</v>
      </c>
      <c r="CV112" s="230">
        <v>4528000</v>
      </c>
      <c r="CW112" s="230">
        <v>4363500</v>
      </c>
      <c r="CX112" s="230">
        <v>164500</v>
      </c>
      <c r="CY112" s="229">
        <v>3.7699999999999997E-2</v>
      </c>
      <c r="CZ112" s="228">
        <v>31.09</v>
      </c>
      <c r="DA112" s="228">
        <v>31.99</v>
      </c>
      <c r="DB112" s="228">
        <v>-0.9</v>
      </c>
      <c r="DC112" s="228">
        <v>-0.9</v>
      </c>
      <c r="DD112" s="228">
        <v>51.83</v>
      </c>
      <c r="DE112" s="228">
        <v>51.96</v>
      </c>
      <c r="DF112" s="228">
        <v>-20.74</v>
      </c>
      <c r="DG112" s="228">
        <v>-0.13</v>
      </c>
      <c r="DH112" s="228">
        <v>30.75</v>
      </c>
      <c r="DI112" s="228">
        <v>31.85</v>
      </c>
      <c r="DJ112" s="228">
        <v>-1.1000000000000001</v>
      </c>
      <c r="DK112" s="228">
        <v>-1.1000000000000001</v>
      </c>
      <c r="DL112" s="228">
        <v>32.11</v>
      </c>
      <c r="DM112" s="228">
        <v>32.22</v>
      </c>
      <c r="DN112" s="228">
        <v>-0.11</v>
      </c>
      <c r="DO112" s="228">
        <v>-0.11</v>
      </c>
      <c r="DP112" s="228">
        <v>0.74</v>
      </c>
      <c r="DQ112" s="228">
        <v>0.74</v>
      </c>
      <c r="DR112" s="228">
        <v>0</v>
      </c>
      <c r="DS112" s="229">
        <v>0</v>
      </c>
      <c r="DT112" s="231">
        <v>1100</v>
      </c>
      <c r="DU112" s="231">
        <v>1000</v>
      </c>
      <c r="DV112" s="228">
        <v>0.33</v>
      </c>
      <c r="DW112" s="228">
        <v>0.57999999999999996</v>
      </c>
      <c r="DX112" s="228">
        <v>-0.25</v>
      </c>
      <c r="DY112" s="229">
        <v>-0.43099999999999999</v>
      </c>
      <c r="DZ112" s="229">
        <v>3.2800000000000003E-2</v>
      </c>
      <c r="EA112" s="230">
        <v>92000</v>
      </c>
      <c r="EB112" s="229">
        <v>-4.4999999999999997E-3</v>
      </c>
      <c r="EC112" s="229">
        <v>3.2800000000000003E-2</v>
      </c>
      <c r="ED112" s="228">
        <v>-5.07</v>
      </c>
      <c r="EE112" s="229">
        <v>-4.7000000000000002E-3</v>
      </c>
      <c r="EF112" s="230">
        <v>130030</v>
      </c>
      <c r="EG112" s="230">
        <v>160049</v>
      </c>
      <c r="EH112" s="229">
        <v>-0.18759999999999999</v>
      </c>
      <c r="EI112" s="229">
        <v>0.36720000000000003</v>
      </c>
      <c r="EJ112" s="231">
        <v>8712.67</v>
      </c>
      <c r="EK112" s="231">
        <v>2517.16</v>
      </c>
      <c r="EL112" s="231">
        <v>6606.51</v>
      </c>
      <c r="EM112" s="231">
        <v>4466</v>
      </c>
      <c r="EN112" s="231">
        <v>17836.34</v>
      </c>
      <c r="EO112" s="231">
        <v>18553.740000000002</v>
      </c>
      <c r="EP112" s="228">
        <v>-717.4</v>
      </c>
      <c r="EQ112" s="229">
        <v>-3.8699999999999998E-2</v>
      </c>
      <c r="ER112" s="231">
        <v>9355</v>
      </c>
      <c r="ES112" s="231">
        <v>6330</v>
      </c>
      <c r="ET112" s="231">
        <v>33399</v>
      </c>
      <c r="EU112" s="231">
        <v>19924232</v>
      </c>
      <c r="EV112" s="231">
        <v>49085</v>
      </c>
      <c r="EW112" s="231">
        <v>47290</v>
      </c>
      <c r="EX112" s="231">
        <v>1795</v>
      </c>
      <c r="EY112" s="229">
        <v>3.7999999999999999E-2</v>
      </c>
      <c r="EZ112" s="229">
        <v>0.2273</v>
      </c>
      <c r="FA112" s="227" t="s">
        <v>567</v>
      </c>
      <c r="FB112" s="161">
        <f t="shared" si="1"/>
        <v>101500</v>
      </c>
    </row>
    <row r="113" spans="1:158" ht="17.25" hidden="1" thickBot="1" x14ac:dyDescent="0.3">
      <c r="A113" s="226">
        <v>46023</v>
      </c>
      <c r="B113" s="227" t="s">
        <v>172</v>
      </c>
      <c r="C113" s="227" t="s">
        <v>246</v>
      </c>
      <c r="D113" s="228">
        <v>400</v>
      </c>
      <c r="E113" s="231">
        <v>2226.3000000000002</v>
      </c>
      <c r="F113" s="231">
        <v>2209.1999999999998</v>
      </c>
      <c r="G113" s="228">
        <v>17.100000000000001</v>
      </c>
      <c r="H113" s="229">
        <v>7.7000000000000002E-3</v>
      </c>
      <c r="I113" s="231">
        <v>2217.8000000000002</v>
      </c>
      <c r="J113" s="231">
        <v>2201.1</v>
      </c>
      <c r="K113" s="228">
        <v>16.7</v>
      </c>
      <c r="L113" s="229">
        <v>7.6E-3</v>
      </c>
      <c r="M113" s="231">
        <v>2226.3000000000002</v>
      </c>
      <c r="N113" s="231">
        <v>2209.1999999999998</v>
      </c>
      <c r="O113" s="228">
        <v>17.100000000000001</v>
      </c>
      <c r="P113" s="229">
        <v>7.7000000000000002E-3</v>
      </c>
      <c r="Q113" s="231">
        <v>2237.6999999999998</v>
      </c>
      <c r="R113" s="231">
        <v>2223</v>
      </c>
      <c r="S113" s="228">
        <v>14.7</v>
      </c>
      <c r="T113" s="229">
        <v>6.6E-3</v>
      </c>
      <c r="U113" s="231">
        <v>2252.6999999999998</v>
      </c>
      <c r="V113" s="231">
        <v>2234.9</v>
      </c>
      <c r="W113" s="228">
        <v>17.8</v>
      </c>
      <c r="X113" s="229">
        <v>8.0000000000000002E-3</v>
      </c>
      <c r="Y113" s="228">
        <v>8.5</v>
      </c>
      <c r="Z113" s="228">
        <v>8.1</v>
      </c>
      <c r="AA113" s="228">
        <v>0.4</v>
      </c>
      <c r="AB113" s="229">
        <v>3.8E-3</v>
      </c>
      <c r="AC113" s="228">
        <v>8.5</v>
      </c>
      <c r="AD113" s="228">
        <v>8.1</v>
      </c>
      <c r="AE113" s="228">
        <v>0.4</v>
      </c>
      <c r="AF113" s="229">
        <v>3.8E-3</v>
      </c>
      <c r="AG113" s="228">
        <v>19.899999999999999</v>
      </c>
      <c r="AH113" s="228">
        <v>21.9</v>
      </c>
      <c r="AI113" s="228">
        <v>-2</v>
      </c>
      <c r="AJ113" s="229">
        <v>8.9999999999999993E-3</v>
      </c>
      <c r="AK113" s="228">
        <v>34.9</v>
      </c>
      <c r="AL113" s="228">
        <v>33.799999999999997</v>
      </c>
      <c r="AM113" s="228">
        <v>1.1000000000000001</v>
      </c>
      <c r="AN113" s="229">
        <v>1.5699999999999999E-2</v>
      </c>
      <c r="AO113" s="231">
        <v>2214.75</v>
      </c>
      <c r="AP113" s="231">
        <v>2223.75</v>
      </c>
      <c r="AQ113" s="228">
        <v>0</v>
      </c>
      <c r="AR113" s="230">
        <v>2369200</v>
      </c>
      <c r="AS113" s="230">
        <v>5567200</v>
      </c>
      <c r="AT113" s="230">
        <v>-3198000</v>
      </c>
      <c r="AU113" s="229">
        <v>-0.57440000000000002</v>
      </c>
      <c r="AV113" s="230">
        <v>2273600</v>
      </c>
      <c r="AW113" s="230">
        <v>5489600</v>
      </c>
      <c r="AX113" s="230">
        <v>-3216000</v>
      </c>
      <c r="AY113" s="229">
        <v>-0.58579999999999999</v>
      </c>
      <c r="AZ113" s="230">
        <v>71200</v>
      </c>
      <c r="BA113" s="230">
        <v>74000</v>
      </c>
      <c r="BB113" s="230">
        <v>-2800</v>
      </c>
      <c r="BC113" s="229">
        <v>-3.78E-2</v>
      </c>
      <c r="BD113" s="230">
        <v>24400</v>
      </c>
      <c r="BE113" s="230">
        <v>3600</v>
      </c>
      <c r="BF113" s="230">
        <v>20800</v>
      </c>
      <c r="BG113" s="229">
        <v>5.7778</v>
      </c>
      <c r="BH113" s="230">
        <v>8084800</v>
      </c>
      <c r="BI113" s="230">
        <v>12028400</v>
      </c>
      <c r="BJ113" s="230">
        <v>-3943600</v>
      </c>
      <c r="BK113" s="229">
        <v>-0.32790000000000002</v>
      </c>
      <c r="BL113" s="230">
        <v>3911200</v>
      </c>
      <c r="BM113" s="230">
        <v>5653200</v>
      </c>
      <c r="BN113" s="230">
        <v>-1742000</v>
      </c>
      <c r="BO113" s="229">
        <v>-0.30809999999999998</v>
      </c>
      <c r="BP113" s="230">
        <v>14365200</v>
      </c>
      <c r="BQ113" s="230">
        <v>23248800</v>
      </c>
      <c r="BR113" s="230">
        <v>-8883600</v>
      </c>
      <c r="BS113" s="229">
        <v>-0.3821</v>
      </c>
      <c r="BT113" s="230">
        <v>1469447</v>
      </c>
      <c r="BU113" s="230">
        <v>4623106</v>
      </c>
      <c r="BV113" s="230">
        <v>-3153659</v>
      </c>
      <c r="BW113" s="229">
        <v>-0.68220000000000003</v>
      </c>
      <c r="BX113" s="230">
        <v>38475600</v>
      </c>
      <c r="BY113" s="230">
        <v>38696400</v>
      </c>
      <c r="BZ113" s="230">
        <v>-220800</v>
      </c>
      <c r="CA113" s="229">
        <v>-5.7000000000000002E-3</v>
      </c>
      <c r="CB113" s="230">
        <v>38181200</v>
      </c>
      <c r="CC113" s="230">
        <v>38433200</v>
      </c>
      <c r="CD113" s="230">
        <v>-252000</v>
      </c>
      <c r="CE113" s="229">
        <v>-6.6E-3</v>
      </c>
      <c r="CF113" s="230">
        <v>272800</v>
      </c>
      <c r="CG113" s="230">
        <v>260400</v>
      </c>
      <c r="CH113" s="230">
        <v>12400</v>
      </c>
      <c r="CI113" s="229">
        <v>4.7600000000000003E-2</v>
      </c>
      <c r="CJ113" s="230">
        <v>21600</v>
      </c>
      <c r="CK113" s="230">
        <v>2800</v>
      </c>
      <c r="CL113" s="230">
        <v>18800</v>
      </c>
      <c r="CM113" s="229">
        <v>6.7142999999999997</v>
      </c>
      <c r="CN113" s="230">
        <v>4691200</v>
      </c>
      <c r="CO113" s="230">
        <v>3940400</v>
      </c>
      <c r="CP113" s="230">
        <v>750800</v>
      </c>
      <c r="CQ113" s="229">
        <v>0.1905</v>
      </c>
      <c r="CR113" s="230">
        <v>3743200</v>
      </c>
      <c r="CS113" s="230">
        <v>3154400</v>
      </c>
      <c r="CT113" s="230">
        <v>588800</v>
      </c>
      <c r="CU113" s="229">
        <v>0.1867</v>
      </c>
      <c r="CV113" s="230">
        <v>46910000</v>
      </c>
      <c r="CW113" s="230">
        <v>45791200</v>
      </c>
      <c r="CX113" s="230">
        <v>1118800</v>
      </c>
      <c r="CY113" s="229">
        <v>2.4400000000000002E-2</v>
      </c>
      <c r="CZ113" s="228">
        <v>17.53</v>
      </c>
      <c r="DA113" s="228">
        <v>18.09</v>
      </c>
      <c r="DB113" s="228">
        <v>-0.56000000000000005</v>
      </c>
      <c r="DC113" s="228">
        <v>-0.56000000000000005</v>
      </c>
      <c r="DD113" s="228">
        <v>25.4</v>
      </c>
      <c r="DE113" s="228">
        <v>25.45</v>
      </c>
      <c r="DF113" s="228">
        <v>-7.87</v>
      </c>
      <c r="DG113" s="228">
        <v>-0.05</v>
      </c>
      <c r="DH113" s="228">
        <v>17.16</v>
      </c>
      <c r="DI113" s="228">
        <v>17.82</v>
      </c>
      <c r="DJ113" s="228">
        <v>-0.66</v>
      </c>
      <c r="DK113" s="228">
        <v>-0.66</v>
      </c>
      <c r="DL113" s="228">
        <v>18.32</v>
      </c>
      <c r="DM113" s="228">
        <v>18.670000000000002</v>
      </c>
      <c r="DN113" s="228">
        <v>-0.35</v>
      </c>
      <c r="DO113" s="228">
        <v>-0.35</v>
      </c>
      <c r="DP113" s="228">
        <v>0.8</v>
      </c>
      <c r="DQ113" s="228">
        <v>0.8</v>
      </c>
      <c r="DR113" s="228">
        <v>0</v>
      </c>
      <c r="DS113" s="229">
        <v>0</v>
      </c>
      <c r="DT113" s="231">
        <v>2200</v>
      </c>
      <c r="DU113" s="231">
        <v>2200</v>
      </c>
      <c r="DV113" s="228">
        <v>0.48</v>
      </c>
      <c r="DW113" s="228">
        <v>0.47</v>
      </c>
      <c r="DX113" s="228">
        <v>0.01</v>
      </c>
      <c r="DY113" s="229">
        <v>2.1299999999999999E-2</v>
      </c>
      <c r="DZ113" s="229">
        <v>7.7000000000000002E-3</v>
      </c>
      <c r="EA113" s="230">
        <v>263200</v>
      </c>
      <c r="EB113" s="229">
        <v>5.1000000000000004E-3</v>
      </c>
      <c r="EC113" s="229">
        <v>7.7000000000000002E-3</v>
      </c>
      <c r="ED113" s="228">
        <v>9</v>
      </c>
      <c r="EE113" s="229">
        <v>4.1000000000000003E-3</v>
      </c>
      <c r="EF113" s="230">
        <v>879213</v>
      </c>
      <c r="EG113" s="230">
        <v>3903076</v>
      </c>
      <c r="EH113" s="229">
        <v>-0.77470000000000006</v>
      </c>
      <c r="EI113" s="229">
        <v>0.59830000000000005</v>
      </c>
      <c r="EJ113" s="231">
        <v>184832.2</v>
      </c>
      <c r="EK113" s="231">
        <v>85362.17</v>
      </c>
      <c r="EL113" s="231">
        <v>52484.12</v>
      </c>
      <c r="EM113" s="231">
        <v>34546</v>
      </c>
      <c r="EN113" s="231">
        <v>322678.49</v>
      </c>
      <c r="EO113" s="231">
        <v>516746.65</v>
      </c>
      <c r="EP113" s="231">
        <v>-194068.16</v>
      </c>
      <c r="EQ113" s="229">
        <v>-0.37559999999999999</v>
      </c>
      <c r="ER113" s="231">
        <v>105794</v>
      </c>
      <c r="ES113" s="231">
        <v>79424</v>
      </c>
      <c r="ET113" s="231">
        <v>856619</v>
      </c>
      <c r="EU113" s="231">
        <v>156205070</v>
      </c>
      <c r="EV113" s="231">
        <v>1041837</v>
      </c>
      <c r="EW113" s="231">
        <v>1010002</v>
      </c>
      <c r="EX113" s="231">
        <v>31835</v>
      </c>
      <c r="EY113" s="229">
        <v>3.15E-2</v>
      </c>
      <c r="EZ113" s="229">
        <v>0.30030000000000001</v>
      </c>
      <c r="FA113" s="227" t="s">
        <v>556</v>
      </c>
      <c r="FB113" s="161">
        <f t="shared" si="1"/>
        <v>294400</v>
      </c>
    </row>
    <row r="114" spans="1:158" ht="17.25" hidden="1" thickBot="1" x14ac:dyDescent="0.3">
      <c r="A114" s="226">
        <v>46023</v>
      </c>
      <c r="B114" s="227" t="s">
        <v>221</v>
      </c>
      <c r="C114" s="227" t="s">
        <v>577</v>
      </c>
      <c r="D114" s="228">
        <v>425</v>
      </c>
      <c r="E114" s="231">
        <v>1165.2</v>
      </c>
      <c r="F114" s="231">
        <v>1177.5</v>
      </c>
      <c r="G114" s="228">
        <v>-12.3</v>
      </c>
      <c r="H114" s="229">
        <v>-1.04E-2</v>
      </c>
      <c r="I114" s="231">
        <v>1163.2</v>
      </c>
      <c r="J114" s="231">
        <v>1172.5</v>
      </c>
      <c r="K114" s="228">
        <v>-9.3000000000000007</v>
      </c>
      <c r="L114" s="229">
        <v>-7.9000000000000008E-3</v>
      </c>
      <c r="M114" s="231">
        <v>1165.2</v>
      </c>
      <c r="N114" s="231">
        <v>1177.5</v>
      </c>
      <c r="O114" s="228">
        <v>-12.3</v>
      </c>
      <c r="P114" s="229">
        <v>-1.04E-2</v>
      </c>
      <c r="Q114" s="231">
        <v>1169.7</v>
      </c>
      <c r="R114" s="231">
        <v>1180.9000000000001</v>
      </c>
      <c r="S114" s="228">
        <v>-11.2</v>
      </c>
      <c r="T114" s="229">
        <v>-9.4999999999999998E-3</v>
      </c>
      <c r="U114" s="231">
        <v>1169.5</v>
      </c>
      <c r="V114" s="231">
        <v>1178.2</v>
      </c>
      <c r="W114" s="228">
        <v>-8.6999999999999993</v>
      </c>
      <c r="X114" s="229">
        <v>-7.4000000000000003E-3</v>
      </c>
      <c r="Y114" s="228">
        <v>2</v>
      </c>
      <c r="Z114" s="228">
        <v>5</v>
      </c>
      <c r="AA114" s="228">
        <v>-3</v>
      </c>
      <c r="AB114" s="229">
        <v>1.6999999999999999E-3</v>
      </c>
      <c r="AC114" s="228">
        <v>2</v>
      </c>
      <c r="AD114" s="228">
        <v>5</v>
      </c>
      <c r="AE114" s="228">
        <v>-3</v>
      </c>
      <c r="AF114" s="229">
        <v>1.6999999999999999E-3</v>
      </c>
      <c r="AG114" s="228">
        <v>6.5</v>
      </c>
      <c r="AH114" s="228">
        <v>8.4</v>
      </c>
      <c r="AI114" s="228">
        <v>-1.9</v>
      </c>
      <c r="AJ114" s="229">
        <v>5.5999999999999999E-3</v>
      </c>
      <c r="AK114" s="228">
        <v>6.3</v>
      </c>
      <c r="AL114" s="228">
        <v>5.7</v>
      </c>
      <c r="AM114" s="228">
        <v>0.6</v>
      </c>
      <c r="AN114" s="229">
        <v>5.4000000000000003E-3</v>
      </c>
      <c r="AO114" s="231">
        <v>1168.28</v>
      </c>
      <c r="AP114" s="231">
        <v>1173.26</v>
      </c>
      <c r="AQ114" s="228">
        <v>0</v>
      </c>
      <c r="AR114" s="230">
        <v>655775</v>
      </c>
      <c r="AS114" s="230">
        <v>639200</v>
      </c>
      <c r="AT114" s="230">
        <v>16575</v>
      </c>
      <c r="AU114" s="229">
        <v>2.5899999999999999E-2</v>
      </c>
      <c r="AV114" s="230">
        <v>604350</v>
      </c>
      <c r="AW114" s="230">
        <v>606050</v>
      </c>
      <c r="AX114" s="230">
        <v>-1700</v>
      </c>
      <c r="AY114" s="229">
        <v>-2.8E-3</v>
      </c>
      <c r="AZ114" s="230">
        <v>47600</v>
      </c>
      <c r="BA114" s="230">
        <v>31875</v>
      </c>
      <c r="BB114" s="230">
        <v>15725</v>
      </c>
      <c r="BC114" s="229">
        <v>0.49330000000000002</v>
      </c>
      <c r="BD114" s="230">
        <v>3825</v>
      </c>
      <c r="BE114" s="230">
        <v>1275</v>
      </c>
      <c r="BF114" s="230">
        <v>2550</v>
      </c>
      <c r="BG114" s="229">
        <v>2</v>
      </c>
      <c r="BH114" s="230">
        <v>607750</v>
      </c>
      <c r="BI114" s="230">
        <v>796450</v>
      </c>
      <c r="BJ114" s="230">
        <v>-188700</v>
      </c>
      <c r="BK114" s="229">
        <v>-0.2369</v>
      </c>
      <c r="BL114" s="230">
        <v>282625</v>
      </c>
      <c r="BM114" s="230">
        <v>474725</v>
      </c>
      <c r="BN114" s="230">
        <v>-192100</v>
      </c>
      <c r="BO114" s="229">
        <v>-0.4047</v>
      </c>
      <c r="BP114" s="230">
        <v>1546150</v>
      </c>
      <c r="BQ114" s="230">
        <v>1910375</v>
      </c>
      <c r="BR114" s="230">
        <v>-364225</v>
      </c>
      <c r="BS114" s="229">
        <v>-0.19070000000000001</v>
      </c>
      <c r="BT114" s="230">
        <v>306641</v>
      </c>
      <c r="BU114" s="230">
        <v>302017</v>
      </c>
      <c r="BV114" s="230">
        <v>4624</v>
      </c>
      <c r="BW114" s="229">
        <v>1.5299999999999999E-2</v>
      </c>
      <c r="BX114" s="230">
        <v>3500300</v>
      </c>
      <c r="BY114" s="230">
        <v>3401700</v>
      </c>
      <c r="BZ114" s="230">
        <v>98600</v>
      </c>
      <c r="CA114" s="229">
        <v>2.9000000000000001E-2</v>
      </c>
      <c r="CB114" s="230">
        <v>3354525</v>
      </c>
      <c r="CC114" s="230">
        <v>3285250</v>
      </c>
      <c r="CD114" s="230">
        <v>69275</v>
      </c>
      <c r="CE114" s="229">
        <v>2.1100000000000001E-2</v>
      </c>
      <c r="CF114" s="230">
        <v>141525</v>
      </c>
      <c r="CG114" s="230">
        <v>115175</v>
      </c>
      <c r="CH114" s="230">
        <v>26350</v>
      </c>
      <c r="CI114" s="229">
        <v>0.2288</v>
      </c>
      <c r="CJ114" s="230">
        <v>4250</v>
      </c>
      <c r="CK114" s="230">
        <v>1275</v>
      </c>
      <c r="CL114" s="230">
        <v>2975</v>
      </c>
      <c r="CM114" s="229">
        <v>2.3332999999999999</v>
      </c>
      <c r="CN114" s="230">
        <v>966875</v>
      </c>
      <c r="CO114" s="230">
        <v>793475</v>
      </c>
      <c r="CP114" s="230">
        <v>173400</v>
      </c>
      <c r="CQ114" s="229">
        <v>0.2185</v>
      </c>
      <c r="CR114" s="230">
        <v>847025</v>
      </c>
      <c r="CS114" s="230">
        <v>795600</v>
      </c>
      <c r="CT114" s="230">
        <v>51425</v>
      </c>
      <c r="CU114" s="229">
        <v>6.4600000000000005E-2</v>
      </c>
      <c r="CV114" s="230">
        <v>5314200</v>
      </c>
      <c r="CW114" s="230">
        <v>4990775</v>
      </c>
      <c r="CX114" s="230">
        <v>323425</v>
      </c>
      <c r="CY114" s="229">
        <v>6.4799999999999996E-2</v>
      </c>
      <c r="CZ114" s="228">
        <v>29.92</v>
      </c>
      <c r="DA114" s="228">
        <v>29.97</v>
      </c>
      <c r="DB114" s="228">
        <v>-0.05</v>
      </c>
      <c r="DC114" s="228">
        <v>-0.05</v>
      </c>
      <c r="DD114" s="228">
        <v>42.53</v>
      </c>
      <c r="DE114" s="228">
        <v>42.62</v>
      </c>
      <c r="DF114" s="228">
        <v>-12.61</v>
      </c>
      <c r="DG114" s="228">
        <v>-0.09</v>
      </c>
      <c r="DH114" s="228">
        <v>29.89</v>
      </c>
      <c r="DI114" s="228">
        <v>29.96</v>
      </c>
      <c r="DJ114" s="228">
        <v>-7.0000000000000007E-2</v>
      </c>
      <c r="DK114" s="228">
        <v>-7.0000000000000007E-2</v>
      </c>
      <c r="DL114" s="228">
        <v>30</v>
      </c>
      <c r="DM114" s="228">
        <v>29.98</v>
      </c>
      <c r="DN114" s="228">
        <v>0.02</v>
      </c>
      <c r="DO114" s="228">
        <v>0.02</v>
      </c>
      <c r="DP114" s="228">
        <v>0.88</v>
      </c>
      <c r="DQ114" s="228">
        <v>1</v>
      </c>
      <c r="DR114" s="228">
        <v>-0.12</v>
      </c>
      <c r="DS114" s="229">
        <v>-0.12</v>
      </c>
      <c r="DT114" s="231">
        <v>1200</v>
      </c>
      <c r="DU114" s="231">
        <v>1100</v>
      </c>
      <c r="DV114" s="228">
        <v>0.47</v>
      </c>
      <c r="DW114" s="228">
        <v>0.6</v>
      </c>
      <c r="DX114" s="228">
        <v>-0.13</v>
      </c>
      <c r="DY114" s="229">
        <v>-0.2167</v>
      </c>
      <c r="DZ114" s="229">
        <v>4.1599999999999998E-2</v>
      </c>
      <c r="EA114" s="230">
        <v>116450</v>
      </c>
      <c r="EB114" s="229">
        <v>3.8999999999999998E-3</v>
      </c>
      <c r="EC114" s="229">
        <v>4.1599999999999998E-2</v>
      </c>
      <c r="ED114" s="228">
        <v>4.9800000000000004</v>
      </c>
      <c r="EE114" s="229">
        <v>4.3E-3</v>
      </c>
      <c r="EF114" s="230">
        <v>144670</v>
      </c>
      <c r="EG114" s="230">
        <v>105507</v>
      </c>
      <c r="EH114" s="229">
        <v>0.37119999999999997</v>
      </c>
      <c r="EI114" s="229">
        <v>0.4718</v>
      </c>
      <c r="EJ114" s="231">
        <v>7489.59</v>
      </c>
      <c r="EK114" s="231">
        <v>3254.41</v>
      </c>
      <c r="EL114" s="231">
        <v>7663.79</v>
      </c>
      <c r="EM114" s="231">
        <v>5001</v>
      </c>
      <c r="EN114" s="231">
        <v>18407.79</v>
      </c>
      <c r="EO114" s="231">
        <v>22898.43</v>
      </c>
      <c r="EP114" s="231">
        <v>-4490.6400000000003</v>
      </c>
      <c r="EQ114" s="229">
        <v>-0.1961</v>
      </c>
      <c r="ER114" s="231">
        <v>11858</v>
      </c>
      <c r="ES114" s="231">
        <v>9808</v>
      </c>
      <c r="ET114" s="231">
        <v>40792</v>
      </c>
      <c r="EU114" s="231">
        <v>24589408</v>
      </c>
      <c r="EV114" s="231">
        <v>62458</v>
      </c>
      <c r="EW114" s="231">
        <v>59050</v>
      </c>
      <c r="EX114" s="231">
        <v>3408</v>
      </c>
      <c r="EY114" s="229">
        <v>5.7700000000000001E-2</v>
      </c>
      <c r="EZ114" s="229">
        <v>0.21609999999999999</v>
      </c>
      <c r="FA114" s="227" t="s">
        <v>567</v>
      </c>
      <c r="FB114" s="161">
        <f t="shared" si="1"/>
        <v>145775</v>
      </c>
    </row>
    <row r="115" spans="1:158" ht="17.25" hidden="1" thickBot="1" x14ac:dyDescent="0.3">
      <c r="A115" s="226">
        <v>46023</v>
      </c>
      <c r="B115" s="227" t="s">
        <v>170</v>
      </c>
      <c r="C115" s="227" t="s">
        <v>535</v>
      </c>
      <c r="D115" s="228">
        <v>850</v>
      </c>
      <c r="E115" s="231">
        <v>1115.8</v>
      </c>
      <c r="F115" s="231">
        <v>1114.9000000000001</v>
      </c>
      <c r="G115" s="228">
        <v>0.9</v>
      </c>
      <c r="H115" s="229">
        <v>8.0000000000000004E-4</v>
      </c>
      <c r="I115" s="231">
        <v>1110.4000000000001</v>
      </c>
      <c r="J115" s="231">
        <v>1108</v>
      </c>
      <c r="K115" s="228">
        <v>2.4</v>
      </c>
      <c r="L115" s="229">
        <v>2.2000000000000001E-3</v>
      </c>
      <c r="M115" s="231">
        <v>1115.8</v>
      </c>
      <c r="N115" s="231">
        <v>1114.9000000000001</v>
      </c>
      <c r="O115" s="228">
        <v>0.9</v>
      </c>
      <c r="P115" s="229">
        <v>8.0000000000000004E-4</v>
      </c>
      <c r="Q115" s="231">
        <v>1123</v>
      </c>
      <c r="R115" s="231">
        <v>1122.4000000000001</v>
      </c>
      <c r="S115" s="228">
        <v>0.6</v>
      </c>
      <c r="T115" s="229">
        <v>5.0000000000000001E-4</v>
      </c>
      <c r="U115" s="231">
        <v>1130</v>
      </c>
      <c r="V115" s="231">
        <v>1128.5999999999999</v>
      </c>
      <c r="W115" s="228">
        <v>1.4</v>
      </c>
      <c r="X115" s="229">
        <v>1.1999999999999999E-3</v>
      </c>
      <c r="Y115" s="228">
        <v>5.4</v>
      </c>
      <c r="Z115" s="228">
        <v>6.9</v>
      </c>
      <c r="AA115" s="228">
        <v>-1.5</v>
      </c>
      <c r="AB115" s="229">
        <v>4.8999999999999998E-3</v>
      </c>
      <c r="AC115" s="228">
        <v>5.4</v>
      </c>
      <c r="AD115" s="228">
        <v>6.9</v>
      </c>
      <c r="AE115" s="228">
        <v>-1.5</v>
      </c>
      <c r="AF115" s="229">
        <v>4.8999999999999998E-3</v>
      </c>
      <c r="AG115" s="228">
        <v>12.6</v>
      </c>
      <c r="AH115" s="228">
        <v>14.4</v>
      </c>
      <c r="AI115" s="228">
        <v>-1.8</v>
      </c>
      <c r="AJ115" s="229">
        <v>1.1299999999999999E-2</v>
      </c>
      <c r="AK115" s="228">
        <v>19.600000000000001</v>
      </c>
      <c r="AL115" s="228">
        <v>20.6</v>
      </c>
      <c r="AM115" s="228">
        <v>-1</v>
      </c>
      <c r="AN115" s="229">
        <v>1.77E-2</v>
      </c>
      <c r="AO115" s="231">
        <v>1113.96</v>
      </c>
      <c r="AP115" s="231">
        <v>1119.4100000000001</v>
      </c>
      <c r="AQ115" s="228">
        <v>0</v>
      </c>
      <c r="AR115" s="230">
        <v>1844500</v>
      </c>
      <c r="AS115" s="230">
        <v>3896400</v>
      </c>
      <c r="AT115" s="230">
        <v>-2051900</v>
      </c>
      <c r="AU115" s="229">
        <v>-0.52659999999999996</v>
      </c>
      <c r="AV115" s="230">
        <v>1644750</v>
      </c>
      <c r="AW115" s="230">
        <v>3617600</v>
      </c>
      <c r="AX115" s="230">
        <v>-1972850</v>
      </c>
      <c r="AY115" s="229">
        <v>-0.54530000000000001</v>
      </c>
      <c r="AZ115" s="230">
        <v>181900</v>
      </c>
      <c r="BA115" s="230">
        <v>255000</v>
      </c>
      <c r="BB115" s="230">
        <v>-73100</v>
      </c>
      <c r="BC115" s="229">
        <v>-0.28670000000000001</v>
      </c>
      <c r="BD115" s="230">
        <v>17850</v>
      </c>
      <c r="BE115" s="230">
        <v>23800</v>
      </c>
      <c r="BF115" s="230">
        <v>-5950</v>
      </c>
      <c r="BG115" s="229">
        <v>-0.25</v>
      </c>
      <c r="BH115" s="230">
        <v>3837750</v>
      </c>
      <c r="BI115" s="230">
        <v>9063550</v>
      </c>
      <c r="BJ115" s="230">
        <v>-5225800</v>
      </c>
      <c r="BK115" s="229">
        <v>-0.5766</v>
      </c>
      <c r="BL115" s="230">
        <v>2374900</v>
      </c>
      <c r="BM115" s="230">
        <v>5569200</v>
      </c>
      <c r="BN115" s="230">
        <v>-3194300</v>
      </c>
      <c r="BO115" s="229">
        <v>-0.5736</v>
      </c>
      <c r="BP115" s="230">
        <v>8057150</v>
      </c>
      <c r="BQ115" s="230">
        <v>18529150</v>
      </c>
      <c r="BR115" s="230">
        <v>-10472000</v>
      </c>
      <c r="BS115" s="229">
        <v>-0.56520000000000004</v>
      </c>
      <c r="BT115" s="230">
        <v>1156026</v>
      </c>
      <c r="BU115" s="230">
        <v>1618444</v>
      </c>
      <c r="BV115" s="230">
        <v>-462418</v>
      </c>
      <c r="BW115" s="229">
        <v>-0.28570000000000001</v>
      </c>
      <c r="BX115" s="230">
        <v>16368450</v>
      </c>
      <c r="BY115" s="230">
        <v>16162750</v>
      </c>
      <c r="BZ115" s="230">
        <v>205700</v>
      </c>
      <c r="CA115" s="229">
        <v>1.2699999999999999E-2</v>
      </c>
      <c r="CB115" s="230">
        <v>15689300</v>
      </c>
      <c r="CC115" s="230">
        <v>15570300</v>
      </c>
      <c r="CD115" s="230">
        <v>119000</v>
      </c>
      <c r="CE115" s="229">
        <v>7.6E-3</v>
      </c>
      <c r="CF115" s="230">
        <v>647700</v>
      </c>
      <c r="CG115" s="230">
        <v>572050</v>
      </c>
      <c r="CH115" s="230">
        <v>75650</v>
      </c>
      <c r="CI115" s="229">
        <v>0.13220000000000001</v>
      </c>
      <c r="CJ115" s="230">
        <v>31450</v>
      </c>
      <c r="CK115" s="230">
        <v>20400</v>
      </c>
      <c r="CL115" s="230">
        <v>11050</v>
      </c>
      <c r="CM115" s="229">
        <v>0.54169999999999996</v>
      </c>
      <c r="CN115" s="230">
        <v>4515200</v>
      </c>
      <c r="CO115" s="230">
        <v>4200700</v>
      </c>
      <c r="CP115" s="230">
        <v>314500</v>
      </c>
      <c r="CQ115" s="229">
        <v>7.4899999999999994E-2</v>
      </c>
      <c r="CR115" s="230">
        <v>3394900</v>
      </c>
      <c r="CS115" s="230">
        <v>3181550</v>
      </c>
      <c r="CT115" s="230">
        <v>213350</v>
      </c>
      <c r="CU115" s="229">
        <v>6.7100000000000007E-2</v>
      </c>
      <c r="CV115" s="230">
        <v>24278550</v>
      </c>
      <c r="CW115" s="230">
        <v>23545000</v>
      </c>
      <c r="CX115" s="230">
        <v>733550</v>
      </c>
      <c r="CY115" s="229">
        <v>3.1199999999999999E-2</v>
      </c>
      <c r="CZ115" s="228">
        <v>27.45</v>
      </c>
      <c r="DA115" s="228">
        <v>27.79</v>
      </c>
      <c r="DB115" s="228">
        <v>-0.34</v>
      </c>
      <c r="DC115" s="228">
        <v>-0.34</v>
      </c>
      <c r="DD115" s="228">
        <v>37.799999999999997</v>
      </c>
      <c r="DE115" s="228">
        <v>37.89</v>
      </c>
      <c r="DF115" s="228">
        <v>-10.35</v>
      </c>
      <c r="DG115" s="228">
        <v>-0.09</v>
      </c>
      <c r="DH115" s="228">
        <v>27.11</v>
      </c>
      <c r="DI115" s="228">
        <v>27.24</v>
      </c>
      <c r="DJ115" s="228">
        <v>-0.13</v>
      </c>
      <c r="DK115" s="228">
        <v>-0.13</v>
      </c>
      <c r="DL115" s="228">
        <v>28</v>
      </c>
      <c r="DM115" s="228">
        <v>28.69</v>
      </c>
      <c r="DN115" s="228">
        <v>-0.69</v>
      </c>
      <c r="DO115" s="228">
        <v>-0.69</v>
      </c>
      <c r="DP115" s="228">
        <v>0.75</v>
      </c>
      <c r="DQ115" s="228">
        <v>0.76</v>
      </c>
      <c r="DR115" s="228">
        <v>-0.01</v>
      </c>
      <c r="DS115" s="229">
        <v>-1.32E-2</v>
      </c>
      <c r="DT115" s="231">
        <v>1100</v>
      </c>
      <c r="DU115" s="231">
        <v>1100</v>
      </c>
      <c r="DV115" s="228">
        <v>0.62</v>
      </c>
      <c r="DW115" s="228">
        <v>0.61</v>
      </c>
      <c r="DX115" s="228">
        <v>0.01</v>
      </c>
      <c r="DY115" s="229">
        <v>1.6400000000000001E-2</v>
      </c>
      <c r="DZ115" s="229">
        <v>4.1500000000000002E-2</v>
      </c>
      <c r="EA115" s="230">
        <v>592450</v>
      </c>
      <c r="EB115" s="229">
        <v>6.4999999999999997E-3</v>
      </c>
      <c r="EC115" s="229">
        <v>4.1500000000000002E-2</v>
      </c>
      <c r="ED115" s="228">
        <v>5.45</v>
      </c>
      <c r="EE115" s="229">
        <v>4.8999999999999998E-3</v>
      </c>
      <c r="EF115" s="230">
        <v>712992</v>
      </c>
      <c r="EG115" s="230">
        <v>794687</v>
      </c>
      <c r="EH115" s="229">
        <v>-0.1028</v>
      </c>
      <c r="EI115" s="229">
        <v>0.61680000000000001</v>
      </c>
      <c r="EJ115" s="231">
        <v>44576.39</v>
      </c>
      <c r="EK115" s="231">
        <v>26420.34</v>
      </c>
      <c r="EL115" s="231">
        <v>20559.16</v>
      </c>
      <c r="EM115" s="231">
        <v>9409</v>
      </c>
      <c r="EN115" s="231">
        <v>91555.89</v>
      </c>
      <c r="EO115" s="231">
        <v>208773.35</v>
      </c>
      <c r="EP115" s="231">
        <v>-117217.46</v>
      </c>
      <c r="EQ115" s="229">
        <v>-0.5615</v>
      </c>
      <c r="ER115" s="231">
        <v>50354</v>
      </c>
      <c r="ES115" s="231">
        <v>35351</v>
      </c>
      <c r="ET115" s="231">
        <v>182690</v>
      </c>
      <c r="EU115" s="231">
        <v>58629477</v>
      </c>
      <c r="EV115" s="231">
        <v>268395</v>
      </c>
      <c r="EW115" s="231">
        <v>259976</v>
      </c>
      <c r="EX115" s="231">
        <v>8419</v>
      </c>
      <c r="EY115" s="229">
        <v>3.2399999999999998E-2</v>
      </c>
      <c r="EZ115" s="229">
        <v>0.41410000000000002</v>
      </c>
      <c r="FA115" s="227" t="s">
        <v>555</v>
      </c>
      <c r="FB115" s="161">
        <f t="shared" si="1"/>
        <v>679150</v>
      </c>
    </row>
    <row r="116" spans="1:158" ht="17.25" hidden="1" thickBot="1" x14ac:dyDescent="0.3">
      <c r="A116" s="226">
        <v>46023</v>
      </c>
      <c r="B116" s="227" t="s">
        <v>175</v>
      </c>
      <c r="C116" s="227" t="s">
        <v>248</v>
      </c>
      <c r="D116" s="228">
        <v>1000</v>
      </c>
      <c r="E116" s="228">
        <v>538.15</v>
      </c>
      <c r="F116" s="228">
        <v>541.6</v>
      </c>
      <c r="G116" s="228">
        <v>-3.45</v>
      </c>
      <c r="H116" s="229">
        <v>-6.4000000000000003E-3</v>
      </c>
      <c r="I116" s="228">
        <v>535.85</v>
      </c>
      <c r="J116" s="228">
        <v>539.54999999999995</v>
      </c>
      <c r="K116" s="228">
        <v>-3.7</v>
      </c>
      <c r="L116" s="229">
        <v>-6.8999999999999999E-3</v>
      </c>
      <c r="M116" s="228">
        <v>538.15</v>
      </c>
      <c r="N116" s="228">
        <v>541.6</v>
      </c>
      <c r="O116" s="228">
        <v>-3.45</v>
      </c>
      <c r="P116" s="229">
        <v>-6.4000000000000003E-3</v>
      </c>
      <c r="Q116" s="228">
        <v>541.29999999999995</v>
      </c>
      <c r="R116" s="228">
        <v>545</v>
      </c>
      <c r="S116" s="228">
        <v>-3.7</v>
      </c>
      <c r="T116" s="229">
        <v>-6.7999999999999996E-3</v>
      </c>
      <c r="U116" s="228">
        <v>544.79999999999995</v>
      </c>
      <c r="V116" s="228">
        <v>548.1</v>
      </c>
      <c r="W116" s="228">
        <v>-3.3</v>
      </c>
      <c r="X116" s="229">
        <v>-6.0000000000000001E-3</v>
      </c>
      <c r="Y116" s="228">
        <v>2.2999999999999998</v>
      </c>
      <c r="Z116" s="228">
        <v>2.0499999999999998</v>
      </c>
      <c r="AA116" s="228">
        <v>0.25</v>
      </c>
      <c r="AB116" s="229">
        <v>4.3E-3</v>
      </c>
      <c r="AC116" s="228">
        <v>2.2999999999999998</v>
      </c>
      <c r="AD116" s="228">
        <v>2.0499999999999998</v>
      </c>
      <c r="AE116" s="228">
        <v>0.25</v>
      </c>
      <c r="AF116" s="229">
        <v>4.3E-3</v>
      </c>
      <c r="AG116" s="228">
        <v>5.45</v>
      </c>
      <c r="AH116" s="228">
        <v>5.45</v>
      </c>
      <c r="AI116" s="228">
        <v>0</v>
      </c>
      <c r="AJ116" s="229">
        <v>1.0200000000000001E-2</v>
      </c>
      <c r="AK116" s="228">
        <v>8.9499999999999993</v>
      </c>
      <c r="AL116" s="228">
        <v>8.5500000000000007</v>
      </c>
      <c r="AM116" s="228">
        <v>0.4</v>
      </c>
      <c r="AN116" s="229">
        <v>1.67E-2</v>
      </c>
      <c r="AO116" s="228">
        <v>538.20000000000005</v>
      </c>
      <c r="AP116" s="228">
        <v>541.78</v>
      </c>
      <c r="AQ116" s="228">
        <v>0</v>
      </c>
      <c r="AR116" s="230">
        <v>2091000</v>
      </c>
      <c r="AS116" s="230">
        <v>3379000</v>
      </c>
      <c r="AT116" s="230">
        <v>-1288000</v>
      </c>
      <c r="AU116" s="229">
        <v>-0.38119999999999998</v>
      </c>
      <c r="AV116" s="230">
        <v>1938000</v>
      </c>
      <c r="AW116" s="230">
        <v>3212000</v>
      </c>
      <c r="AX116" s="230">
        <v>-1274000</v>
      </c>
      <c r="AY116" s="229">
        <v>-0.39660000000000001</v>
      </c>
      <c r="AZ116" s="230">
        <v>134000</v>
      </c>
      <c r="BA116" s="230">
        <v>159000</v>
      </c>
      <c r="BB116" s="230">
        <v>-25000</v>
      </c>
      <c r="BC116" s="229">
        <v>-0.15720000000000001</v>
      </c>
      <c r="BD116" s="230">
        <v>19000</v>
      </c>
      <c r="BE116" s="230">
        <v>8000</v>
      </c>
      <c r="BF116" s="230">
        <v>11000</v>
      </c>
      <c r="BG116" s="229">
        <v>1.375</v>
      </c>
      <c r="BH116" s="230">
        <v>2438000</v>
      </c>
      <c r="BI116" s="230">
        <v>5272000</v>
      </c>
      <c r="BJ116" s="230">
        <v>-2834000</v>
      </c>
      <c r="BK116" s="229">
        <v>-0.53759999999999997</v>
      </c>
      <c r="BL116" s="230">
        <v>1253000</v>
      </c>
      <c r="BM116" s="230">
        <v>3851000</v>
      </c>
      <c r="BN116" s="230">
        <v>-2598000</v>
      </c>
      <c r="BO116" s="229">
        <v>-0.67459999999999998</v>
      </c>
      <c r="BP116" s="230">
        <v>5782000</v>
      </c>
      <c r="BQ116" s="230">
        <v>12502000</v>
      </c>
      <c r="BR116" s="230">
        <v>-6720000</v>
      </c>
      <c r="BS116" s="229">
        <v>-0.53749999999999998</v>
      </c>
      <c r="BT116" s="230">
        <v>738691</v>
      </c>
      <c r="BU116" s="230">
        <v>1171379</v>
      </c>
      <c r="BV116" s="230">
        <v>-432688</v>
      </c>
      <c r="BW116" s="229">
        <v>-0.36940000000000001</v>
      </c>
      <c r="BX116" s="230">
        <v>33375000</v>
      </c>
      <c r="BY116" s="230">
        <v>33127000</v>
      </c>
      <c r="BZ116" s="230">
        <v>248000</v>
      </c>
      <c r="CA116" s="229">
        <v>7.4999999999999997E-3</v>
      </c>
      <c r="CB116" s="230">
        <v>32613000</v>
      </c>
      <c r="CC116" s="230">
        <v>32454000</v>
      </c>
      <c r="CD116" s="230">
        <v>159000</v>
      </c>
      <c r="CE116" s="229">
        <v>4.8999999999999998E-3</v>
      </c>
      <c r="CF116" s="230">
        <v>743000</v>
      </c>
      <c r="CG116" s="230">
        <v>668000</v>
      </c>
      <c r="CH116" s="230">
        <v>75000</v>
      </c>
      <c r="CI116" s="229">
        <v>0.1123</v>
      </c>
      <c r="CJ116" s="230">
        <v>19000</v>
      </c>
      <c r="CK116" s="230">
        <v>5000</v>
      </c>
      <c r="CL116" s="230">
        <v>14000</v>
      </c>
      <c r="CM116" s="229">
        <v>2.8</v>
      </c>
      <c r="CN116" s="230">
        <v>6152000</v>
      </c>
      <c r="CO116" s="230">
        <v>5814000</v>
      </c>
      <c r="CP116" s="230">
        <v>338000</v>
      </c>
      <c r="CQ116" s="229">
        <v>5.8099999999999999E-2</v>
      </c>
      <c r="CR116" s="230">
        <v>6973000</v>
      </c>
      <c r="CS116" s="230">
        <v>6792000</v>
      </c>
      <c r="CT116" s="230">
        <v>181000</v>
      </c>
      <c r="CU116" s="229">
        <v>2.6599999999999999E-2</v>
      </c>
      <c r="CV116" s="230">
        <v>46500000</v>
      </c>
      <c r="CW116" s="230">
        <v>45733000</v>
      </c>
      <c r="CX116" s="230">
        <v>767000</v>
      </c>
      <c r="CY116" s="229">
        <v>1.6799999999999999E-2</v>
      </c>
      <c r="CZ116" s="228">
        <v>19.760000000000002</v>
      </c>
      <c r="DA116" s="228">
        <v>19.940000000000001</v>
      </c>
      <c r="DB116" s="228">
        <v>-0.18</v>
      </c>
      <c r="DC116" s="228">
        <v>-0.18</v>
      </c>
      <c r="DD116" s="228">
        <v>31.99</v>
      </c>
      <c r="DE116" s="228">
        <v>32.06</v>
      </c>
      <c r="DF116" s="228">
        <v>-12.23</v>
      </c>
      <c r="DG116" s="228">
        <v>-7.0000000000000007E-2</v>
      </c>
      <c r="DH116" s="228">
        <v>19.36</v>
      </c>
      <c r="DI116" s="228">
        <v>18.920000000000002</v>
      </c>
      <c r="DJ116" s="228">
        <v>0.44</v>
      </c>
      <c r="DK116" s="228">
        <v>0.44</v>
      </c>
      <c r="DL116" s="228">
        <v>20.54</v>
      </c>
      <c r="DM116" s="228">
        <v>21.34</v>
      </c>
      <c r="DN116" s="228">
        <v>-0.8</v>
      </c>
      <c r="DO116" s="228">
        <v>-0.8</v>
      </c>
      <c r="DP116" s="228">
        <v>1.1299999999999999</v>
      </c>
      <c r="DQ116" s="228">
        <v>1.17</v>
      </c>
      <c r="DR116" s="228">
        <v>-0.04</v>
      </c>
      <c r="DS116" s="229">
        <v>-3.4200000000000001E-2</v>
      </c>
      <c r="DT116" s="228">
        <v>540</v>
      </c>
      <c r="DU116" s="228">
        <v>540</v>
      </c>
      <c r="DV116" s="228">
        <v>0.51</v>
      </c>
      <c r="DW116" s="228">
        <v>0.73</v>
      </c>
      <c r="DX116" s="228">
        <v>-0.22</v>
      </c>
      <c r="DY116" s="229">
        <v>-0.3014</v>
      </c>
      <c r="DZ116" s="229">
        <v>2.2800000000000001E-2</v>
      </c>
      <c r="EA116" s="230">
        <v>673000</v>
      </c>
      <c r="EB116" s="229">
        <v>5.8999999999999999E-3</v>
      </c>
      <c r="EC116" s="229">
        <v>2.2800000000000001E-2</v>
      </c>
      <c r="ED116" s="228">
        <v>3.58</v>
      </c>
      <c r="EE116" s="229">
        <v>6.7000000000000002E-3</v>
      </c>
      <c r="EF116" s="230">
        <v>460663</v>
      </c>
      <c r="EG116" s="230">
        <v>681011</v>
      </c>
      <c r="EH116" s="229">
        <v>-0.3236</v>
      </c>
      <c r="EI116" s="229">
        <v>0.62360000000000004</v>
      </c>
      <c r="EJ116" s="231">
        <v>13557.39</v>
      </c>
      <c r="EK116" s="231">
        <v>6606.66</v>
      </c>
      <c r="EL116" s="231">
        <v>11259.84</v>
      </c>
      <c r="EM116" s="231">
        <v>15382</v>
      </c>
      <c r="EN116" s="231">
        <v>31423.89</v>
      </c>
      <c r="EO116" s="231">
        <v>68228.850000000006</v>
      </c>
      <c r="EP116" s="231">
        <v>-36804.959999999999</v>
      </c>
      <c r="EQ116" s="229">
        <v>-0.53939999999999999</v>
      </c>
      <c r="ER116" s="231">
        <v>34363</v>
      </c>
      <c r="ES116" s="231">
        <v>37663</v>
      </c>
      <c r="ET116" s="231">
        <v>179632</v>
      </c>
      <c r="EU116" s="231">
        <v>45183075</v>
      </c>
      <c r="EV116" s="231">
        <v>251658</v>
      </c>
      <c r="EW116" s="231">
        <v>248700</v>
      </c>
      <c r="EX116" s="231">
        <v>2958</v>
      </c>
      <c r="EY116" s="229">
        <v>1.1900000000000001E-2</v>
      </c>
      <c r="EZ116" s="229">
        <v>1.0290999999999999</v>
      </c>
      <c r="FA116" s="227" t="s">
        <v>567</v>
      </c>
      <c r="FB116" s="161">
        <f t="shared" si="1"/>
        <v>762000</v>
      </c>
    </row>
    <row r="117" spans="1:158" ht="17.25" hidden="1" thickBot="1" x14ac:dyDescent="0.3">
      <c r="A117" s="226">
        <v>46023</v>
      </c>
      <c r="B117" s="227" t="s">
        <v>175</v>
      </c>
      <c r="C117" s="227" t="s">
        <v>607</v>
      </c>
      <c r="D117" s="228">
        <v>700</v>
      </c>
      <c r="E117" s="228">
        <v>858.45</v>
      </c>
      <c r="F117" s="228">
        <v>858.9</v>
      </c>
      <c r="G117" s="228">
        <v>-0.45</v>
      </c>
      <c r="H117" s="229">
        <v>-5.0000000000000001E-4</v>
      </c>
      <c r="I117" s="228">
        <v>852.8</v>
      </c>
      <c r="J117" s="228">
        <v>854.9</v>
      </c>
      <c r="K117" s="228">
        <v>-2.1</v>
      </c>
      <c r="L117" s="229">
        <v>-2.5000000000000001E-3</v>
      </c>
      <c r="M117" s="228">
        <v>858.45</v>
      </c>
      <c r="N117" s="228">
        <v>858.9</v>
      </c>
      <c r="O117" s="228">
        <v>-0.45</v>
      </c>
      <c r="P117" s="229">
        <v>-5.0000000000000001E-4</v>
      </c>
      <c r="Q117" s="228">
        <v>862.25</v>
      </c>
      <c r="R117" s="228">
        <v>863.25</v>
      </c>
      <c r="S117" s="228">
        <v>-1</v>
      </c>
      <c r="T117" s="229">
        <v>-1.1999999999999999E-3</v>
      </c>
      <c r="U117" s="228">
        <v>865.4</v>
      </c>
      <c r="V117" s="228">
        <v>0</v>
      </c>
      <c r="W117" s="228">
        <v>865.4</v>
      </c>
      <c r="X117" s="229">
        <v>0</v>
      </c>
      <c r="Y117" s="228">
        <v>5.65</v>
      </c>
      <c r="Z117" s="228">
        <v>4</v>
      </c>
      <c r="AA117" s="228">
        <v>1.65</v>
      </c>
      <c r="AB117" s="229">
        <v>6.6E-3</v>
      </c>
      <c r="AC117" s="228">
        <v>5.65</v>
      </c>
      <c r="AD117" s="228">
        <v>4</v>
      </c>
      <c r="AE117" s="228">
        <v>1.65</v>
      </c>
      <c r="AF117" s="229">
        <v>6.6E-3</v>
      </c>
      <c r="AG117" s="228">
        <v>9.4499999999999993</v>
      </c>
      <c r="AH117" s="228">
        <v>8.35</v>
      </c>
      <c r="AI117" s="228">
        <v>1.1000000000000001</v>
      </c>
      <c r="AJ117" s="229">
        <v>1.11E-2</v>
      </c>
      <c r="AK117" s="228">
        <v>12.6</v>
      </c>
      <c r="AL117" s="228">
        <v>0</v>
      </c>
      <c r="AM117" s="228">
        <v>12.6</v>
      </c>
      <c r="AN117" s="229">
        <v>1.4800000000000001E-2</v>
      </c>
      <c r="AO117" s="228">
        <v>859.04</v>
      </c>
      <c r="AP117" s="228">
        <v>862.86</v>
      </c>
      <c r="AQ117" s="228">
        <v>0</v>
      </c>
      <c r="AR117" s="230">
        <v>434700</v>
      </c>
      <c r="AS117" s="230">
        <v>1103900</v>
      </c>
      <c r="AT117" s="230">
        <v>-669200</v>
      </c>
      <c r="AU117" s="229">
        <v>-0.60619999999999996</v>
      </c>
      <c r="AV117" s="230">
        <v>389200</v>
      </c>
      <c r="AW117" s="230">
        <v>889000</v>
      </c>
      <c r="AX117" s="230">
        <v>-499800</v>
      </c>
      <c r="AY117" s="229">
        <v>-0.56220000000000003</v>
      </c>
      <c r="AZ117" s="230">
        <v>44800</v>
      </c>
      <c r="BA117" s="230">
        <v>214900</v>
      </c>
      <c r="BB117" s="230">
        <v>-170100</v>
      </c>
      <c r="BC117" s="229">
        <v>-0.79149999999999998</v>
      </c>
      <c r="BD117" s="228">
        <v>700</v>
      </c>
      <c r="BE117" s="228">
        <v>0</v>
      </c>
      <c r="BF117" s="228">
        <v>700</v>
      </c>
      <c r="BG117" s="229">
        <v>0</v>
      </c>
      <c r="BH117" s="230">
        <v>1187200</v>
      </c>
      <c r="BI117" s="230">
        <v>3070200</v>
      </c>
      <c r="BJ117" s="230">
        <v>-1883000</v>
      </c>
      <c r="BK117" s="229">
        <v>-0.61329999999999996</v>
      </c>
      <c r="BL117" s="230">
        <v>511700</v>
      </c>
      <c r="BM117" s="230">
        <v>1887200</v>
      </c>
      <c r="BN117" s="230">
        <v>-1375500</v>
      </c>
      <c r="BO117" s="229">
        <v>-0.72889999999999999</v>
      </c>
      <c r="BP117" s="230">
        <v>2133600</v>
      </c>
      <c r="BQ117" s="230">
        <v>6061300</v>
      </c>
      <c r="BR117" s="230">
        <v>-3927700</v>
      </c>
      <c r="BS117" s="229">
        <v>-0.64800000000000002</v>
      </c>
      <c r="BT117" s="230">
        <v>255006</v>
      </c>
      <c r="BU117" s="230">
        <v>471027</v>
      </c>
      <c r="BV117" s="230">
        <v>-216021</v>
      </c>
      <c r="BW117" s="229">
        <v>-0.45860000000000001</v>
      </c>
      <c r="BX117" s="230">
        <v>10571400</v>
      </c>
      <c r="BY117" s="230">
        <v>10518200</v>
      </c>
      <c r="BZ117" s="230">
        <v>53200</v>
      </c>
      <c r="CA117" s="229">
        <v>5.1000000000000004E-3</v>
      </c>
      <c r="CB117" s="230">
        <v>9849700</v>
      </c>
      <c r="CC117" s="230">
        <v>9814700</v>
      </c>
      <c r="CD117" s="230">
        <v>35000</v>
      </c>
      <c r="CE117" s="229">
        <v>3.5999999999999999E-3</v>
      </c>
      <c r="CF117" s="230">
        <v>721000</v>
      </c>
      <c r="CG117" s="230">
        <v>703500</v>
      </c>
      <c r="CH117" s="230">
        <v>17500</v>
      </c>
      <c r="CI117" s="229">
        <v>2.4899999999999999E-2</v>
      </c>
      <c r="CJ117" s="228">
        <v>700</v>
      </c>
      <c r="CK117" s="228">
        <v>0</v>
      </c>
      <c r="CL117" s="228">
        <v>700</v>
      </c>
      <c r="CM117" s="229">
        <v>0</v>
      </c>
      <c r="CN117" s="230">
        <v>3658200</v>
      </c>
      <c r="CO117" s="230">
        <v>3522400</v>
      </c>
      <c r="CP117" s="230">
        <v>135800</v>
      </c>
      <c r="CQ117" s="229">
        <v>3.8600000000000002E-2</v>
      </c>
      <c r="CR117" s="230">
        <v>2692200</v>
      </c>
      <c r="CS117" s="230">
        <v>2646700</v>
      </c>
      <c r="CT117" s="230">
        <v>45500</v>
      </c>
      <c r="CU117" s="229">
        <v>1.72E-2</v>
      </c>
      <c r="CV117" s="230">
        <v>16921800</v>
      </c>
      <c r="CW117" s="230">
        <v>16687300</v>
      </c>
      <c r="CX117" s="230">
        <v>234500</v>
      </c>
      <c r="CY117" s="229">
        <v>1.41E-2</v>
      </c>
      <c r="CZ117" s="228">
        <v>17.3</v>
      </c>
      <c r="DA117" s="228">
        <v>17.98</v>
      </c>
      <c r="DB117" s="228">
        <v>-0.68</v>
      </c>
      <c r="DC117" s="228">
        <v>-0.68</v>
      </c>
      <c r="DD117" s="228">
        <v>29.86</v>
      </c>
      <c r="DE117" s="228">
        <v>29.94</v>
      </c>
      <c r="DF117" s="228">
        <v>-12.56</v>
      </c>
      <c r="DG117" s="228">
        <v>-0.08</v>
      </c>
      <c r="DH117" s="228">
        <v>17.510000000000002</v>
      </c>
      <c r="DI117" s="228">
        <v>18.09</v>
      </c>
      <c r="DJ117" s="228">
        <v>-0.57999999999999996</v>
      </c>
      <c r="DK117" s="228">
        <v>-0.57999999999999996</v>
      </c>
      <c r="DL117" s="228">
        <v>16.809999999999999</v>
      </c>
      <c r="DM117" s="228">
        <v>17.809999999999999</v>
      </c>
      <c r="DN117" s="228">
        <v>-1</v>
      </c>
      <c r="DO117" s="228">
        <v>-1</v>
      </c>
      <c r="DP117" s="228">
        <v>0.74</v>
      </c>
      <c r="DQ117" s="228">
        <v>0.75</v>
      </c>
      <c r="DR117" s="228">
        <v>-0.01</v>
      </c>
      <c r="DS117" s="229">
        <v>-1.3299999999999999E-2</v>
      </c>
      <c r="DT117" s="228">
        <v>900</v>
      </c>
      <c r="DU117" s="228">
        <v>850</v>
      </c>
      <c r="DV117" s="228">
        <v>0.43</v>
      </c>
      <c r="DW117" s="228">
        <v>0.61</v>
      </c>
      <c r="DX117" s="228">
        <v>-0.18</v>
      </c>
      <c r="DY117" s="229">
        <v>-0.29509999999999997</v>
      </c>
      <c r="DZ117" s="229">
        <v>6.83E-2</v>
      </c>
      <c r="EA117" s="230">
        <v>703500</v>
      </c>
      <c r="EB117" s="229">
        <v>4.4000000000000003E-3</v>
      </c>
      <c r="EC117" s="229">
        <v>6.83E-2</v>
      </c>
      <c r="ED117" s="228">
        <v>3.82</v>
      </c>
      <c r="EE117" s="229">
        <v>4.4000000000000003E-3</v>
      </c>
      <c r="EF117" s="230">
        <v>140282</v>
      </c>
      <c r="EG117" s="230">
        <v>266028</v>
      </c>
      <c r="EH117" s="229">
        <v>-0.47270000000000001</v>
      </c>
      <c r="EI117" s="229">
        <v>0.55010000000000003</v>
      </c>
      <c r="EJ117" s="231">
        <v>10620.66</v>
      </c>
      <c r="EK117" s="231">
        <v>4316.12</v>
      </c>
      <c r="EL117" s="231">
        <v>3735.99</v>
      </c>
      <c r="EM117" s="231">
        <v>8536</v>
      </c>
      <c r="EN117" s="231">
        <v>18672.77</v>
      </c>
      <c r="EO117" s="231">
        <v>52538.06</v>
      </c>
      <c r="EP117" s="231">
        <v>-33865.29</v>
      </c>
      <c r="EQ117" s="229">
        <v>-0.64459999999999995</v>
      </c>
      <c r="ER117" s="231">
        <v>32507</v>
      </c>
      <c r="ES117" s="231">
        <v>22694</v>
      </c>
      <c r="ET117" s="231">
        <v>90778</v>
      </c>
      <c r="EU117" s="231">
        <v>33206238</v>
      </c>
      <c r="EV117" s="231">
        <v>145979</v>
      </c>
      <c r="EW117" s="231">
        <v>143979</v>
      </c>
      <c r="EX117" s="231">
        <v>2000</v>
      </c>
      <c r="EY117" s="229">
        <v>1.3899999999999999E-2</v>
      </c>
      <c r="EZ117" s="229">
        <v>0.50960000000000005</v>
      </c>
      <c r="FA117" s="227" t="s">
        <v>567</v>
      </c>
      <c r="FB117" s="161">
        <f t="shared" si="1"/>
        <v>721700</v>
      </c>
    </row>
    <row r="118" spans="1:158" ht="17.25" hidden="1" thickBot="1" x14ac:dyDescent="0.3">
      <c r="A118" s="226">
        <v>46023</v>
      </c>
      <c r="B118" s="227" t="s">
        <v>206</v>
      </c>
      <c r="C118" s="227" t="s">
        <v>588</v>
      </c>
      <c r="D118" s="228">
        <v>450</v>
      </c>
      <c r="E118" s="231">
        <v>1078.4000000000001</v>
      </c>
      <c r="F118" s="231">
        <v>1068</v>
      </c>
      <c r="G118" s="228">
        <v>10.4</v>
      </c>
      <c r="H118" s="229">
        <v>9.7000000000000003E-3</v>
      </c>
      <c r="I118" s="231">
        <v>1072.8</v>
      </c>
      <c r="J118" s="231">
        <v>1061.3</v>
      </c>
      <c r="K118" s="228">
        <v>11.5</v>
      </c>
      <c r="L118" s="229">
        <v>1.0800000000000001E-2</v>
      </c>
      <c r="M118" s="231">
        <v>1078.4000000000001</v>
      </c>
      <c r="N118" s="231">
        <v>1068</v>
      </c>
      <c r="O118" s="228">
        <v>10.4</v>
      </c>
      <c r="P118" s="229">
        <v>9.7000000000000003E-3</v>
      </c>
      <c r="Q118" s="231">
        <v>1085.4000000000001</v>
      </c>
      <c r="R118" s="231">
        <v>1075.2</v>
      </c>
      <c r="S118" s="228">
        <v>10.199999999999999</v>
      </c>
      <c r="T118" s="229">
        <v>9.4999999999999998E-3</v>
      </c>
      <c r="U118" s="231">
        <v>1091.5</v>
      </c>
      <c r="V118" s="231">
        <v>1087.3</v>
      </c>
      <c r="W118" s="228">
        <v>4.2</v>
      </c>
      <c r="X118" s="229">
        <v>3.8999999999999998E-3</v>
      </c>
      <c r="Y118" s="228">
        <v>5.6</v>
      </c>
      <c r="Z118" s="228">
        <v>6.7</v>
      </c>
      <c r="AA118" s="228">
        <v>-1.1000000000000001</v>
      </c>
      <c r="AB118" s="229">
        <v>5.1999999999999998E-3</v>
      </c>
      <c r="AC118" s="228">
        <v>5.6</v>
      </c>
      <c r="AD118" s="228">
        <v>6.7</v>
      </c>
      <c r="AE118" s="228">
        <v>-1.1000000000000001</v>
      </c>
      <c r="AF118" s="229">
        <v>5.1999999999999998E-3</v>
      </c>
      <c r="AG118" s="228">
        <v>12.6</v>
      </c>
      <c r="AH118" s="228">
        <v>13.9</v>
      </c>
      <c r="AI118" s="228">
        <v>-1.3</v>
      </c>
      <c r="AJ118" s="229">
        <v>1.17E-2</v>
      </c>
      <c r="AK118" s="228">
        <v>18.7</v>
      </c>
      <c r="AL118" s="228">
        <v>26</v>
      </c>
      <c r="AM118" s="228">
        <v>-7.3</v>
      </c>
      <c r="AN118" s="229">
        <v>1.7399999999999999E-2</v>
      </c>
      <c r="AO118" s="231">
        <v>1075.46</v>
      </c>
      <c r="AP118" s="231">
        <v>1082.5</v>
      </c>
      <c r="AQ118" s="228">
        <v>0</v>
      </c>
      <c r="AR118" s="230">
        <v>540900</v>
      </c>
      <c r="AS118" s="230">
        <v>736650</v>
      </c>
      <c r="AT118" s="230">
        <v>-195750</v>
      </c>
      <c r="AU118" s="229">
        <v>-0.26569999999999999</v>
      </c>
      <c r="AV118" s="230">
        <v>504450</v>
      </c>
      <c r="AW118" s="230">
        <v>702000</v>
      </c>
      <c r="AX118" s="230">
        <v>-197550</v>
      </c>
      <c r="AY118" s="229">
        <v>-0.28139999999999998</v>
      </c>
      <c r="AZ118" s="230">
        <v>31950</v>
      </c>
      <c r="BA118" s="230">
        <v>33750</v>
      </c>
      <c r="BB118" s="230">
        <v>-1800</v>
      </c>
      <c r="BC118" s="229">
        <v>-5.33E-2</v>
      </c>
      <c r="BD118" s="230">
        <v>4500</v>
      </c>
      <c r="BE118" s="228">
        <v>900</v>
      </c>
      <c r="BF118" s="230">
        <v>3600</v>
      </c>
      <c r="BG118" s="229">
        <v>4</v>
      </c>
      <c r="BH118" s="230">
        <v>1024200</v>
      </c>
      <c r="BI118" s="230">
        <v>978300</v>
      </c>
      <c r="BJ118" s="230">
        <v>45900</v>
      </c>
      <c r="BK118" s="229">
        <v>4.6899999999999997E-2</v>
      </c>
      <c r="BL118" s="230">
        <v>411750</v>
      </c>
      <c r="BM118" s="230">
        <v>445500</v>
      </c>
      <c r="BN118" s="230">
        <v>-33750</v>
      </c>
      <c r="BO118" s="229">
        <v>-7.5800000000000006E-2</v>
      </c>
      <c r="BP118" s="230">
        <v>1976850</v>
      </c>
      <c r="BQ118" s="230">
        <v>2160450</v>
      </c>
      <c r="BR118" s="230">
        <v>-183600</v>
      </c>
      <c r="BS118" s="229">
        <v>-8.5000000000000006E-2</v>
      </c>
      <c r="BT118" s="230">
        <v>416394</v>
      </c>
      <c r="BU118" s="230">
        <v>532061</v>
      </c>
      <c r="BV118" s="230">
        <v>-115667</v>
      </c>
      <c r="BW118" s="229">
        <v>-0.21740000000000001</v>
      </c>
      <c r="BX118" s="230">
        <v>12723300</v>
      </c>
      <c r="BY118" s="230">
        <v>12722850</v>
      </c>
      <c r="BZ118" s="228">
        <v>450</v>
      </c>
      <c r="CA118" s="229">
        <v>0</v>
      </c>
      <c r="CB118" s="230">
        <v>12520350</v>
      </c>
      <c r="CC118" s="230">
        <v>12530250</v>
      </c>
      <c r="CD118" s="230">
        <v>-9900</v>
      </c>
      <c r="CE118" s="229">
        <v>-8.0000000000000004E-4</v>
      </c>
      <c r="CF118" s="230">
        <v>198000</v>
      </c>
      <c r="CG118" s="230">
        <v>191700</v>
      </c>
      <c r="CH118" s="230">
        <v>6300</v>
      </c>
      <c r="CI118" s="229">
        <v>3.2899999999999999E-2</v>
      </c>
      <c r="CJ118" s="230">
        <v>4950</v>
      </c>
      <c r="CK118" s="228">
        <v>900</v>
      </c>
      <c r="CL118" s="230">
        <v>4050</v>
      </c>
      <c r="CM118" s="229">
        <v>4.5</v>
      </c>
      <c r="CN118" s="230">
        <v>1200150</v>
      </c>
      <c r="CO118" s="230">
        <v>1092150</v>
      </c>
      <c r="CP118" s="230">
        <v>108000</v>
      </c>
      <c r="CQ118" s="229">
        <v>9.8900000000000002E-2</v>
      </c>
      <c r="CR118" s="230">
        <v>1226250</v>
      </c>
      <c r="CS118" s="230">
        <v>1164150</v>
      </c>
      <c r="CT118" s="230">
        <v>62100</v>
      </c>
      <c r="CU118" s="229">
        <v>5.33E-2</v>
      </c>
      <c r="CV118" s="230">
        <v>15149700</v>
      </c>
      <c r="CW118" s="230">
        <v>14979150</v>
      </c>
      <c r="CX118" s="230">
        <v>170550</v>
      </c>
      <c r="CY118" s="229">
        <v>1.14E-2</v>
      </c>
      <c r="CZ118" s="228">
        <v>27.39</v>
      </c>
      <c r="DA118" s="228">
        <v>27.64</v>
      </c>
      <c r="DB118" s="228">
        <v>-0.25</v>
      </c>
      <c r="DC118" s="228">
        <v>-0.25</v>
      </c>
      <c r="DD118" s="228">
        <v>43.1</v>
      </c>
      <c r="DE118" s="228">
        <v>43.18</v>
      </c>
      <c r="DF118" s="228">
        <v>-15.71</v>
      </c>
      <c r="DG118" s="228">
        <v>-0.08</v>
      </c>
      <c r="DH118" s="228">
        <v>27.41</v>
      </c>
      <c r="DI118" s="228">
        <v>27.75</v>
      </c>
      <c r="DJ118" s="228">
        <v>-0.34</v>
      </c>
      <c r="DK118" s="228">
        <v>-0.34</v>
      </c>
      <c r="DL118" s="228">
        <v>27.35</v>
      </c>
      <c r="DM118" s="228">
        <v>27.41</v>
      </c>
      <c r="DN118" s="228">
        <v>-0.06</v>
      </c>
      <c r="DO118" s="228">
        <v>-0.06</v>
      </c>
      <c r="DP118" s="228">
        <v>1.02</v>
      </c>
      <c r="DQ118" s="228">
        <v>1.07</v>
      </c>
      <c r="DR118" s="228">
        <v>-0.05</v>
      </c>
      <c r="DS118" s="229">
        <v>-4.6699999999999998E-2</v>
      </c>
      <c r="DT118" s="231">
        <v>1100</v>
      </c>
      <c r="DU118" s="231">
        <v>1000</v>
      </c>
      <c r="DV118" s="228">
        <v>0.4</v>
      </c>
      <c r="DW118" s="228">
        <v>0.46</v>
      </c>
      <c r="DX118" s="228">
        <v>-0.06</v>
      </c>
      <c r="DY118" s="229">
        <v>-0.13039999999999999</v>
      </c>
      <c r="DZ118" s="229">
        <v>1.6E-2</v>
      </c>
      <c r="EA118" s="230">
        <v>192600</v>
      </c>
      <c r="EB118" s="229">
        <v>6.4999999999999997E-3</v>
      </c>
      <c r="EC118" s="229">
        <v>1.6E-2</v>
      </c>
      <c r="ED118" s="228">
        <v>7.04</v>
      </c>
      <c r="EE118" s="229">
        <v>6.4999999999999997E-3</v>
      </c>
      <c r="EF118" s="230">
        <v>140354</v>
      </c>
      <c r="EG118" s="230">
        <v>317184</v>
      </c>
      <c r="EH118" s="229">
        <v>-0.5575</v>
      </c>
      <c r="EI118" s="229">
        <v>0.33710000000000001</v>
      </c>
      <c r="EJ118" s="231">
        <v>11464.22</v>
      </c>
      <c r="EK118" s="231">
        <v>4412.3599999999997</v>
      </c>
      <c r="EL118" s="231">
        <v>5820.09</v>
      </c>
      <c r="EM118" s="231">
        <v>10497</v>
      </c>
      <c r="EN118" s="231">
        <v>21696.67</v>
      </c>
      <c r="EO118" s="231">
        <v>23627.17</v>
      </c>
      <c r="EP118" s="231">
        <v>-1930.5</v>
      </c>
      <c r="EQ118" s="229">
        <v>-8.1699999999999995E-2</v>
      </c>
      <c r="ER118" s="231">
        <v>13409</v>
      </c>
      <c r="ES118" s="231">
        <v>12924</v>
      </c>
      <c r="ET118" s="231">
        <v>137223</v>
      </c>
      <c r="EU118" s="231">
        <v>42126960</v>
      </c>
      <c r="EV118" s="231">
        <v>163555</v>
      </c>
      <c r="EW118" s="231">
        <v>160391</v>
      </c>
      <c r="EX118" s="231">
        <v>3164</v>
      </c>
      <c r="EY118" s="229">
        <v>1.9699999999999999E-2</v>
      </c>
      <c r="EZ118" s="229">
        <v>0.35959999999999998</v>
      </c>
      <c r="FA118" s="227" t="s">
        <v>237</v>
      </c>
      <c r="FB118" s="161">
        <f t="shared" si="1"/>
        <v>202950</v>
      </c>
    </row>
    <row r="119" spans="1:158" ht="17.25" hidden="1" thickBot="1" x14ac:dyDescent="0.3">
      <c r="A119" s="226">
        <v>46023</v>
      </c>
      <c r="B119" s="227" t="s">
        <v>184</v>
      </c>
      <c r="C119" s="227" t="s">
        <v>249</v>
      </c>
      <c r="D119" s="228">
        <v>175</v>
      </c>
      <c r="E119" s="231">
        <v>4156.8</v>
      </c>
      <c r="F119" s="231">
        <v>4107.5</v>
      </c>
      <c r="G119" s="228">
        <v>49.3</v>
      </c>
      <c r="H119" s="229">
        <v>1.2E-2</v>
      </c>
      <c r="I119" s="231">
        <v>4140.3999999999996</v>
      </c>
      <c r="J119" s="231">
        <v>4083.5</v>
      </c>
      <c r="K119" s="228">
        <v>56.9</v>
      </c>
      <c r="L119" s="229">
        <v>1.3899999999999999E-2</v>
      </c>
      <c r="M119" s="231">
        <v>4156.8</v>
      </c>
      <c r="N119" s="231">
        <v>4107.5</v>
      </c>
      <c r="O119" s="228">
        <v>49.3</v>
      </c>
      <c r="P119" s="229">
        <v>1.2E-2</v>
      </c>
      <c r="Q119" s="231">
        <v>4178.2</v>
      </c>
      <c r="R119" s="231">
        <v>4130.6000000000004</v>
      </c>
      <c r="S119" s="228">
        <v>47.6</v>
      </c>
      <c r="T119" s="229">
        <v>1.15E-2</v>
      </c>
      <c r="U119" s="231">
        <v>4205.8999999999996</v>
      </c>
      <c r="V119" s="231">
        <v>4144</v>
      </c>
      <c r="W119" s="228">
        <v>61.9</v>
      </c>
      <c r="X119" s="229">
        <v>1.49E-2</v>
      </c>
      <c r="Y119" s="228">
        <v>16.399999999999999</v>
      </c>
      <c r="Z119" s="228">
        <v>24</v>
      </c>
      <c r="AA119" s="228">
        <v>-7.6</v>
      </c>
      <c r="AB119" s="229">
        <v>4.0000000000000001E-3</v>
      </c>
      <c r="AC119" s="228">
        <v>16.399999999999999</v>
      </c>
      <c r="AD119" s="228">
        <v>24</v>
      </c>
      <c r="AE119" s="228">
        <v>-7.6</v>
      </c>
      <c r="AF119" s="229">
        <v>4.0000000000000001E-3</v>
      </c>
      <c r="AG119" s="228">
        <v>37.799999999999997</v>
      </c>
      <c r="AH119" s="228">
        <v>47.1</v>
      </c>
      <c r="AI119" s="228">
        <v>-9.3000000000000007</v>
      </c>
      <c r="AJ119" s="229">
        <v>9.1000000000000004E-3</v>
      </c>
      <c r="AK119" s="228">
        <v>65.5</v>
      </c>
      <c r="AL119" s="228">
        <v>60.5</v>
      </c>
      <c r="AM119" s="228">
        <v>5</v>
      </c>
      <c r="AN119" s="229">
        <v>1.5800000000000002E-2</v>
      </c>
      <c r="AO119" s="231">
        <v>4145.87</v>
      </c>
      <c r="AP119" s="231">
        <v>4166.26</v>
      </c>
      <c r="AQ119" s="228">
        <v>0</v>
      </c>
      <c r="AR119" s="230">
        <v>1360975</v>
      </c>
      <c r="AS119" s="230">
        <v>1234975</v>
      </c>
      <c r="AT119" s="230">
        <v>126000</v>
      </c>
      <c r="AU119" s="229">
        <v>0.10199999999999999</v>
      </c>
      <c r="AV119" s="230">
        <v>1290800</v>
      </c>
      <c r="AW119" s="230">
        <v>1201550</v>
      </c>
      <c r="AX119" s="230">
        <v>89250</v>
      </c>
      <c r="AY119" s="229">
        <v>7.4300000000000005E-2</v>
      </c>
      <c r="AZ119" s="230">
        <v>50925</v>
      </c>
      <c r="BA119" s="230">
        <v>32725</v>
      </c>
      <c r="BB119" s="230">
        <v>18200</v>
      </c>
      <c r="BC119" s="229">
        <v>0.55610000000000004</v>
      </c>
      <c r="BD119" s="230">
        <v>19250</v>
      </c>
      <c r="BE119" s="228">
        <v>700</v>
      </c>
      <c r="BF119" s="230">
        <v>18550</v>
      </c>
      <c r="BG119" s="229">
        <v>26.5</v>
      </c>
      <c r="BH119" s="230">
        <v>5580050</v>
      </c>
      <c r="BI119" s="230">
        <v>3613750</v>
      </c>
      <c r="BJ119" s="230">
        <v>1966300</v>
      </c>
      <c r="BK119" s="229">
        <v>0.54410000000000003</v>
      </c>
      <c r="BL119" s="230">
        <v>2541175</v>
      </c>
      <c r="BM119" s="230">
        <v>2004800</v>
      </c>
      <c r="BN119" s="230">
        <v>536375</v>
      </c>
      <c r="BO119" s="229">
        <v>0.26750000000000002</v>
      </c>
      <c r="BP119" s="230">
        <v>9482200</v>
      </c>
      <c r="BQ119" s="230">
        <v>6853525</v>
      </c>
      <c r="BR119" s="230">
        <v>2628675</v>
      </c>
      <c r="BS119" s="229">
        <v>0.3836</v>
      </c>
      <c r="BT119" s="230">
        <v>1543357</v>
      </c>
      <c r="BU119" s="230">
        <v>1225746</v>
      </c>
      <c r="BV119" s="230">
        <v>317611</v>
      </c>
      <c r="BW119" s="229">
        <v>0.2591</v>
      </c>
      <c r="BX119" s="230">
        <v>13661725</v>
      </c>
      <c r="BY119" s="230">
        <v>13860175</v>
      </c>
      <c r="BZ119" s="230">
        <v>-198450</v>
      </c>
      <c r="CA119" s="229">
        <v>-1.43E-2</v>
      </c>
      <c r="CB119" s="230">
        <v>13425300</v>
      </c>
      <c r="CC119" s="230">
        <v>13644400</v>
      </c>
      <c r="CD119" s="230">
        <v>-219100</v>
      </c>
      <c r="CE119" s="229">
        <v>-1.61E-2</v>
      </c>
      <c r="CF119" s="230">
        <v>220325</v>
      </c>
      <c r="CG119" s="230">
        <v>215075</v>
      </c>
      <c r="CH119" s="230">
        <v>5250</v>
      </c>
      <c r="CI119" s="229">
        <v>2.4400000000000002E-2</v>
      </c>
      <c r="CJ119" s="230">
        <v>16100</v>
      </c>
      <c r="CK119" s="228">
        <v>700</v>
      </c>
      <c r="CL119" s="230">
        <v>15400</v>
      </c>
      <c r="CM119" s="229">
        <v>22</v>
      </c>
      <c r="CN119" s="230">
        <v>2754675</v>
      </c>
      <c r="CO119" s="230">
        <v>2076375</v>
      </c>
      <c r="CP119" s="230">
        <v>678300</v>
      </c>
      <c r="CQ119" s="229">
        <v>0.32669999999999999</v>
      </c>
      <c r="CR119" s="230">
        <v>1953525</v>
      </c>
      <c r="CS119" s="230">
        <v>1520750</v>
      </c>
      <c r="CT119" s="230">
        <v>432775</v>
      </c>
      <c r="CU119" s="229">
        <v>0.28460000000000002</v>
      </c>
      <c r="CV119" s="230">
        <v>18369925</v>
      </c>
      <c r="CW119" s="230">
        <v>17457300</v>
      </c>
      <c r="CX119" s="230">
        <v>912625</v>
      </c>
      <c r="CY119" s="229">
        <v>5.2299999999999999E-2</v>
      </c>
      <c r="CZ119" s="228">
        <v>15.09</v>
      </c>
      <c r="DA119" s="228">
        <v>15.85</v>
      </c>
      <c r="DB119" s="228">
        <v>-0.76</v>
      </c>
      <c r="DC119" s="228">
        <v>-0.76</v>
      </c>
      <c r="DD119" s="228">
        <v>25.59</v>
      </c>
      <c r="DE119" s="228">
        <v>25.59</v>
      </c>
      <c r="DF119" s="228">
        <v>-10.5</v>
      </c>
      <c r="DG119" s="228">
        <v>0</v>
      </c>
      <c r="DH119" s="228">
        <v>14.68</v>
      </c>
      <c r="DI119" s="228">
        <v>15.58</v>
      </c>
      <c r="DJ119" s="228">
        <v>-0.9</v>
      </c>
      <c r="DK119" s="228">
        <v>-0.9</v>
      </c>
      <c r="DL119" s="228">
        <v>16</v>
      </c>
      <c r="DM119" s="228">
        <v>16.329999999999998</v>
      </c>
      <c r="DN119" s="228">
        <v>-0.33</v>
      </c>
      <c r="DO119" s="228">
        <v>-0.33</v>
      </c>
      <c r="DP119" s="228">
        <v>0.71</v>
      </c>
      <c r="DQ119" s="228">
        <v>0.73</v>
      </c>
      <c r="DR119" s="228">
        <v>-0.02</v>
      </c>
      <c r="DS119" s="229">
        <v>-2.7400000000000001E-2</v>
      </c>
      <c r="DT119" s="231">
        <v>4200</v>
      </c>
      <c r="DU119" s="231">
        <v>4000</v>
      </c>
      <c r="DV119" s="228">
        <v>0.46</v>
      </c>
      <c r="DW119" s="228">
        <v>0.55000000000000004</v>
      </c>
      <c r="DX119" s="228">
        <v>-0.09</v>
      </c>
      <c r="DY119" s="229">
        <v>-0.1636</v>
      </c>
      <c r="DZ119" s="229">
        <v>1.7299999999999999E-2</v>
      </c>
      <c r="EA119" s="230">
        <v>215775</v>
      </c>
      <c r="EB119" s="229">
        <v>5.1000000000000004E-3</v>
      </c>
      <c r="EC119" s="229">
        <v>1.7299999999999999E-2</v>
      </c>
      <c r="ED119" s="228">
        <v>20.39</v>
      </c>
      <c r="EE119" s="229">
        <v>4.8999999999999998E-3</v>
      </c>
      <c r="EF119" s="230">
        <v>684474</v>
      </c>
      <c r="EG119" s="230">
        <v>794738</v>
      </c>
      <c r="EH119" s="229">
        <v>-0.13869999999999999</v>
      </c>
      <c r="EI119" s="229">
        <v>0.44350000000000001</v>
      </c>
      <c r="EJ119" s="231">
        <v>236953.32</v>
      </c>
      <c r="EK119" s="231">
        <v>103971.62</v>
      </c>
      <c r="EL119" s="231">
        <v>56444.4</v>
      </c>
      <c r="EM119" s="231">
        <v>25594</v>
      </c>
      <c r="EN119" s="231">
        <v>397369.34</v>
      </c>
      <c r="EO119" s="231">
        <v>283618.76</v>
      </c>
      <c r="EP119" s="231">
        <v>113750.58</v>
      </c>
      <c r="EQ119" s="229">
        <v>0.40110000000000001</v>
      </c>
      <c r="ER119" s="231">
        <v>114764</v>
      </c>
      <c r="ES119" s="231">
        <v>78229</v>
      </c>
      <c r="ET119" s="231">
        <v>567946</v>
      </c>
      <c r="EU119" s="231">
        <v>136109374</v>
      </c>
      <c r="EV119" s="231">
        <v>760939</v>
      </c>
      <c r="EW119" s="231">
        <v>715844</v>
      </c>
      <c r="EX119" s="231">
        <v>45095</v>
      </c>
      <c r="EY119" s="229">
        <v>6.3E-2</v>
      </c>
      <c r="EZ119" s="229">
        <v>0.13500000000000001</v>
      </c>
      <c r="FA119" s="227" t="s">
        <v>556</v>
      </c>
      <c r="FB119" s="161">
        <f t="shared" si="1"/>
        <v>236425</v>
      </c>
    </row>
    <row r="120" spans="1:158" ht="17.25" hidden="1" thickBot="1" x14ac:dyDescent="0.3">
      <c r="A120" s="226">
        <v>46023</v>
      </c>
      <c r="B120" s="227" t="s">
        <v>175</v>
      </c>
      <c r="C120" s="227" t="s">
        <v>565</v>
      </c>
      <c r="D120" s="228">
        <v>2250</v>
      </c>
      <c r="E120" s="228">
        <v>318.75</v>
      </c>
      <c r="F120" s="228">
        <v>316.25</v>
      </c>
      <c r="G120" s="228">
        <v>2.5</v>
      </c>
      <c r="H120" s="229">
        <v>7.9000000000000008E-3</v>
      </c>
      <c r="I120" s="228">
        <v>317.25</v>
      </c>
      <c r="J120" s="228">
        <v>315.95</v>
      </c>
      <c r="K120" s="228">
        <v>1.3</v>
      </c>
      <c r="L120" s="229">
        <v>4.1000000000000003E-3</v>
      </c>
      <c r="M120" s="228">
        <v>318.75</v>
      </c>
      <c r="N120" s="228">
        <v>316.25</v>
      </c>
      <c r="O120" s="228">
        <v>2.5</v>
      </c>
      <c r="P120" s="229">
        <v>7.9000000000000008E-3</v>
      </c>
      <c r="Q120" s="228">
        <v>319.85000000000002</v>
      </c>
      <c r="R120" s="228">
        <v>317.39999999999998</v>
      </c>
      <c r="S120" s="228">
        <v>2.4500000000000002</v>
      </c>
      <c r="T120" s="229">
        <v>7.7000000000000002E-3</v>
      </c>
      <c r="U120" s="228">
        <v>320.8</v>
      </c>
      <c r="V120" s="228">
        <v>319.05</v>
      </c>
      <c r="W120" s="228">
        <v>1.75</v>
      </c>
      <c r="X120" s="229">
        <v>5.4999999999999997E-3</v>
      </c>
      <c r="Y120" s="228">
        <v>1.5</v>
      </c>
      <c r="Z120" s="228">
        <v>0.3</v>
      </c>
      <c r="AA120" s="228">
        <v>1.2</v>
      </c>
      <c r="AB120" s="229">
        <v>4.7000000000000002E-3</v>
      </c>
      <c r="AC120" s="228">
        <v>1.5</v>
      </c>
      <c r="AD120" s="228">
        <v>0.3</v>
      </c>
      <c r="AE120" s="228">
        <v>1.2</v>
      </c>
      <c r="AF120" s="229">
        <v>4.7000000000000002E-3</v>
      </c>
      <c r="AG120" s="228">
        <v>2.6</v>
      </c>
      <c r="AH120" s="228">
        <v>1.45</v>
      </c>
      <c r="AI120" s="228">
        <v>1.1499999999999999</v>
      </c>
      <c r="AJ120" s="229">
        <v>8.2000000000000007E-3</v>
      </c>
      <c r="AK120" s="228">
        <v>3.55</v>
      </c>
      <c r="AL120" s="228">
        <v>3.1</v>
      </c>
      <c r="AM120" s="228">
        <v>0.45</v>
      </c>
      <c r="AN120" s="229">
        <v>1.12E-2</v>
      </c>
      <c r="AO120" s="228">
        <v>319.64</v>
      </c>
      <c r="AP120" s="228">
        <v>320.35000000000002</v>
      </c>
      <c r="AQ120" s="228">
        <v>0</v>
      </c>
      <c r="AR120" s="230">
        <v>12118500</v>
      </c>
      <c r="AS120" s="230">
        <v>21069000</v>
      </c>
      <c r="AT120" s="230">
        <v>-8950500</v>
      </c>
      <c r="AU120" s="229">
        <v>-0.42480000000000001</v>
      </c>
      <c r="AV120" s="230">
        <v>11560500</v>
      </c>
      <c r="AW120" s="230">
        <v>20196000</v>
      </c>
      <c r="AX120" s="230">
        <v>-8635500</v>
      </c>
      <c r="AY120" s="229">
        <v>-0.42759999999999998</v>
      </c>
      <c r="AZ120" s="230">
        <v>479250</v>
      </c>
      <c r="BA120" s="230">
        <v>717750</v>
      </c>
      <c r="BB120" s="230">
        <v>-238500</v>
      </c>
      <c r="BC120" s="229">
        <v>-0.33229999999999998</v>
      </c>
      <c r="BD120" s="230">
        <v>78750</v>
      </c>
      <c r="BE120" s="230">
        <v>155250</v>
      </c>
      <c r="BF120" s="230">
        <v>-76500</v>
      </c>
      <c r="BG120" s="229">
        <v>-0.49280000000000002</v>
      </c>
      <c r="BH120" s="230">
        <v>34373250</v>
      </c>
      <c r="BI120" s="230">
        <v>62300250</v>
      </c>
      <c r="BJ120" s="230">
        <v>-27927000</v>
      </c>
      <c r="BK120" s="229">
        <v>-0.44829999999999998</v>
      </c>
      <c r="BL120" s="230">
        <v>13455000</v>
      </c>
      <c r="BM120" s="230">
        <v>22821750</v>
      </c>
      <c r="BN120" s="230">
        <v>-9366750</v>
      </c>
      <c r="BO120" s="229">
        <v>-0.41039999999999999</v>
      </c>
      <c r="BP120" s="230">
        <v>59946750</v>
      </c>
      <c r="BQ120" s="230">
        <v>106191000</v>
      </c>
      <c r="BR120" s="230">
        <v>-46244250</v>
      </c>
      <c r="BS120" s="229">
        <v>-0.4355</v>
      </c>
      <c r="BT120" s="230">
        <v>5324418</v>
      </c>
      <c r="BU120" s="230">
        <v>10101262</v>
      </c>
      <c r="BV120" s="230">
        <v>-4776844</v>
      </c>
      <c r="BW120" s="229">
        <v>-0.47289999999999999</v>
      </c>
      <c r="BX120" s="230">
        <v>41809500</v>
      </c>
      <c r="BY120" s="230">
        <v>42909750</v>
      </c>
      <c r="BZ120" s="230">
        <v>-1100250</v>
      </c>
      <c r="CA120" s="229">
        <v>-2.5600000000000001E-2</v>
      </c>
      <c r="CB120" s="230">
        <v>40889250</v>
      </c>
      <c r="CC120" s="230">
        <v>42057000</v>
      </c>
      <c r="CD120" s="230">
        <v>-1167750</v>
      </c>
      <c r="CE120" s="229">
        <v>-2.7799999999999998E-2</v>
      </c>
      <c r="CF120" s="230">
        <v>769500</v>
      </c>
      <c r="CG120" s="230">
        <v>740250</v>
      </c>
      <c r="CH120" s="230">
        <v>29250</v>
      </c>
      <c r="CI120" s="229">
        <v>3.95E-2</v>
      </c>
      <c r="CJ120" s="230">
        <v>150750</v>
      </c>
      <c r="CK120" s="230">
        <v>112500</v>
      </c>
      <c r="CL120" s="230">
        <v>38250</v>
      </c>
      <c r="CM120" s="229">
        <v>0.34</v>
      </c>
      <c r="CN120" s="230">
        <v>18416250</v>
      </c>
      <c r="CO120" s="230">
        <v>17703000</v>
      </c>
      <c r="CP120" s="230">
        <v>713250</v>
      </c>
      <c r="CQ120" s="229">
        <v>4.0300000000000002E-2</v>
      </c>
      <c r="CR120" s="230">
        <v>13533750</v>
      </c>
      <c r="CS120" s="230">
        <v>12258000</v>
      </c>
      <c r="CT120" s="230">
        <v>1275750</v>
      </c>
      <c r="CU120" s="229">
        <v>0.1041</v>
      </c>
      <c r="CV120" s="230">
        <v>73759500</v>
      </c>
      <c r="CW120" s="230">
        <v>72870750</v>
      </c>
      <c r="CX120" s="230">
        <v>888750</v>
      </c>
      <c r="CY120" s="229">
        <v>1.2200000000000001E-2</v>
      </c>
      <c r="CZ120" s="228">
        <v>29.04</v>
      </c>
      <c r="DA120" s="228">
        <v>31.06</v>
      </c>
      <c r="DB120" s="228">
        <v>-2.02</v>
      </c>
      <c r="DC120" s="228">
        <v>-2.02</v>
      </c>
      <c r="DD120" s="228">
        <v>38.53</v>
      </c>
      <c r="DE120" s="228">
        <v>38.61</v>
      </c>
      <c r="DF120" s="228">
        <v>-9.49</v>
      </c>
      <c r="DG120" s="228">
        <v>-0.08</v>
      </c>
      <c r="DH120" s="228">
        <v>29</v>
      </c>
      <c r="DI120" s="228">
        <v>31.02</v>
      </c>
      <c r="DJ120" s="228">
        <v>-2.02</v>
      </c>
      <c r="DK120" s="228">
        <v>-2.02</v>
      </c>
      <c r="DL120" s="228">
        <v>29.15</v>
      </c>
      <c r="DM120" s="228">
        <v>31.17</v>
      </c>
      <c r="DN120" s="228">
        <v>-2.02</v>
      </c>
      <c r="DO120" s="228">
        <v>-2.02</v>
      </c>
      <c r="DP120" s="228">
        <v>0.73</v>
      </c>
      <c r="DQ120" s="228">
        <v>0.69</v>
      </c>
      <c r="DR120" s="228">
        <v>0.04</v>
      </c>
      <c r="DS120" s="229">
        <v>5.8000000000000003E-2</v>
      </c>
      <c r="DT120" s="228">
        <v>320</v>
      </c>
      <c r="DU120" s="228">
        <v>300</v>
      </c>
      <c r="DV120" s="228">
        <v>0.39</v>
      </c>
      <c r="DW120" s="228">
        <v>0.37</v>
      </c>
      <c r="DX120" s="228">
        <v>0.02</v>
      </c>
      <c r="DY120" s="229">
        <v>5.4100000000000002E-2</v>
      </c>
      <c r="DZ120" s="229">
        <v>2.1999999999999999E-2</v>
      </c>
      <c r="EA120" s="230">
        <v>852750</v>
      </c>
      <c r="EB120" s="229">
        <v>3.5000000000000001E-3</v>
      </c>
      <c r="EC120" s="229">
        <v>2.1999999999999999E-2</v>
      </c>
      <c r="ED120" s="228">
        <v>0.71</v>
      </c>
      <c r="EE120" s="229">
        <v>2.2000000000000001E-3</v>
      </c>
      <c r="EF120" s="230">
        <v>1746024</v>
      </c>
      <c r="EG120" s="230">
        <v>4213948</v>
      </c>
      <c r="EH120" s="229">
        <v>-0.5857</v>
      </c>
      <c r="EI120" s="229">
        <v>0.32790000000000002</v>
      </c>
      <c r="EJ120" s="231">
        <v>114883.41</v>
      </c>
      <c r="EK120" s="231">
        <v>42131.58</v>
      </c>
      <c r="EL120" s="231">
        <v>38739.879999999997</v>
      </c>
      <c r="EM120" s="231">
        <v>12382</v>
      </c>
      <c r="EN120" s="231">
        <v>195754.87</v>
      </c>
      <c r="EO120" s="231">
        <v>339993.8</v>
      </c>
      <c r="EP120" s="231">
        <v>-144238.93</v>
      </c>
      <c r="EQ120" s="229">
        <v>-0.42420000000000002</v>
      </c>
      <c r="ER120" s="231">
        <v>59199</v>
      </c>
      <c r="ES120" s="231">
        <v>40685</v>
      </c>
      <c r="ET120" s="231">
        <v>133279</v>
      </c>
      <c r="EU120" s="231">
        <v>127100972</v>
      </c>
      <c r="EV120" s="231">
        <v>233163</v>
      </c>
      <c r="EW120" s="231">
        <v>228789</v>
      </c>
      <c r="EX120" s="231">
        <v>4374</v>
      </c>
      <c r="EY120" s="229">
        <v>1.9099999999999999E-2</v>
      </c>
      <c r="EZ120" s="229">
        <v>0.58030000000000004</v>
      </c>
      <c r="FA120" s="227" t="s">
        <v>556</v>
      </c>
      <c r="FB120" s="161">
        <f t="shared" si="1"/>
        <v>920250</v>
      </c>
    </row>
    <row r="121" spans="1:158" ht="17.25" hidden="1" thickBot="1" x14ac:dyDescent="0.3">
      <c r="A121" s="226">
        <v>46023</v>
      </c>
      <c r="B121" s="227" t="s">
        <v>221</v>
      </c>
      <c r="C121" s="227" t="s">
        <v>561</v>
      </c>
      <c r="D121" s="228">
        <v>150</v>
      </c>
      <c r="E121" s="231">
        <v>6128</v>
      </c>
      <c r="F121" s="231">
        <v>6081</v>
      </c>
      <c r="G121" s="228">
        <v>47</v>
      </c>
      <c r="H121" s="229">
        <v>7.7000000000000002E-3</v>
      </c>
      <c r="I121" s="231">
        <v>6112</v>
      </c>
      <c r="J121" s="231">
        <v>6063.5</v>
      </c>
      <c r="K121" s="228">
        <v>48.5</v>
      </c>
      <c r="L121" s="229">
        <v>8.0000000000000002E-3</v>
      </c>
      <c r="M121" s="231">
        <v>6128</v>
      </c>
      <c r="N121" s="231">
        <v>6081</v>
      </c>
      <c r="O121" s="228">
        <v>47</v>
      </c>
      <c r="P121" s="229">
        <v>7.7000000000000002E-3</v>
      </c>
      <c r="Q121" s="231">
        <v>6168</v>
      </c>
      <c r="R121" s="231">
        <v>6110</v>
      </c>
      <c r="S121" s="228">
        <v>58</v>
      </c>
      <c r="T121" s="229">
        <v>9.4999999999999998E-3</v>
      </c>
      <c r="U121" s="231">
        <v>6160</v>
      </c>
      <c r="V121" s="231">
        <v>6130</v>
      </c>
      <c r="W121" s="228">
        <v>30</v>
      </c>
      <c r="X121" s="229">
        <v>4.8999999999999998E-3</v>
      </c>
      <c r="Y121" s="228">
        <v>16</v>
      </c>
      <c r="Z121" s="228">
        <v>17.5</v>
      </c>
      <c r="AA121" s="228">
        <v>-1.5</v>
      </c>
      <c r="AB121" s="229">
        <v>2.5999999999999999E-3</v>
      </c>
      <c r="AC121" s="228">
        <v>16</v>
      </c>
      <c r="AD121" s="228">
        <v>17.5</v>
      </c>
      <c r="AE121" s="228">
        <v>-1.5</v>
      </c>
      <c r="AF121" s="229">
        <v>2.5999999999999999E-3</v>
      </c>
      <c r="AG121" s="228">
        <v>56</v>
      </c>
      <c r="AH121" s="228">
        <v>46.5</v>
      </c>
      <c r="AI121" s="228">
        <v>9.5</v>
      </c>
      <c r="AJ121" s="229">
        <v>9.1999999999999998E-3</v>
      </c>
      <c r="AK121" s="228">
        <v>48</v>
      </c>
      <c r="AL121" s="228">
        <v>66.5</v>
      </c>
      <c r="AM121" s="228">
        <v>-18.5</v>
      </c>
      <c r="AN121" s="229">
        <v>7.9000000000000008E-3</v>
      </c>
      <c r="AO121" s="231">
        <v>6094.45</v>
      </c>
      <c r="AP121" s="231">
        <v>6154.97</v>
      </c>
      <c r="AQ121" s="228">
        <v>0</v>
      </c>
      <c r="AR121" s="230">
        <v>181200</v>
      </c>
      <c r="AS121" s="230">
        <v>275700</v>
      </c>
      <c r="AT121" s="230">
        <v>-94500</v>
      </c>
      <c r="AU121" s="229">
        <v>-0.34279999999999999</v>
      </c>
      <c r="AV121" s="230">
        <v>171300</v>
      </c>
      <c r="AW121" s="230">
        <v>270600</v>
      </c>
      <c r="AX121" s="230">
        <v>-99300</v>
      </c>
      <c r="AY121" s="229">
        <v>-0.36699999999999999</v>
      </c>
      <c r="AZ121" s="230">
        <v>9150</v>
      </c>
      <c r="BA121" s="230">
        <v>4500</v>
      </c>
      <c r="BB121" s="230">
        <v>4650</v>
      </c>
      <c r="BC121" s="229">
        <v>1.0333000000000001</v>
      </c>
      <c r="BD121" s="228">
        <v>750</v>
      </c>
      <c r="BE121" s="228">
        <v>600</v>
      </c>
      <c r="BF121" s="228">
        <v>150</v>
      </c>
      <c r="BG121" s="229">
        <v>0.25</v>
      </c>
      <c r="BH121" s="230">
        <v>522450</v>
      </c>
      <c r="BI121" s="230">
        <v>486000</v>
      </c>
      <c r="BJ121" s="230">
        <v>36450</v>
      </c>
      <c r="BK121" s="229">
        <v>7.4999999999999997E-2</v>
      </c>
      <c r="BL121" s="230">
        <v>259800</v>
      </c>
      <c r="BM121" s="230">
        <v>303750</v>
      </c>
      <c r="BN121" s="230">
        <v>-43950</v>
      </c>
      <c r="BO121" s="229">
        <v>-0.1447</v>
      </c>
      <c r="BP121" s="230">
        <v>963450</v>
      </c>
      <c r="BQ121" s="230">
        <v>1065450</v>
      </c>
      <c r="BR121" s="230">
        <v>-102000</v>
      </c>
      <c r="BS121" s="229">
        <v>-9.5699999999999993E-2</v>
      </c>
      <c r="BT121" s="230">
        <v>59171</v>
      </c>
      <c r="BU121" s="230">
        <v>94535</v>
      </c>
      <c r="BV121" s="230">
        <v>-35364</v>
      </c>
      <c r="BW121" s="229">
        <v>-0.37409999999999999</v>
      </c>
      <c r="BX121" s="230">
        <v>2091150</v>
      </c>
      <c r="BY121" s="230">
        <v>2089350</v>
      </c>
      <c r="BZ121" s="230">
        <v>1800</v>
      </c>
      <c r="CA121" s="229">
        <v>8.9999999999999998E-4</v>
      </c>
      <c r="CB121" s="230">
        <v>2069850</v>
      </c>
      <c r="CC121" s="230">
        <v>2073450</v>
      </c>
      <c r="CD121" s="230">
        <v>-3600</v>
      </c>
      <c r="CE121" s="229">
        <v>-1.6999999999999999E-3</v>
      </c>
      <c r="CF121" s="230">
        <v>20250</v>
      </c>
      <c r="CG121" s="230">
        <v>15300</v>
      </c>
      <c r="CH121" s="230">
        <v>4950</v>
      </c>
      <c r="CI121" s="229">
        <v>0.32350000000000001</v>
      </c>
      <c r="CJ121" s="230">
        <v>1050</v>
      </c>
      <c r="CK121" s="228">
        <v>600</v>
      </c>
      <c r="CL121" s="228">
        <v>450</v>
      </c>
      <c r="CM121" s="229">
        <v>0.75</v>
      </c>
      <c r="CN121" s="230">
        <v>468600</v>
      </c>
      <c r="CO121" s="230">
        <v>371250</v>
      </c>
      <c r="CP121" s="230">
        <v>97350</v>
      </c>
      <c r="CQ121" s="229">
        <v>0.26219999999999999</v>
      </c>
      <c r="CR121" s="230">
        <v>407850</v>
      </c>
      <c r="CS121" s="230">
        <v>381450</v>
      </c>
      <c r="CT121" s="230">
        <v>26400</v>
      </c>
      <c r="CU121" s="229">
        <v>6.9199999999999998E-2</v>
      </c>
      <c r="CV121" s="230">
        <v>2967600</v>
      </c>
      <c r="CW121" s="230">
        <v>2842050</v>
      </c>
      <c r="CX121" s="230">
        <v>125550</v>
      </c>
      <c r="CY121" s="229">
        <v>4.4200000000000003E-2</v>
      </c>
      <c r="CZ121" s="228">
        <v>24.62</v>
      </c>
      <c r="DA121" s="228">
        <v>25.64</v>
      </c>
      <c r="DB121" s="228">
        <v>-1.02</v>
      </c>
      <c r="DC121" s="228">
        <v>-1.02</v>
      </c>
      <c r="DD121" s="228">
        <v>31.65</v>
      </c>
      <c r="DE121" s="228">
        <v>31.71</v>
      </c>
      <c r="DF121" s="228">
        <v>-7.03</v>
      </c>
      <c r="DG121" s="228">
        <v>-0.06</v>
      </c>
      <c r="DH121" s="228">
        <v>24.18</v>
      </c>
      <c r="DI121" s="228">
        <v>25.45</v>
      </c>
      <c r="DJ121" s="228">
        <v>-1.27</v>
      </c>
      <c r="DK121" s="228">
        <v>-1.27</v>
      </c>
      <c r="DL121" s="228">
        <v>25.49</v>
      </c>
      <c r="DM121" s="228">
        <v>25.94</v>
      </c>
      <c r="DN121" s="228">
        <v>-0.45</v>
      </c>
      <c r="DO121" s="228">
        <v>-0.45</v>
      </c>
      <c r="DP121" s="228">
        <v>0.87</v>
      </c>
      <c r="DQ121" s="228">
        <v>1.03</v>
      </c>
      <c r="DR121" s="228">
        <v>-0.16</v>
      </c>
      <c r="DS121" s="229">
        <v>-0.15529999999999999</v>
      </c>
      <c r="DT121" s="231">
        <v>6850</v>
      </c>
      <c r="DU121" s="231">
        <v>6000</v>
      </c>
      <c r="DV121" s="228">
        <v>0.5</v>
      </c>
      <c r="DW121" s="228">
        <v>0.63</v>
      </c>
      <c r="DX121" s="228">
        <v>-0.13</v>
      </c>
      <c r="DY121" s="229">
        <v>-0.20630000000000001</v>
      </c>
      <c r="DZ121" s="229">
        <v>1.0200000000000001E-2</v>
      </c>
      <c r="EA121" s="230">
        <v>15900</v>
      </c>
      <c r="EB121" s="229">
        <v>6.4999999999999997E-3</v>
      </c>
      <c r="EC121" s="229">
        <v>1.0200000000000001E-2</v>
      </c>
      <c r="ED121" s="228">
        <v>60.52</v>
      </c>
      <c r="EE121" s="229">
        <v>9.9000000000000008E-3</v>
      </c>
      <c r="EF121" s="230">
        <v>20531</v>
      </c>
      <c r="EG121" s="230">
        <v>43914</v>
      </c>
      <c r="EH121" s="229">
        <v>-0.53249999999999997</v>
      </c>
      <c r="EI121" s="229">
        <v>0.34699999999999998</v>
      </c>
      <c r="EJ121" s="231">
        <v>33725</v>
      </c>
      <c r="EK121" s="231">
        <v>15427.01</v>
      </c>
      <c r="EL121" s="231">
        <v>11049.06</v>
      </c>
      <c r="EM121" s="231">
        <v>6248</v>
      </c>
      <c r="EN121" s="231">
        <v>60201.07</v>
      </c>
      <c r="EO121" s="231">
        <v>65795.289999999994</v>
      </c>
      <c r="EP121" s="231">
        <v>-5594.22</v>
      </c>
      <c r="EQ121" s="229">
        <v>-8.5000000000000006E-2</v>
      </c>
      <c r="ER121" s="231">
        <v>30071</v>
      </c>
      <c r="ES121" s="231">
        <v>23635</v>
      </c>
      <c r="ET121" s="231">
        <v>128154</v>
      </c>
      <c r="EU121" s="231">
        <v>9672091</v>
      </c>
      <c r="EV121" s="231">
        <v>181860</v>
      </c>
      <c r="EW121" s="231">
        <v>172685</v>
      </c>
      <c r="EX121" s="231">
        <v>9175</v>
      </c>
      <c r="EY121" s="229">
        <v>5.3100000000000001E-2</v>
      </c>
      <c r="EZ121" s="229">
        <v>0.30680000000000002</v>
      </c>
      <c r="FA121" s="227" t="s">
        <v>555</v>
      </c>
      <c r="FB121" s="161">
        <f t="shared" si="1"/>
        <v>21300</v>
      </c>
    </row>
    <row r="122" spans="1:158" ht="17.25" hidden="1" thickBot="1" x14ac:dyDescent="0.3">
      <c r="A122" s="226">
        <v>46023</v>
      </c>
      <c r="B122" s="227" t="s">
        <v>170</v>
      </c>
      <c r="C122" s="227" t="s">
        <v>250</v>
      </c>
      <c r="D122" s="228">
        <v>425</v>
      </c>
      <c r="E122" s="231">
        <v>2112</v>
      </c>
      <c r="F122" s="231">
        <v>2115.3000000000002</v>
      </c>
      <c r="G122" s="228">
        <v>-3.3</v>
      </c>
      <c r="H122" s="229">
        <v>-1.6000000000000001E-3</v>
      </c>
      <c r="I122" s="231">
        <v>2102.8000000000002</v>
      </c>
      <c r="J122" s="231">
        <v>2109.5</v>
      </c>
      <c r="K122" s="228">
        <v>-6.7</v>
      </c>
      <c r="L122" s="229">
        <v>-3.2000000000000002E-3</v>
      </c>
      <c r="M122" s="231">
        <v>2112</v>
      </c>
      <c r="N122" s="231">
        <v>2115.3000000000002</v>
      </c>
      <c r="O122" s="228">
        <v>-3.3</v>
      </c>
      <c r="P122" s="229">
        <v>-1.6000000000000001E-3</v>
      </c>
      <c r="Q122" s="231">
        <v>2124.6999999999998</v>
      </c>
      <c r="R122" s="231">
        <v>2125.9</v>
      </c>
      <c r="S122" s="228">
        <v>-1.2</v>
      </c>
      <c r="T122" s="229">
        <v>-5.9999999999999995E-4</v>
      </c>
      <c r="U122" s="231">
        <v>2129.9</v>
      </c>
      <c r="V122" s="231">
        <v>2126</v>
      </c>
      <c r="W122" s="228">
        <v>3.9</v>
      </c>
      <c r="X122" s="229">
        <v>1.8E-3</v>
      </c>
      <c r="Y122" s="228">
        <v>9.1999999999999993</v>
      </c>
      <c r="Z122" s="228">
        <v>5.8</v>
      </c>
      <c r="AA122" s="228">
        <v>3.4</v>
      </c>
      <c r="AB122" s="229">
        <v>4.4000000000000003E-3</v>
      </c>
      <c r="AC122" s="228">
        <v>9.1999999999999993</v>
      </c>
      <c r="AD122" s="228">
        <v>5.8</v>
      </c>
      <c r="AE122" s="228">
        <v>3.4</v>
      </c>
      <c r="AF122" s="229">
        <v>4.4000000000000003E-3</v>
      </c>
      <c r="AG122" s="228">
        <v>21.9</v>
      </c>
      <c r="AH122" s="228">
        <v>16.399999999999999</v>
      </c>
      <c r="AI122" s="228">
        <v>5.5</v>
      </c>
      <c r="AJ122" s="229">
        <v>1.04E-2</v>
      </c>
      <c r="AK122" s="228">
        <v>27.1</v>
      </c>
      <c r="AL122" s="228">
        <v>16.5</v>
      </c>
      <c r="AM122" s="228">
        <v>10.6</v>
      </c>
      <c r="AN122" s="229">
        <v>1.29E-2</v>
      </c>
      <c r="AO122" s="231">
        <v>2102.58</v>
      </c>
      <c r="AP122" s="231">
        <v>2116.0300000000002</v>
      </c>
      <c r="AQ122" s="228">
        <v>0</v>
      </c>
      <c r="AR122" s="230">
        <v>529125</v>
      </c>
      <c r="AS122" s="230">
        <v>975800</v>
      </c>
      <c r="AT122" s="230">
        <v>-446675</v>
      </c>
      <c r="AU122" s="229">
        <v>-0.45779999999999998</v>
      </c>
      <c r="AV122" s="230">
        <v>500650</v>
      </c>
      <c r="AW122" s="230">
        <v>935425</v>
      </c>
      <c r="AX122" s="230">
        <v>-434775</v>
      </c>
      <c r="AY122" s="229">
        <v>-0.46479999999999999</v>
      </c>
      <c r="AZ122" s="230">
        <v>27200</v>
      </c>
      <c r="BA122" s="230">
        <v>39950</v>
      </c>
      <c r="BB122" s="230">
        <v>-12750</v>
      </c>
      <c r="BC122" s="229">
        <v>-0.31909999999999999</v>
      </c>
      <c r="BD122" s="230">
        <v>1275</v>
      </c>
      <c r="BE122" s="228">
        <v>425</v>
      </c>
      <c r="BF122" s="228">
        <v>850</v>
      </c>
      <c r="BG122" s="229">
        <v>2</v>
      </c>
      <c r="BH122" s="230">
        <v>1128375</v>
      </c>
      <c r="BI122" s="230">
        <v>1555075</v>
      </c>
      <c r="BJ122" s="230">
        <v>-426700</v>
      </c>
      <c r="BK122" s="229">
        <v>-0.27439999999999998</v>
      </c>
      <c r="BL122" s="230">
        <v>560575</v>
      </c>
      <c r="BM122" s="230">
        <v>817700</v>
      </c>
      <c r="BN122" s="230">
        <v>-257125</v>
      </c>
      <c r="BO122" s="229">
        <v>-0.31440000000000001</v>
      </c>
      <c r="BP122" s="230">
        <v>2218075</v>
      </c>
      <c r="BQ122" s="230">
        <v>3348575</v>
      </c>
      <c r="BR122" s="230">
        <v>-1130500</v>
      </c>
      <c r="BS122" s="229">
        <v>-0.33760000000000001</v>
      </c>
      <c r="BT122" s="230">
        <v>391235</v>
      </c>
      <c r="BU122" s="230">
        <v>663091</v>
      </c>
      <c r="BV122" s="230">
        <v>-271856</v>
      </c>
      <c r="BW122" s="229">
        <v>-0.41</v>
      </c>
      <c r="BX122" s="230">
        <v>6854825</v>
      </c>
      <c r="BY122" s="230">
        <v>6944925</v>
      </c>
      <c r="BZ122" s="230">
        <v>-90100</v>
      </c>
      <c r="CA122" s="229">
        <v>-1.2999999999999999E-2</v>
      </c>
      <c r="CB122" s="230">
        <v>6779600</v>
      </c>
      <c r="CC122" s="230">
        <v>6871825</v>
      </c>
      <c r="CD122" s="230">
        <v>-92225</v>
      </c>
      <c r="CE122" s="229">
        <v>-1.34E-2</v>
      </c>
      <c r="CF122" s="230">
        <v>73950</v>
      </c>
      <c r="CG122" s="230">
        <v>72675</v>
      </c>
      <c r="CH122" s="230">
        <v>1275</v>
      </c>
      <c r="CI122" s="229">
        <v>1.7500000000000002E-2</v>
      </c>
      <c r="CJ122" s="230">
        <v>1275</v>
      </c>
      <c r="CK122" s="228">
        <v>425</v>
      </c>
      <c r="CL122" s="228">
        <v>850</v>
      </c>
      <c r="CM122" s="229">
        <v>2</v>
      </c>
      <c r="CN122" s="230">
        <v>1164925</v>
      </c>
      <c r="CO122" s="230">
        <v>1028075</v>
      </c>
      <c r="CP122" s="230">
        <v>136850</v>
      </c>
      <c r="CQ122" s="229">
        <v>0.1331</v>
      </c>
      <c r="CR122" s="230">
        <v>1003425</v>
      </c>
      <c r="CS122" s="230">
        <v>924800</v>
      </c>
      <c r="CT122" s="230">
        <v>78625</v>
      </c>
      <c r="CU122" s="229">
        <v>8.5000000000000006E-2</v>
      </c>
      <c r="CV122" s="230">
        <v>9023175</v>
      </c>
      <c r="CW122" s="230">
        <v>8897800</v>
      </c>
      <c r="CX122" s="230">
        <v>125375</v>
      </c>
      <c r="CY122" s="229">
        <v>1.41E-2</v>
      </c>
      <c r="CZ122" s="228">
        <v>18.27</v>
      </c>
      <c r="DA122" s="228">
        <v>19.57</v>
      </c>
      <c r="DB122" s="228">
        <v>-1.3</v>
      </c>
      <c r="DC122" s="228">
        <v>-1.3</v>
      </c>
      <c r="DD122" s="228">
        <v>29.74</v>
      </c>
      <c r="DE122" s="228">
        <v>29.81</v>
      </c>
      <c r="DF122" s="228">
        <v>-11.47</v>
      </c>
      <c r="DG122" s="228">
        <v>-7.0000000000000007E-2</v>
      </c>
      <c r="DH122" s="228">
        <v>18.23</v>
      </c>
      <c r="DI122" s="228">
        <v>19.57</v>
      </c>
      <c r="DJ122" s="228">
        <v>-1.34</v>
      </c>
      <c r="DK122" s="228">
        <v>-1.34</v>
      </c>
      <c r="DL122" s="228">
        <v>18.36</v>
      </c>
      <c r="DM122" s="228">
        <v>19.559999999999999</v>
      </c>
      <c r="DN122" s="228">
        <v>-1.2</v>
      </c>
      <c r="DO122" s="228">
        <v>-1.2</v>
      </c>
      <c r="DP122" s="228">
        <v>0.86</v>
      </c>
      <c r="DQ122" s="228">
        <v>0.9</v>
      </c>
      <c r="DR122" s="228">
        <v>-0.04</v>
      </c>
      <c r="DS122" s="229">
        <v>-4.4400000000000002E-2</v>
      </c>
      <c r="DT122" s="231">
        <v>2100</v>
      </c>
      <c r="DU122" s="231">
        <v>1900</v>
      </c>
      <c r="DV122" s="228">
        <v>0.5</v>
      </c>
      <c r="DW122" s="228">
        <v>0.53</v>
      </c>
      <c r="DX122" s="228">
        <v>-0.03</v>
      </c>
      <c r="DY122" s="229">
        <v>-5.6599999999999998E-2</v>
      </c>
      <c r="DZ122" s="229">
        <v>1.0999999999999999E-2</v>
      </c>
      <c r="EA122" s="230">
        <v>73100</v>
      </c>
      <c r="EB122" s="229">
        <v>6.0000000000000001E-3</v>
      </c>
      <c r="EC122" s="229">
        <v>1.0999999999999999E-2</v>
      </c>
      <c r="ED122" s="228">
        <v>13.45</v>
      </c>
      <c r="EE122" s="229">
        <v>6.4000000000000003E-3</v>
      </c>
      <c r="EF122" s="230">
        <v>217013</v>
      </c>
      <c r="EG122" s="230">
        <v>372928</v>
      </c>
      <c r="EH122" s="229">
        <v>-0.41810000000000003</v>
      </c>
      <c r="EI122" s="229">
        <v>0.55469999999999997</v>
      </c>
      <c r="EJ122" s="231">
        <v>24580.91</v>
      </c>
      <c r="EK122" s="231">
        <v>11690.59</v>
      </c>
      <c r="EL122" s="231">
        <v>11129.25</v>
      </c>
      <c r="EM122" s="231">
        <v>10656</v>
      </c>
      <c r="EN122" s="231">
        <v>47400.75</v>
      </c>
      <c r="EO122" s="231">
        <v>71599.67</v>
      </c>
      <c r="EP122" s="231">
        <v>-24198.92</v>
      </c>
      <c r="EQ122" s="229">
        <v>-0.33800000000000002</v>
      </c>
      <c r="ER122" s="231">
        <v>25454</v>
      </c>
      <c r="ES122" s="231">
        <v>20210</v>
      </c>
      <c r="ET122" s="231">
        <v>144784</v>
      </c>
      <c r="EU122" s="231">
        <v>36381777</v>
      </c>
      <c r="EV122" s="231">
        <v>190447</v>
      </c>
      <c r="EW122" s="231">
        <v>188014</v>
      </c>
      <c r="EX122" s="231">
        <v>2433</v>
      </c>
      <c r="EY122" s="229">
        <v>1.29E-2</v>
      </c>
      <c r="EZ122" s="229">
        <v>0.248</v>
      </c>
      <c r="FA122" s="227" t="s">
        <v>568</v>
      </c>
      <c r="FB122" s="161">
        <f t="shared" si="1"/>
        <v>75225</v>
      </c>
    </row>
    <row r="123" spans="1:158" ht="17.25" hidden="1" thickBot="1" x14ac:dyDescent="0.3">
      <c r="A123" s="226">
        <v>46023</v>
      </c>
      <c r="B123" s="227" t="s">
        <v>162</v>
      </c>
      <c r="C123" s="227" t="s">
        <v>251</v>
      </c>
      <c r="D123" s="228">
        <v>200</v>
      </c>
      <c r="E123" s="231">
        <v>3783.5</v>
      </c>
      <c r="F123" s="231">
        <v>3733.4</v>
      </c>
      <c r="G123" s="228">
        <v>50.1</v>
      </c>
      <c r="H123" s="229">
        <v>1.34E-2</v>
      </c>
      <c r="I123" s="231">
        <v>3761</v>
      </c>
      <c r="J123" s="231">
        <v>3709.2</v>
      </c>
      <c r="K123" s="228">
        <v>51.8</v>
      </c>
      <c r="L123" s="229">
        <v>1.4E-2</v>
      </c>
      <c r="M123" s="231">
        <v>3783.5</v>
      </c>
      <c r="N123" s="231">
        <v>3733.4</v>
      </c>
      <c r="O123" s="228">
        <v>50.1</v>
      </c>
      <c r="P123" s="229">
        <v>1.34E-2</v>
      </c>
      <c r="Q123" s="231">
        <v>3804.6</v>
      </c>
      <c r="R123" s="231">
        <v>3755.9</v>
      </c>
      <c r="S123" s="228">
        <v>48.7</v>
      </c>
      <c r="T123" s="229">
        <v>1.2999999999999999E-2</v>
      </c>
      <c r="U123" s="231">
        <v>3829.4</v>
      </c>
      <c r="V123" s="231">
        <v>3774.5</v>
      </c>
      <c r="W123" s="228">
        <v>54.9</v>
      </c>
      <c r="X123" s="229">
        <v>1.4500000000000001E-2</v>
      </c>
      <c r="Y123" s="228">
        <v>22.5</v>
      </c>
      <c r="Z123" s="228">
        <v>24.2</v>
      </c>
      <c r="AA123" s="228">
        <v>-1.7</v>
      </c>
      <c r="AB123" s="229">
        <v>6.0000000000000001E-3</v>
      </c>
      <c r="AC123" s="228">
        <v>22.5</v>
      </c>
      <c r="AD123" s="228">
        <v>24.2</v>
      </c>
      <c r="AE123" s="228">
        <v>-1.7</v>
      </c>
      <c r="AF123" s="229">
        <v>6.0000000000000001E-3</v>
      </c>
      <c r="AG123" s="228">
        <v>43.6</v>
      </c>
      <c r="AH123" s="228">
        <v>46.7</v>
      </c>
      <c r="AI123" s="228">
        <v>-3.1</v>
      </c>
      <c r="AJ123" s="229">
        <v>1.1599999999999999E-2</v>
      </c>
      <c r="AK123" s="228">
        <v>68.400000000000006</v>
      </c>
      <c r="AL123" s="228">
        <v>65.3</v>
      </c>
      <c r="AM123" s="228">
        <v>3.1</v>
      </c>
      <c r="AN123" s="229">
        <v>1.8200000000000001E-2</v>
      </c>
      <c r="AO123" s="231">
        <v>3776.51</v>
      </c>
      <c r="AP123" s="231">
        <v>3797.14</v>
      </c>
      <c r="AQ123" s="228">
        <v>0</v>
      </c>
      <c r="AR123" s="230">
        <v>1762800</v>
      </c>
      <c r="AS123" s="230">
        <v>1872400</v>
      </c>
      <c r="AT123" s="230">
        <v>-109600</v>
      </c>
      <c r="AU123" s="229">
        <v>-5.8500000000000003E-2</v>
      </c>
      <c r="AV123" s="230">
        <v>1676800</v>
      </c>
      <c r="AW123" s="230">
        <v>1808400</v>
      </c>
      <c r="AX123" s="230">
        <v>-131600</v>
      </c>
      <c r="AY123" s="229">
        <v>-7.2800000000000004E-2</v>
      </c>
      <c r="AZ123" s="230">
        <v>69600</v>
      </c>
      <c r="BA123" s="230">
        <v>56400</v>
      </c>
      <c r="BB123" s="230">
        <v>13200</v>
      </c>
      <c r="BC123" s="229">
        <v>0.23400000000000001</v>
      </c>
      <c r="BD123" s="230">
        <v>16400</v>
      </c>
      <c r="BE123" s="230">
        <v>7600</v>
      </c>
      <c r="BF123" s="230">
        <v>8800</v>
      </c>
      <c r="BG123" s="229">
        <v>1.1578999999999999</v>
      </c>
      <c r="BH123" s="230">
        <v>12127200</v>
      </c>
      <c r="BI123" s="230">
        <v>7052400</v>
      </c>
      <c r="BJ123" s="230">
        <v>5074800</v>
      </c>
      <c r="BK123" s="229">
        <v>0.71960000000000002</v>
      </c>
      <c r="BL123" s="230">
        <v>4086200</v>
      </c>
      <c r="BM123" s="230">
        <v>3210400</v>
      </c>
      <c r="BN123" s="230">
        <v>875800</v>
      </c>
      <c r="BO123" s="229">
        <v>0.27279999999999999</v>
      </c>
      <c r="BP123" s="230">
        <v>17976200</v>
      </c>
      <c r="BQ123" s="230">
        <v>12135200</v>
      </c>
      <c r="BR123" s="230">
        <v>5841000</v>
      </c>
      <c r="BS123" s="229">
        <v>0.48130000000000001</v>
      </c>
      <c r="BT123" s="230">
        <v>1703728</v>
      </c>
      <c r="BU123" s="230">
        <v>1950879</v>
      </c>
      <c r="BV123" s="230">
        <v>-247151</v>
      </c>
      <c r="BW123" s="229">
        <v>-0.12670000000000001</v>
      </c>
      <c r="BX123" s="230">
        <v>18211800</v>
      </c>
      <c r="BY123" s="230">
        <v>18217200</v>
      </c>
      <c r="BZ123" s="230">
        <v>-5400</v>
      </c>
      <c r="CA123" s="229">
        <v>-2.9999999999999997E-4</v>
      </c>
      <c r="CB123" s="230">
        <v>17989400</v>
      </c>
      <c r="CC123" s="230">
        <v>18015400</v>
      </c>
      <c r="CD123" s="230">
        <v>-26000</v>
      </c>
      <c r="CE123" s="229">
        <v>-1.4E-3</v>
      </c>
      <c r="CF123" s="230">
        <v>208600</v>
      </c>
      <c r="CG123" s="230">
        <v>197400</v>
      </c>
      <c r="CH123" s="230">
        <v>11200</v>
      </c>
      <c r="CI123" s="229">
        <v>5.67E-2</v>
      </c>
      <c r="CJ123" s="230">
        <v>13800</v>
      </c>
      <c r="CK123" s="230">
        <v>4400</v>
      </c>
      <c r="CL123" s="230">
        <v>9400</v>
      </c>
      <c r="CM123" s="229">
        <v>2.1364000000000001</v>
      </c>
      <c r="CN123" s="230">
        <v>2533200</v>
      </c>
      <c r="CO123" s="230">
        <v>2064600</v>
      </c>
      <c r="CP123" s="230">
        <v>468600</v>
      </c>
      <c r="CQ123" s="229">
        <v>0.22700000000000001</v>
      </c>
      <c r="CR123" s="230">
        <v>1815000</v>
      </c>
      <c r="CS123" s="230">
        <v>1625200</v>
      </c>
      <c r="CT123" s="230">
        <v>189800</v>
      </c>
      <c r="CU123" s="229">
        <v>0.1168</v>
      </c>
      <c r="CV123" s="230">
        <v>22560000</v>
      </c>
      <c r="CW123" s="230">
        <v>21907000</v>
      </c>
      <c r="CX123" s="230">
        <v>653000</v>
      </c>
      <c r="CY123" s="229">
        <v>2.98E-2</v>
      </c>
      <c r="CZ123" s="228">
        <v>19.850000000000001</v>
      </c>
      <c r="DA123" s="228">
        <v>21.2</v>
      </c>
      <c r="DB123" s="228">
        <v>-1.35</v>
      </c>
      <c r="DC123" s="228">
        <v>-1.35</v>
      </c>
      <c r="DD123" s="228">
        <v>31.64</v>
      </c>
      <c r="DE123" s="228">
        <v>31.67</v>
      </c>
      <c r="DF123" s="228">
        <v>-11.79</v>
      </c>
      <c r="DG123" s="228">
        <v>-0.03</v>
      </c>
      <c r="DH123" s="228">
        <v>19.510000000000002</v>
      </c>
      <c r="DI123" s="228">
        <v>20.77</v>
      </c>
      <c r="DJ123" s="228">
        <v>-1.26</v>
      </c>
      <c r="DK123" s="228">
        <v>-1.26</v>
      </c>
      <c r="DL123" s="228">
        <v>20.85</v>
      </c>
      <c r="DM123" s="228">
        <v>22.13</v>
      </c>
      <c r="DN123" s="228">
        <v>-1.28</v>
      </c>
      <c r="DO123" s="228">
        <v>-1.28</v>
      </c>
      <c r="DP123" s="228">
        <v>0.72</v>
      </c>
      <c r="DQ123" s="228">
        <v>0.79</v>
      </c>
      <c r="DR123" s="228">
        <v>-7.0000000000000007E-2</v>
      </c>
      <c r="DS123" s="229">
        <v>-8.8599999999999998E-2</v>
      </c>
      <c r="DT123" s="231">
        <v>3800</v>
      </c>
      <c r="DU123" s="231">
        <v>3700</v>
      </c>
      <c r="DV123" s="228">
        <v>0.34</v>
      </c>
      <c r="DW123" s="228">
        <v>0.46</v>
      </c>
      <c r="DX123" s="228">
        <v>-0.12</v>
      </c>
      <c r="DY123" s="229">
        <v>-0.26090000000000002</v>
      </c>
      <c r="DZ123" s="229">
        <v>1.2200000000000001E-2</v>
      </c>
      <c r="EA123" s="230">
        <v>201800</v>
      </c>
      <c r="EB123" s="229">
        <v>5.5999999999999999E-3</v>
      </c>
      <c r="EC123" s="229">
        <v>1.2200000000000001E-2</v>
      </c>
      <c r="ED123" s="228">
        <v>20.63</v>
      </c>
      <c r="EE123" s="229">
        <v>5.4999999999999997E-3</v>
      </c>
      <c r="EF123" s="230">
        <v>589442</v>
      </c>
      <c r="EG123" s="230">
        <v>1245956</v>
      </c>
      <c r="EH123" s="229">
        <v>-0.52690000000000003</v>
      </c>
      <c r="EI123" s="229">
        <v>0.34599999999999997</v>
      </c>
      <c r="EJ123" s="231">
        <v>473686.45</v>
      </c>
      <c r="EK123" s="231">
        <v>150171.87</v>
      </c>
      <c r="EL123" s="231">
        <v>66594.350000000006</v>
      </c>
      <c r="EM123" s="231">
        <v>27649</v>
      </c>
      <c r="EN123" s="231">
        <v>690452.67</v>
      </c>
      <c r="EO123" s="231">
        <v>456289.37</v>
      </c>
      <c r="EP123" s="231">
        <v>234163.3</v>
      </c>
      <c r="EQ123" s="229">
        <v>0.51319999999999999</v>
      </c>
      <c r="ER123" s="231">
        <v>97140</v>
      </c>
      <c r="ES123" s="231">
        <v>64938</v>
      </c>
      <c r="ET123" s="231">
        <v>689094</v>
      </c>
      <c r="EU123" s="231">
        <v>95452027</v>
      </c>
      <c r="EV123" s="231">
        <v>851172</v>
      </c>
      <c r="EW123" s="231">
        <v>816380</v>
      </c>
      <c r="EX123" s="231">
        <v>34792</v>
      </c>
      <c r="EY123" s="229">
        <v>4.2599999999999999E-2</v>
      </c>
      <c r="EZ123" s="229">
        <v>0.23630000000000001</v>
      </c>
      <c r="FA123" s="227" t="s">
        <v>556</v>
      </c>
      <c r="FB123" s="161">
        <f t="shared" si="1"/>
        <v>222400</v>
      </c>
    </row>
    <row r="124" spans="1:158" ht="17.25" hidden="1" thickBot="1" x14ac:dyDescent="0.3">
      <c r="A124" s="226">
        <v>46023</v>
      </c>
      <c r="B124" s="227" t="s">
        <v>175</v>
      </c>
      <c r="C124" s="227" t="s">
        <v>253</v>
      </c>
      <c r="D124" s="228">
        <v>3000</v>
      </c>
      <c r="E124" s="228">
        <v>315.64999999999998</v>
      </c>
      <c r="F124" s="228">
        <v>310.3</v>
      </c>
      <c r="G124" s="228">
        <v>5.35</v>
      </c>
      <c r="H124" s="229">
        <v>1.72E-2</v>
      </c>
      <c r="I124" s="228">
        <v>314.10000000000002</v>
      </c>
      <c r="J124" s="228">
        <v>308.55</v>
      </c>
      <c r="K124" s="228">
        <v>5.55</v>
      </c>
      <c r="L124" s="229">
        <v>1.7999999999999999E-2</v>
      </c>
      <c r="M124" s="228">
        <v>315.64999999999998</v>
      </c>
      <c r="N124" s="228">
        <v>310.3</v>
      </c>
      <c r="O124" s="228">
        <v>5.35</v>
      </c>
      <c r="P124" s="229">
        <v>1.72E-2</v>
      </c>
      <c r="Q124" s="228">
        <v>316.89999999999998</v>
      </c>
      <c r="R124" s="228">
        <v>311.14999999999998</v>
      </c>
      <c r="S124" s="228">
        <v>5.75</v>
      </c>
      <c r="T124" s="229">
        <v>1.8499999999999999E-2</v>
      </c>
      <c r="U124" s="228">
        <v>315.10000000000002</v>
      </c>
      <c r="V124" s="228">
        <v>313</v>
      </c>
      <c r="W124" s="228">
        <v>2.1</v>
      </c>
      <c r="X124" s="229">
        <v>6.7000000000000002E-3</v>
      </c>
      <c r="Y124" s="228">
        <v>1.55</v>
      </c>
      <c r="Z124" s="228">
        <v>1.75</v>
      </c>
      <c r="AA124" s="228">
        <v>-0.2</v>
      </c>
      <c r="AB124" s="229">
        <v>4.8999999999999998E-3</v>
      </c>
      <c r="AC124" s="228">
        <v>1.55</v>
      </c>
      <c r="AD124" s="228">
        <v>1.75</v>
      </c>
      <c r="AE124" s="228">
        <v>-0.2</v>
      </c>
      <c r="AF124" s="229">
        <v>4.8999999999999998E-3</v>
      </c>
      <c r="AG124" s="228">
        <v>2.8</v>
      </c>
      <c r="AH124" s="228">
        <v>2.6</v>
      </c>
      <c r="AI124" s="228">
        <v>0.2</v>
      </c>
      <c r="AJ124" s="229">
        <v>8.8999999999999999E-3</v>
      </c>
      <c r="AK124" s="228">
        <v>1</v>
      </c>
      <c r="AL124" s="228">
        <v>4.45</v>
      </c>
      <c r="AM124" s="228">
        <v>-3.45</v>
      </c>
      <c r="AN124" s="229">
        <v>3.2000000000000002E-3</v>
      </c>
      <c r="AO124" s="228">
        <v>313.02999999999997</v>
      </c>
      <c r="AP124" s="228">
        <v>314.89</v>
      </c>
      <c r="AQ124" s="228">
        <v>0</v>
      </c>
      <c r="AR124" s="230">
        <v>6186000</v>
      </c>
      <c r="AS124" s="230">
        <v>7929000</v>
      </c>
      <c r="AT124" s="230">
        <v>-1743000</v>
      </c>
      <c r="AU124" s="229">
        <v>-0.2198</v>
      </c>
      <c r="AV124" s="230">
        <v>5934000</v>
      </c>
      <c r="AW124" s="230">
        <v>7680000</v>
      </c>
      <c r="AX124" s="230">
        <v>-1746000</v>
      </c>
      <c r="AY124" s="229">
        <v>-0.2273</v>
      </c>
      <c r="AZ124" s="230">
        <v>249000</v>
      </c>
      <c r="BA124" s="230">
        <v>237000</v>
      </c>
      <c r="BB124" s="230">
        <v>12000</v>
      </c>
      <c r="BC124" s="229">
        <v>5.0599999999999999E-2</v>
      </c>
      <c r="BD124" s="230">
        <v>3000</v>
      </c>
      <c r="BE124" s="230">
        <v>12000</v>
      </c>
      <c r="BF124" s="230">
        <v>-9000</v>
      </c>
      <c r="BG124" s="229">
        <v>-0.75</v>
      </c>
      <c r="BH124" s="230">
        <v>13251000</v>
      </c>
      <c r="BI124" s="230">
        <v>11445000</v>
      </c>
      <c r="BJ124" s="230">
        <v>1806000</v>
      </c>
      <c r="BK124" s="229">
        <v>0.1578</v>
      </c>
      <c r="BL124" s="230">
        <v>5034000</v>
      </c>
      <c r="BM124" s="230">
        <v>6330000</v>
      </c>
      <c r="BN124" s="230">
        <v>-1296000</v>
      </c>
      <c r="BO124" s="229">
        <v>-0.20469999999999999</v>
      </c>
      <c r="BP124" s="230">
        <v>24471000</v>
      </c>
      <c r="BQ124" s="230">
        <v>25704000</v>
      </c>
      <c r="BR124" s="230">
        <v>-1233000</v>
      </c>
      <c r="BS124" s="229">
        <v>-4.8000000000000001E-2</v>
      </c>
      <c r="BT124" s="230">
        <v>3892221</v>
      </c>
      <c r="BU124" s="230">
        <v>2500020</v>
      </c>
      <c r="BV124" s="230">
        <v>1392201</v>
      </c>
      <c r="BW124" s="229">
        <v>0.55689999999999995</v>
      </c>
      <c r="BX124" s="230">
        <v>38967000</v>
      </c>
      <c r="BY124" s="230">
        <v>39444000</v>
      </c>
      <c r="BZ124" s="230">
        <v>-477000</v>
      </c>
      <c r="CA124" s="229">
        <v>-1.21E-2</v>
      </c>
      <c r="CB124" s="230">
        <v>38535000</v>
      </c>
      <c r="CC124" s="230">
        <v>39042000</v>
      </c>
      <c r="CD124" s="230">
        <v>-507000</v>
      </c>
      <c r="CE124" s="229">
        <v>-1.2999999999999999E-2</v>
      </c>
      <c r="CF124" s="230">
        <v>423000</v>
      </c>
      <c r="CG124" s="230">
        <v>393000</v>
      </c>
      <c r="CH124" s="230">
        <v>30000</v>
      </c>
      <c r="CI124" s="229">
        <v>7.6300000000000007E-2</v>
      </c>
      <c r="CJ124" s="230">
        <v>9000</v>
      </c>
      <c r="CK124" s="230">
        <v>9000</v>
      </c>
      <c r="CL124" s="228">
        <v>0</v>
      </c>
      <c r="CM124" s="229">
        <v>0</v>
      </c>
      <c r="CN124" s="230">
        <v>10845000</v>
      </c>
      <c r="CO124" s="230">
        <v>10809000</v>
      </c>
      <c r="CP124" s="230">
        <v>36000</v>
      </c>
      <c r="CQ124" s="229">
        <v>3.3E-3</v>
      </c>
      <c r="CR124" s="230">
        <v>7104000</v>
      </c>
      <c r="CS124" s="230">
        <v>6159000</v>
      </c>
      <c r="CT124" s="230">
        <v>945000</v>
      </c>
      <c r="CU124" s="229">
        <v>0.15340000000000001</v>
      </c>
      <c r="CV124" s="230">
        <v>56916000</v>
      </c>
      <c r="CW124" s="230">
        <v>56412000</v>
      </c>
      <c r="CX124" s="230">
        <v>504000</v>
      </c>
      <c r="CY124" s="229">
        <v>8.8999999999999999E-3</v>
      </c>
      <c r="CZ124" s="228">
        <v>28.29</v>
      </c>
      <c r="DA124" s="228">
        <v>28.83</v>
      </c>
      <c r="DB124" s="228">
        <v>-0.54</v>
      </c>
      <c r="DC124" s="228">
        <v>-0.54</v>
      </c>
      <c r="DD124" s="228">
        <v>40.75</v>
      </c>
      <c r="DE124" s="228">
        <v>40.78</v>
      </c>
      <c r="DF124" s="228">
        <v>-12.46</v>
      </c>
      <c r="DG124" s="228">
        <v>-0.03</v>
      </c>
      <c r="DH124" s="228">
        <v>27.79</v>
      </c>
      <c r="DI124" s="228">
        <v>28.4</v>
      </c>
      <c r="DJ124" s="228">
        <v>-0.61</v>
      </c>
      <c r="DK124" s="228">
        <v>-0.61</v>
      </c>
      <c r="DL124" s="228">
        <v>29.59</v>
      </c>
      <c r="DM124" s="228">
        <v>29.62</v>
      </c>
      <c r="DN124" s="228">
        <v>-0.03</v>
      </c>
      <c r="DO124" s="228">
        <v>-0.03</v>
      </c>
      <c r="DP124" s="228">
        <v>0.66</v>
      </c>
      <c r="DQ124" s="228">
        <v>0.56999999999999995</v>
      </c>
      <c r="DR124" s="228">
        <v>0.09</v>
      </c>
      <c r="DS124" s="229">
        <v>0.15790000000000001</v>
      </c>
      <c r="DT124" s="228">
        <v>320</v>
      </c>
      <c r="DU124" s="228">
        <v>300</v>
      </c>
      <c r="DV124" s="228">
        <v>0.38</v>
      </c>
      <c r="DW124" s="228">
        <v>0.55000000000000004</v>
      </c>
      <c r="DX124" s="228">
        <v>-0.17</v>
      </c>
      <c r="DY124" s="229">
        <v>-0.30909999999999999</v>
      </c>
      <c r="DZ124" s="229">
        <v>1.11E-2</v>
      </c>
      <c r="EA124" s="230">
        <v>402000</v>
      </c>
      <c r="EB124" s="229">
        <v>4.0000000000000001E-3</v>
      </c>
      <c r="EC124" s="229">
        <v>1.11E-2</v>
      </c>
      <c r="ED124" s="228">
        <v>1.86</v>
      </c>
      <c r="EE124" s="229">
        <v>5.8999999999999999E-3</v>
      </c>
      <c r="EF124" s="230">
        <v>1526533</v>
      </c>
      <c r="EG124" s="230">
        <v>791632</v>
      </c>
      <c r="EH124" s="229">
        <v>0.92830000000000001</v>
      </c>
      <c r="EI124" s="229">
        <v>0.39219999999999999</v>
      </c>
      <c r="EJ124" s="231">
        <v>43460.03</v>
      </c>
      <c r="EK124" s="231">
        <v>15455.16</v>
      </c>
      <c r="EL124" s="231">
        <v>19368.810000000001</v>
      </c>
      <c r="EM124" s="231">
        <v>7092</v>
      </c>
      <c r="EN124" s="231">
        <v>78284</v>
      </c>
      <c r="EO124" s="231">
        <v>81458.19</v>
      </c>
      <c r="EP124" s="231">
        <v>-3174.19</v>
      </c>
      <c r="EQ124" s="229">
        <v>-3.9E-2</v>
      </c>
      <c r="ER124" s="231">
        <v>34759</v>
      </c>
      <c r="ES124" s="231">
        <v>21022</v>
      </c>
      <c r="ET124" s="231">
        <v>123005</v>
      </c>
      <c r="EU124" s="231">
        <v>82205057</v>
      </c>
      <c r="EV124" s="231">
        <v>178786</v>
      </c>
      <c r="EW124" s="231">
        <v>175125</v>
      </c>
      <c r="EX124" s="231">
        <v>3661</v>
      </c>
      <c r="EY124" s="229">
        <v>2.0899999999999998E-2</v>
      </c>
      <c r="EZ124" s="229">
        <v>0.69240000000000002</v>
      </c>
      <c r="FA124" s="227" t="s">
        <v>556</v>
      </c>
      <c r="FB124" s="161">
        <f t="shared" si="1"/>
        <v>432000</v>
      </c>
    </row>
    <row r="125" spans="1:158" ht="17.25" hidden="1" thickBot="1" x14ac:dyDescent="0.3">
      <c r="A125" s="226">
        <v>46023</v>
      </c>
      <c r="B125" s="227" t="s">
        <v>170</v>
      </c>
      <c r="C125" s="227" t="s">
        <v>672</v>
      </c>
      <c r="D125" s="228">
        <v>225</v>
      </c>
      <c r="E125" s="231">
        <v>2172.9</v>
      </c>
      <c r="F125" s="231">
        <v>2203.3000000000002</v>
      </c>
      <c r="G125" s="228">
        <v>-30.4</v>
      </c>
      <c r="H125" s="229">
        <v>-1.38E-2</v>
      </c>
      <c r="I125" s="231">
        <v>2164.6</v>
      </c>
      <c r="J125" s="231">
        <v>2196.5</v>
      </c>
      <c r="K125" s="228">
        <v>-31.9</v>
      </c>
      <c r="L125" s="229">
        <v>-1.4500000000000001E-2</v>
      </c>
      <c r="M125" s="231">
        <v>2172.9</v>
      </c>
      <c r="N125" s="231">
        <v>2203.3000000000002</v>
      </c>
      <c r="O125" s="228">
        <v>-30.4</v>
      </c>
      <c r="P125" s="229">
        <v>-1.38E-2</v>
      </c>
      <c r="Q125" s="231">
        <v>2186</v>
      </c>
      <c r="R125" s="231">
        <v>2216.5</v>
      </c>
      <c r="S125" s="228">
        <v>-30.5</v>
      </c>
      <c r="T125" s="229">
        <v>-1.38E-2</v>
      </c>
      <c r="U125" s="231">
        <v>2200.1</v>
      </c>
      <c r="V125" s="231">
        <v>2228.5</v>
      </c>
      <c r="W125" s="228">
        <v>-28.4</v>
      </c>
      <c r="X125" s="229">
        <v>-1.2699999999999999E-2</v>
      </c>
      <c r="Y125" s="228">
        <v>8.3000000000000007</v>
      </c>
      <c r="Z125" s="228">
        <v>6.8</v>
      </c>
      <c r="AA125" s="228">
        <v>1.5</v>
      </c>
      <c r="AB125" s="229">
        <v>3.8E-3</v>
      </c>
      <c r="AC125" s="228">
        <v>8.3000000000000007</v>
      </c>
      <c r="AD125" s="228">
        <v>6.8</v>
      </c>
      <c r="AE125" s="228">
        <v>1.5</v>
      </c>
      <c r="AF125" s="229">
        <v>3.8E-3</v>
      </c>
      <c r="AG125" s="228">
        <v>21.4</v>
      </c>
      <c r="AH125" s="228">
        <v>20</v>
      </c>
      <c r="AI125" s="228">
        <v>1.4</v>
      </c>
      <c r="AJ125" s="229">
        <v>9.9000000000000008E-3</v>
      </c>
      <c r="AK125" s="228">
        <v>35.5</v>
      </c>
      <c r="AL125" s="228">
        <v>32</v>
      </c>
      <c r="AM125" s="228">
        <v>3.5</v>
      </c>
      <c r="AN125" s="229">
        <v>1.6400000000000001E-2</v>
      </c>
      <c r="AO125" s="231">
        <v>2179.04</v>
      </c>
      <c r="AP125" s="231">
        <v>2192.64</v>
      </c>
      <c r="AQ125" s="228">
        <v>0</v>
      </c>
      <c r="AR125" s="230">
        <v>242775</v>
      </c>
      <c r="AS125" s="230">
        <v>467775</v>
      </c>
      <c r="AT125" s="230">
        <v>-225000</v>
      </c>
      <c r="AU125" s="229">
        <v>-0.48099999999999998</v>
      </c>
      <c r="AV125" s="230">
        <v>226350</v>
      </c>
      <c r="AW125" s="230">
        <v>454050</v>
      </c>
      <c r="AX125" s="230">
        <v>-227700</v>
      </c>
      <c r="AY125" s="229">
        <v>-0.50149999999999995</v>
      </c>
      <c r="AZ125" s="230">
        <v>15075</v>
      </c>
      <c r="BA125" s="230">
        <v>12150</v>
      </c>
      <c r="BB125" s="230">
        <v>2925</v>
      </c>
      <c r="BC125" s="229">
        <v>0.2407</v>
      </c>
      <c r="BD125" s="230">
        <v>1350</v>
      </c>
      <c r="BE125" s="230">
        <v>1575</v>
      </c>
      <c r="BF125" s="228">
        <v>-225</v>
      </c>
      <c r="BG125" s="229">
        <v>-0.1429</v>
      </c>
      <c r="BH125" s="230">
        <v>263250</v>
      </c>
      <c r="BI125" s="230">
        <v>548100</v>
      </c>
      <c r="BJ125" s="230">
        <v>-284850</v>
      </c>
      <c r="BK125" s="229">
        <v>-0.51970000000000005</v>
      </c>
      <c r="BL125" s="230">
        <v>102825</v>
      </c>
      <c r="BM125" s="230">
        <v>162900</v>
      </c>
      <c r="BN125" s="230">
        <v>-60075</v>
      </c>
      <c r="BO125" s="229">
        <v>-0.36880000000000002</v>
      </c>
      <c r="BP125" s="230">
        <v>608850</v>
      </c>
      <c r="BQ125" s="230">
        <v>1178775</v>
      </c>
      <c r="BR125" s="230">
        <v>-569925</v>
      </c>
      <c r="BS125" s="229">
        <v>-0.48349999999999999</v>
      </c>
      <c r="BT125" s="230">
        <v>87376</v>
      </c>
      <c r="BU125" s="230">
        <v>224166</v>
      </c>
      <c r="BV125" s="230">
        <v>-136790</v>
      </c>
      <c r="BW125" s="229">
        <v>-0.61019999999999996</v>
      </c>
      <c r="BX125" s="230">
        <v>2185650</v>
      </c>
      <c r="BY125" s="230">
        <v>2140200</v>
      </c>
      <c r="BZ125" s="230">
        <v>45450</v>
      </c>
      <c r="CA125" s="229">
        <v>2.12E-2</v>
      </c>
      <c r="CB125" s="230">
        <v>2134350</v>
      </c>
      <c r="CC125" s="230">
        <v>2094750</v>
      </c>
      <c r="CD125" s="230">
        <v>39600</v>
      </c>
      <c r="CE125" s="229">
        <v>1.89E-2</v>
      </c>
      <c r="CF125" s="230">
        <v>49275</v>
      </c>
      <c r="CG125" s="230">
        <v>44550</v>
      </c>
      <c r="CH125" s="230">
        <v>4725</v>
      </c>
      <c r="CI125" s="229">
        <v>0.1061</v>
      </c>
      <c r="CJ125" s="230">
        <v>2025</v>
      </c>
      <c r="CK125" s="228">
        <v>900</v>
      </c>
      <c r="CL125" s="230">
        <v>1125</v>
      </c>
      <c r="CM125" s="229">
        <v>1.25</v>
      </c>
      <c r="CN125" s="230">
        <v>328725</v>
      </c>
      <c r="CO125" s="230">
        <v>290250</v>
      </c>
      <c r="CP125" s="230">
        <v>38475</v>
      </c>
      <c r="CQ125" s="229">
        <v>0.1326</v>
      </c>
      <c r="CR125" s="230">
        <v>267975</v>
      </c>
      <c r="CS125" s="230">
        <v>259875</v>
      </c>
      <c r="CT125" s="230">
        <v>8100</v>
      </c>
      <c r="CU125" s="229">
        <v>3.1199999999999999E-2</v>
      </c>
      <c r="CV125" s="230">
        <v>2782350</v>
      </c>
      <c r="CW125" s="230">
        <v>2690325</v>
      </c>
      <c r="CX125" s="230">
        <v>92025</v>
      </c>
      <c r="CY125" s="229">
        <v>3.4200000000000001E-2</v>
      </c>
      <c r="CZ125" s="228">
        <v>23.07</v>
      </c>
      <c r="DA125" s="228">
        <v>23.59</v>
      </c>
      <c r="DB125" s="228">
        <v>-0.52</v>
      </c>
      <c r="DC125" s="228">
        <v>-0.52</v>
      </c>
      <c r="DD125" s="228">
        <v>32.1</v>
      </c>
      <c r="DE125" s="228">
        <v>32.130000000000003</v>
      </c>
      <c r="DF125" s="228">
        <v>-9.0299999999999994</v>
      </c>
      <c r="DG125" s="228">
        <v>-0.03</v>
      </c>
      <c r="DH125" s="228">
        <v>23.41</v>
      </c>
      <c r="DI125" s="228">
        <v>23.63</v>
      </c>
      <c r="DJ125" s="228">
        <v>-0.22</v>
      </c>
      <c r="DK125" s="228">
        <v>-0.22</v>
      </c>
      <c r="DL125" s="228">
        <v>22.19</v>
      </c>
      <c r="DM125" s="228">
        <v>23.42</v>
      </c>
      <c r="DN125" s="228">
        <v>-1.23</v>
      </c>
      <c r="DO125" s="228">
        <v>-1.23</v>
      </c>
      <c r="DP125" s="228">
        <v>0.82</v>
      </c>
      <c r="DQ125" s="228">
        <v>0.9</v>
      </c>
      <c r="DR125" s="228">
        <v>-0.08</v>
      </c>
      <c r="DS125" s="229">
        <v>-8.8900000000000007E-2</v>
      </c>
      <c r="DT125" s="231">
        <v>2200</v>
      </c>
      <c r="DU125" s="231">
        <v>2200</v>
      </c>
      <c r="DV125" s="228">
        <v>0.39</v>
      </c>
      <c r="DW125" s="228">
        <v>0.3</v>
      </c>
      <c r="DX125" s="228">
        <v>0.09</v>
      </c>
      <c r="DY125" s="229">
        <v>0.3</v>
      </c>
      <c r="DZ125" s="229">
        <v>2.35E-2</v>
      </c>
      <c r="EA125" s="230">
        <v>45450</v>
      </c>
      <c r="EB125" s="229">
        <v>6.0000000000000001E-3</v>
      </c>
      <c r="EC125" s="229">
        <v>2.35E-2</v>
      </c>
      <c r="ED125" s="228">
        <v>13.6</v>
      </c>
      <c r="EE125" s="229">
        <v>6.1999999999999998E-3</v>
      </c>
      <c r="EF125" s="230">
        <v>40065</v>
      </c>
      <c r="EG125" s="230">
        <v>134809</v>
      </c>
      <c r="EH125" s="229">
        <v>-0.70279999999999998</v>
      </c>
      <c r="EI125" s="229">
        <v>0.45850000000000002</v>
      </c>
      <c r="EJ125" s="231">
        <v>5994.57</v>
      </c>
      <c r="EK125" s="231">
        <v>2237.4899999999998</v>
      </c>
      <c r="EL125" s="231">
        <v>5292.58</v>
      </c>
      <c r="EM125" s="231">
        <v>4998</v>
      </c>
      <c r="EN125" s="231">
        <v>13524.64</v>
      </c>
      <c r="EO125" s="231">
        <v>26350.45</v>
      </c>
      <c r="EP125" s="231">
        <v>-12825.81</v>
      </c>
      <c r="EQ125" s="229">
        <v>-0.48670000000000002</v>
      </c>
      <c r="ER125" s="231">
        <v>7385</v>
      </c>
      <c r="ES125" s="231">
        <v>5806</v>
      </c>
      <c r="ET125" s="231">
        <v>47499</v>
      </c>
      <c r="EU125" s="231">
        <v>16919681</v>
      </c>
      <c r="EV125" s="231">
        <v>60691</v>
      </c>
      <c r="EW125" s="231">
        <v>59319</v>
      </c>
      <c r="EX125" s="231">
        <v>1372</v>
      </c>
      <c r="EY125" s="229">
        <v>2.3099999999999999E-2</v>
      </c>
      <c r="EZ125" s="229">
        <v>0.16439999999999999</v>
      </c>
      <c r="FA125" s="227" t="s">
        <v>567</v>
      </c>
      <c r="FB125" s="161">
        <f t="shared" si="1"/>
        <v>51300</v>
      </c>
    </row>
    <row r="126" spans="1:158" ht="17.25" hidden="1" thickBot="1" x14ac:dyDescent="0.3">
      <c r="A126" s="226">
        <v>46023</v>
      </c>
      <c r="B126" s="227" t="s">
        <v>168</v>
      </c>
      <c r="C126" s="227" t="s">
        <v>254</v>
      </c>
      <c r="D126" s="228">
        <v>1200</v>
      </c>
      <c r="E126" s="228">
        <v>764.2</v>
      </c>
      <c r="F126" s="228">
        <v>753.5</v>
      </c>
      <c r="G126" s="228">
        <v>10.7</v>
      </c>
      <c r="H126" s="229">
        <v>1.4200000000000001E-2</v>
      </c>
      <c r="I126" s="228">
        <v>760.45</v>
      </c>
      <c r="J126" s="228">
        <v>750.6</v>
      </c>
      <c r="K126" s="228">
        <v>9.85</v>
      </c>
      <c r="L126" s="229">
        <v>1.3100000000000001E-2</v>
      </c>
      <c r="M126" s="228">
        <v>764.2</v>
      </c>
      <c r="N126" s="228">
        <v>753.5</v>
      </c>
      <c r="O126" s="228">
        <v>10.7</v>
      </c>
      <c r="P126" s="229">
        <v>1.4200000000000001E-2</v>
      </c>
      <c r="Q126" s="228">
        <v>764.8</v>
      </c>
      <c r="R126" s="228">
        <v>754.8</v>
      </c>
      <c r="S126" s="228">
        <v>10</v>
      </c>
      <c r="T126" s="229">
        <v>1.32E-2</v>
      </c>
      <c r="U126" s="228">
        <v>763.6</v>
      </c>
      <c r="V126" s="228">
        <v>0</v>
      </c>
      <c r="W126" s="228">
        <v>763.6</v>
      </c>
      <c r="X126" s="229">
        <v>0</v>
      </c>
      <c r="Y126" s="228">
        <v>3.75</v>
      </c>
      <c r="Z126" s="228">
        <v>2.9</v>
      </c>
      <c r="AA126" s="228">
        <v>0.85</v>
      </c>
      <c r="AB126" s="229">
        <v>4.8999999999999998E-3</v>
      </c>
      <c r="AC126" s="228">
        <v>3.75</v>
      </c>
      <c r="AD126" s="228">
        <v>2.9</v>
      </c>
      <c r="AE126" s="228">
        <v>0.85</v>
      </c>
      <c r="AF126" s="229">
        <v>4.8999999999999998E-3</v>
      </c>
      <c r="AG126" s="228">
        <v>4.3499999999999996</v>
      </c>
      <c r="AH126" s="228">
        <v>4.2</v>
      </c>
      <c r="AI126" s="228">
        <v>0.15</v>
      </c>
      <c r="AJ126" s="229">
        <v>5.7000000000000002E-3</v>
      </c>
      <c r="AK126" s="228">
        <v>3.15</v>
      </c>
      <c r="AL126" s="228">
        <v>0</v>
      </c>
      <c r="AM126" s="228">
        <v>3.15</v>
      </c>
      <c r="AN126" s="229">
        <v>4.1000000000000003E-3</v>
      </c>
      <c r="AO126" s="228">
        <v>757.99</v>
      </c>
      <c r="AP126" s="228">
        <v>759.22</v>
      </c>
      <c r="AQ126" s="228">
        <v>0</v>
      </c>
      <c r="AR126" s="230">
        <v>2221200</v>
      </c>
      <c r="AS126" s="230">
        <v>2088000</v>
      </c>
      <c r="AT126" s="230">
        <v>133200</v>
      </c>
      <c r="AU126" s="229">
        <v>6.3799999999999996E-2</v>
      </c>
      <c r="AV126" s="230">
        <v>2166000</v>
      </c>
      <c r="AW126" s="230">
        <v>2058000</v>
      </c>
      <c r="AX126" s="230">
        <v>108000</v>
      </c>
      <c r="AY126" s="229">
        <v>5.2499999999999998E-2</v>
      </c>
      <c r="AZ126" s="230">
        <v>52800</v>
      </c>
      <c r="BA126" s="230">
        <v>30000</v>
      </c>
      <c r="BB126" s="230">
        <v>22800</v>
      </c>
      <c r="BC126" s="229">
        <v>0.76</v>
      </c>
      <c r="BD126" s="230">
        <v>2400</v>
      </c>
      <c r="BE126" s="228">
        <v>0</v>
      </c>
      <c r="BF126" s="230">
        <v>2400</v>
      </c>
      <c r="BG126" s="229">
        <v>0</v>
      </c>
      <c r="BH126" s="230">
        <v>4633200</v>
      </c>
      <c r="BI126" s="230">
        <v>3456000</v>
      </c>
      <c r="BJ126" s="230">
        <v>1177200</v>
      </c>
      <c r="BK126" s="229">
        <v>0.34060000000000001</v>
      </c>
      <c r="BL126" s="230">
        <v>1952400</v>
      </c>
      <c r="BM126" s="230">
        <v>1138800</v>
      </c>
      <c r="BN126" s="230">
        <v>813600</v>
      </c>
      <c r="BO126" s="229">
        <v>0.71440000000000003</v>
      </c>
      <c r="BP126" s="230">
        <v>8806800</v>
      </c>
      <c r="BQ126" s="230">
        <v>6682800</v>
      </c>
      <c r="BR126" s="230">
        <v>2124000</v>
      </c>
      <c r="BS126" s="229">
        <v>0.31780000000000003</v>
      </c>
      <c r="BT126" s="230">
        <v>722590</v>
      </c>
      <c r="BU126" s="230">
        <v>586661</v>
      </c>
      <c r="BV126" s="230">
        <v>135929</v>
      </c>
      <c r="BW126" s="229">
        <v>0.23169999999999999</v>
      </c>
      <c r="BX126" s="230">
        <v>33152400</v>
      </c>
      <c r="BY126" s="230">
        <v>32871600</v>
      </c>
      <c r="BZ126" s="230">
        <v>280800</v>
      </c>
      <c r="CA126" s="229">
        <v>8.5000000000000006E-3</v>
      </c>
      <c r="CB126" s="230">
        <v>33087600</v>
      </c>
      <c r="CC126" s="230">
        <v>32804400</v>
      </c>
      <c r="CD126" s="230">
        <v>283200</v>
      </c>
      <c r="CE126" s="229">
        <v>8.6E-3</v>
      </c>
      <c r="CF126" s="230">
        <v>62400</v>
      </c>
      <c r="CG126" s="230">
        <v>67200</v>
      </c>
      <c r="CH126" s="230">
        <v>-4800</v>
      </c>
      <c r="CI126" s="229">
        <v>-7.1400000000000005E-2</v>
      </c>
      <c r="CJ126" s="230">
        <v>2400</v>
      </c>
      <c r="CK126" s="228">
        <v>0</v>
      </c>
      <c r="CL126" s="230">
        <v>2400</v>
      </c>
      <c r="CM126" s="229">
        <v>0</v>
      </c>
      <c r="CN126" s="230">
        <v>3096000</v>
      </c>
      <c r="CO126" s="230">
        <v>2498400</v>
      </c>
      <c r="CP126" s="230">
        <v>597600</v>
      </c>
      <c r="CQ126" s="229">
        <v>0.2392</v>
      </c>
      <c r="CR126" s="230">
        <v>2139600</v>
      </c>
      <c r="CS126" s="230">
        <v>1446000</v>
      </c>
      <c r="CT126" s="230">
        <v>693600</v>
      </c>
      <c r="CU126" s="229">
        <v>0.47970000000000002</v>
      </c>
      <c r="CV126" s="230">
        <v>38388000</v>
      </c>
      <c r="CW126" s="230">
        <v>36816000</v>
      </c>
      <c r="CX126" s="230">
        <v>1572000</v>
      </c>
      <c r="CY126" s="229">
        <v>4.2700000000000002E-2</v>
      </c>
      <c r="CZ126" s="228">
        <v>19.59</v>
      </c>
      <c r="DA126" s="228">
        <v>19.3</v>
      </c>
      <c r="DB126" s="228">
        <v>0.28999999999999998</v>
      </c>
      <c r="DC126" s="228">
        <v>0.28999999999999998</v>
      </c>
      <c r="DD126" s="228">
        <v>24.6</v>
      </c>
      <c r="DE126" s="228">
        <v>24.6</v>
      </c>
      <c r="DF126" s="228">
        <v>-5.01</v>
      </c>
      <c r="DG126" s="228">
        <v>0</v>
      </c>
      <c r="DH126" s="228">
        <v>19.36</v>
      </c>
      <c r="DI126" s="228">
        <v>19.25</v>
      </c>
      <c r="DJ126" s="228">
        <v>0.11</v>
      </c>
      <c r="DK126" s="228">
        <v>0.11</v>
      </c>
      <c r="DL126" s="228">
        <v>20.149999999999999</v>
      </c>
      <c r="DM126" s="228">
        <v>19.440000000000001</v>
      </c>
      <c r="DN126" s="228">
        <v>0.71</v>
      </c>
      <c r="DO126" s="228">
        <v>0.71</v>
      </c>
      <c r="DP126" s="228">
        <v>0.69</v>
      </c>
      <c r="DQ126" s="228">
        <v>0.57999999999999996</v>
      </c>
      <c r="DR126" s="228">
        <v>0.11</v>
      </c>
      <c r="DS126" s="229">
        <v>0.18970000000000001</v>
      </c>
      <c r="DT126" s="228">
        <v>820</v>
      </c>
      <c r="DU126" s="228">
        <v>750</v>
      </c>
      <c r="DV126" s="228">
        <v>0.42</v>
      </c>
      <c r="DW126" s="228">
        <v>0.33</v>
      </c>
      <c r="DX126" s="228">
        <v>0.09</v>
      </c>
      <c r="DY126" s="229">
        <v>0.2727</v>
      </c>
      <c r="DZ126" s="229">
        <v>2E-3</v>
      </c>
      <c r="EA126" s="230">
        <v>67200</v>
      </c>
      <c r="EB126" s="229">
        <v>8.0000000000000004E-4</v>
      </c>
      <c r="EC126" s="229">
        <v>2E-3</v>
      </c>
      <c r="ED126" s="228">
        <v>1.23</v>
      </c>
      <c r="EE126" s="229">
        <v>1.6000000000000001E-3</v>
      </c>
      <c r="EF126" s="230">
        <v>321973</v>
      </c>
      <c r="EG126" s="230">
        <v>349565</v>
      </c>
      <c r="EH126" s="229">
        <v>-7.8899999999999998E-2</v>
      </c>
      <c r="EI126" s="229">
        <v>0.4456</v>
      </c>
      <c r="EJ126" s="231">
        <v>36513.949999999997</v>
      </c>
      <c r="EK126" s="231">
        <v>14308.15</v>
      </c>
      <c r="EL126" s="231">
        <v>16837.189999999999</v>
      </c>
      <c r="EM126" s="231">
        <v>8765</v>
      </c>
      <c r="EN126" s="231">
        <v>67659.289999999994</v>
      </c>
      <c r="EO126" s="231">
        <v>50997.74</v>
      </c>
      <c r="EP126" s="231">
        <v>16661.55</v>
      </c>
      <c r="EQ126" s="229">
        <v>0.32669999999999999</v>
      </c>
      <c r="ER126" s="231">
        <v>24239</v>
      </c>
      <c r="ES126" s="231">
        <v>15470</v>
      </c>
      <c r="ET126" s="231">
        <v>253351</v>
      </c>
      <c r="EU126" s="231">
        <v>79442217</v>
      </c>
      <c r="EV126" s="231">
        <v>293060</v>
      </c>
      <c r="EW126" s="231">
        <v>277465</v>
      </c>
      <c r="EX126" s="231">
        <v>15595</v>
      </c>
      <c r="EY126" s="229">
        <v>5.62E-2</v>
      </c>
      <c r="EZ126" s="229">
        <v>0.48320000000000002</v>
      </c>
      <c r="FA126" s="227" t="s">
        <v>555</v>
      </c>
      <c r="FB126" s="161">
        <f t="shared" si="1"/>
        <v>64800</v>
      </c>
    </row>
    <row r="127" spans="1:158" ht="17.25" hidden="1" thickBot="1" x14ac:dyDescent="0.3">
      <c r="A127" s="226">
        <v>46023</v>
      </c>
      <c r="B127" s="227" t="s">
        <v>162</v>
      </c>
      <c r="C127" s="227" t="s">
        <v>255</v>
      </c>
      <c r="D127" s="228">
        <v>50</v>
      </c>
      <c r="E127" s="231">
        <v>16792</v>
      </c>
      <c r="F127" s="231">
        <v>16808</v>
      </c>
      <c r="G127" s="228">
        <v>-16</v>
      </c>
      <c r="H127" s="229">
        <v>-1E-3</v>
      </c>
      <c r="I127" s="231">
        <v>16708</v>
      </c>
      <c r="J127" s="231">
        <v>16697</v>
      </c>
      <c r="K127" s="228">
        <v>11</v>
      </c>
      <c r="L127" s="229">
        <v>6.9999999999999999E-4</v>
      </c>
      <c r="M127" s="231">
        <v>16792</v>
      </c>
      <c r="N127" s="231">
        <v>16808</v>
      </c>
      <c r="O127" s="228">
        <v>-16</v>
      </c>
      <c r="P127" s="229">
        <v>-1E-3</v>
      </c>
      <c r="Q127" s="231">
        <v>16887</v>
      </c>
      <c r="R127" s="231">
        <v>16912</v>
      </c>
      <c r="S127" s="228">
        <v>-25</v>
      </c>
      <c r="T127" s="229">
        <v>-1.5E-3</v>
      </c>
      <c r="U127" s="231">
        <v>16985</v>
      </c>
      <c r="V127" s="231">
        <v>17001</v>
      </c>
      <c r="W127" s="228">
        <v>-16</v>
      </c>
      <c r="X127" s="229">
        <v>-8.9999999999999998E-4</v>
      </c>
      <c r="Y127" s="228">
        <v>84</v>
      </c>
      <c r="Z127" s="228">
        <v>111</v>
      </c>
      <c r="AA127" s="228">
        <v>-27</v>
      </c>
      <c r="AB127" s="229">
        <v>5.0000000000000001E-3</v>
      </c>
      <c r="AC127" s="228">
        <v>84</v>
      </c>
      <c r="AD127" s="228">
        <v>111</v>
      </c>
      <c r="AE127" s="228">
        <v>-27</v>
      </c>
      <c r="AF127" s="229">
        <v>5.0000000000000001E-3</v>
      </c>
      <c r="AG127" s="228">
        <v>179</v>
      </c>
      <c r="AH127" s="228">
        <v>215</v>
      </c>
      <c r="AI127" s="228">
        <v>-36</v>
      </c>
      <c r="AJ127" s="229">
        <v>1.0699999999999999E-2</v>
      </c>
      <c r="AK127" s="228">
        <v>277</v>
      </c>
      <c r="AL127" s="228">
        <v>304</v>
      </c>
      <c r="AM127" s="228">
        <v>-27</v>
      </c>
      <c r="AN127" s="229">
        <v>1.66E-2</v>
      </c>
      <c r="AO127" s="231">
        <v>16789.599999999999</v>
      </c>
      <c r="AP127" s="231">
        <v>16890.39</v>
      </c>
      <c r="AQ127" s="228">
        <v>0</v>
      </c>
      <c r="AR127" s="230">
        <v>307850</v>
      </c>
      <c r="AS127" s="230">
        <v>316750</v>
      </c>
      <c r="AT127" s="230">
        <v>-8900</v>
      </c>
      <c r="AU127" s="229">
        <v>-2.81E-2</v>
      </c>
      <c r="AV127" s="230">
        <v>299650</v>
      </c>
      <c r="AW127" s="230">
        <v>310100</v>
      </c>
      <c r="AX127" s="230">
        <v>-10450</v>
      </c>
      <c r="AY127" s="229">
        <v>-3.3700000000000001E-2</v>
      </c>
      <c r="AZ127" s="230">
        <v>6450</v>
      </c>
      <c r="BA127" s="230">
        <v>5200</v>
      </c>
      <c r="BB127" s="230">
        <v>1250</v>
      </c>
      <c r="BC127" s="229">
        <v>0.2404</v>
      </c>
      <c r="BD127" s="230">
        <v>1750</v>
      </c>
      <c r="BE127" s="230">
        <v>1450</v>
      </c>
      <c r="BF127" s="228">
        <v>300</v>
      </c>
      <c r="BG127" s="229">
        <v>0.2069</v>
      </c>
      <c r="BH127" s="230">
        <v>1811550</v>
      </c>
      <c r="BI127" s="230">
        <v>1803650</v>
      </c>
      <c r="BJ127" s="230">
        <v>7900</v>
      </c>
      <c r="BK127" s="229">
        <v>4.4000000000000003E-3</v>
      </c>
      <c r="BL127" s="230">
        <v>1230300</v>
      </c>
      <c r="BM127" s="230">
        <v>1157350</v>
      </c>
      <c r="BN127" s="230">
        <v>72950</v>
      </c>
      <c r="BO127" s="229">
        <v>6.3E-2</v>
      </c>
      <c r="BP127" s="230">
        <v>3349700</v>
      </c>
      <c r="BQ127" s="230">
        <v>3277750</v>
      </c>
      <c r="BR127" s="230">
        <v>71950</v>
      </c>
      <c r="BS127" s="229">
        <v>2.1999999999999999E-2</v>
      </c>
      <c r="BT127" s="230">
        <v>180130</v>
      </c>
      <c r="BU127" s="230">
        <v>321922</v>
      </c>
      <c r="BV127" s="230">
        <v>-141792</v>
      </c>
      <c r="BW127" s="229">
        <v>-0.4405</v>
      </c>
      <c r="BX127" s="230">
        <v>2933950</v>
      </c>
      <c r="BY127" s="230">
        <v>2949700</v>
      </c>
      <c r="BZ127" s="230">
        <v>-15750</v>
      </c>
      <c r="CA127" s="229">
        <v>-5.3E-3</v>
      </c>
      <c r="CB127" s="230">
        <v>2897850</v>
      </c>
      <c r="CC127" s="230">
        <v>2916050</v>
      </c>
      <c r="CD127" s="230">
        <v>-18200</v>
      </c>
      <c r="CE127" s="229">
        <v>-6.1999999999999998E-3</v>
      </c>
      <c r="CF127" s="230">
        <v>34200</v>
      </c>
      <c r="CG127" s="230">
        <v>32900</v>
      </c>
      <c r="CH127" s="230">
        <v>1300</v>
      </c>
      <c r="CI127" s="229">
        <v>3.95E-2</v>
      </c>
      <c r="CJ127" s="230">
        <v>1900</v>
      </c>
      <c r="CK127" s="228">
        <v>750</v>
      </c>
      <c r="CL127" s="230">
        <v>1150</v>
      </c>
      <c r="CM127" s="229">
        <v>1.5333000000000001</v>
      </c>
      <c r="CN127" s="230">
        <v>779050</v>
      </c>
      <c r="CO127" s="230">
        <v>652550</v>
      </c>
      <c r="CP127" s="230">
        <v>126500</v>
      </c>
      <c r="CQ127" s="229">
        <v>0.19389999999999999</v>
      </c>
      <c r="CR127" s="230">
        <v>710050</v>
      </c>
      <c r="CS127" s="230">
        <v>609650</v>
      </c>
      <c r="CT127" s="230">
        <v>100400</v>
      </c>
      <c r="CU127" s="229">
        <v>0.16470000000000001</v>
      </c>
      <c r="CV127" s="230">
        <v>4423050</v>
      </c>
      <c r="CW127" s="230">
        <v>4211900</v>
      </c>
      <c r="CX127" s="230">
        <v>211150</v>
      </c>
      <c r="CY127" s="229">
        <v>5.0099999999999999E-2</v>
      </c>
      <c r="CZ127" s="228">
        <v>16.95</v>
      </c>
      <c r="DA127" s="228">
        <v>17.989999999999998</v>
      </c>
      <c r="DB127" s="228">
        <v>-1.04</v>
      </c>
      <c r="DC127" s="228">
        <v>-1.04</v>
      </c>
      <c r="DD127" s="228">
        <v>24.15</v>
      </c>
      <c r="DE127" s="228">
        <v>24.21</v>
      </c>
      <c r="DF127" s="228">
        <v>-7.2</v>
      </c>
      <c r="DG127" s="228">
        <v>-0.06</v>
      </c>
      <c r="DH127" s="228">
        <v>16.57</v>
      </c>
      <c r="DI127" s="228">
        <v>17.37</v>
      </c>
      <c r="DJ127" s="228">
        <v>-0.8</v>
      </c>
      <c r="DK127" s="228">
        <v>-0.8</v>
      </c>
      <c r="DL127" s="228">
        <v>17.510000000000002</v>
      </c>
      <c r="DM127" s="228">
        <v>18.95</v>
      </c>
      <c r="DN127" s="228">
        <v>-1.44</v>
      </c>
      <c r="DO127" s="228">
        <v>-1.44</v>
      </c>
      <c r="DP127" s="228">
        <v>0.91</v>
      </c>
      <c r="DQ127" s="228">
        <v>0.93</v>
      </c>
      <c r="DR127" s="228">
        <v>-0.02</v>
      </c>
      <c r="DS127" s="229">
        <v>-2.1499999999999998E-2</v>
      </c>
      <c r="DT127" s="231">
        <v>17000</v>
      </c>
      <c r="DU127" s="231">
        <v>16000</v>
      </c>
      <c r="DV127" s="228">
        <v>0.68</v>
      </c>
      <c r="DW127" s="228">
        <v>0.64</v>
      </c>
      <c r="DX127" s="228">
        <v>0.04</v>
      </c>
      <c r="DY127" s="229">
        <v>6.25E-2</v>
      </c>
      <c r="DZ127" s="229">
        <v>1.23E-2</v>
      </c>
      <c r="EA127" s="230">
        <v>33650</v>
      </c>
      <c r="EB127" s="229">
        <v>5.7000000000000002E-3</v>
      </c>
      <c r="EC127" s="229">
        <v>1.23E-2</v>
      </c>
      <c r="ED127" s="228">
        <v>100.79</v>
      </c>
      <c r="EE127" s="229">
        <v>6.0000000000000001E-3</v>
      </c>
      <c r="EF127" s="230">
        <v>80514</v>
      </c>
      <c r="EG127" s="230">
        <v>199463</v>
      </c>
      <c r="EH127" s="229">
        <v>-0.59630000000000005</v>
      </c>
      <c r="EI127" s="229">
        <v>0.44700000000000001</v>
      </c>
      <c r="EJ127" s="231">
        <v>314556.25</v>
      </c>
      <c r="EK127" s="231">
        <v>203432.72</v>
      </c>
      <c r="EL127" s="231">
        <v>51697.32</v>
      </c>
      <c r="EM127" s="231">
        <v>25298</v>
      </c>
      <c r="EN127" s="231">
        <v>569686.29</v>
      </c>
      <c r="EO127" s="231">
        <v>556094.41</v>
      </c>
      <c r="EP127" s="231">
        <v>13591.88</v>
      </c>
      <c r="EQ127" s="229">
        <v>2.4400000000000002E-2</v>
      </c>
      <c r="ER127" s="231">
        <v>133833</v>
      </c>
      <c r="ES127" s="231">
        <v>113718</v>
      </c>
      <c r="ET127" s="231">
        <v>492705</v>
      </c>
      <c r="EU127" s="231">
        <v>17687048</v>
      </c>
      <c r="EV127" s="231">
        <v>740255</v>
      </c>
      <c r="EW127" s="231">
        <v>705241</v>
      </c>
      <c r="EX127" s="231">
        <v>35014</v>
      </c>
      <c r="EY127" s="229">
        <v>4.9599999999999998E-2</v>
      </c>
      <c r="EZ127" s="229">
        <v>0.25009999999999999</v>
      </c>
      <c r="FA127" s="227" t="s">
        <v>568</v>
      </c>
      <c r="FB127" s="161">
        <f t="shared" si="1"/>
        <v>36100</v>
      </c>
    </row>
    <row r="128" spans="1:158" ht="17.25" hidden="1" thickBot="1" x14ac:dyDescent="0.3">
      <c r="A128" s="226">
        <v>46023</v>
      </c>
      <c r="B128" s="227" t="s">
        <v>170</v>
      </c>
      <c r="C128" s="227" t="s">
        <v>603</v>
      </c>
      <c r="D128" s="228">
        <v>525</v>
      </c>
      <c r="E128" s="231">
        <v>1053.8</v>
      </c>
      <c r="F128" s="231">
        <v>1050.7</v>
      </c>
      <c r="G128" s="228">
        <v>3.1</v>
      </c>
      <c r="H128" s="229">
        <v>3.0000000000000001E-3</v>
      </c>
      <c r="I128" s="231">
        <v>1049.4000000000001</v>
      </c>
      <c r="J128" s="231">
        <v>1045.0999999999999</v>
      </c>
      <c r="K128" s="228">
        <v>4.3</v>
      </c>
      <c r="L128" s="229">
        <v>4.1000000000000003E-3</v>
      </c>
      <c r="M128" s="231">
        <v>1053.8</v>
      </c>
      <c r="N128" s="231">
        <v>1050.7</v>
      </c>
      <c r="O128" s="228">
        <v>3.1</v>
      </c>
      <c r="P128" s="229">
        <v>3.0000000000000001E-3</v>
      </c>
      <c r="Q128" s="231">
        <v>1058.9000000000001</v>
      </c>
      <c r="R128" s="231">
        <v>1056.5999999999999</v>
      </c>
      <c r="S128" s="228">
        <v>2.2999999999999998</v>
      </c>
      <c r="T128" s="229">
        <v>2.2000000000000001E-3</v>
      </c>
      <c r="U128" s="231">
        <v>1059.5999999999999</v>
      </c>
      <c r="V128" s="231">
        <v>1064.3</v>
      </c>
      <c r="W128" s="228">
        <v>-4.7</v>
      </c>
      <c r="X128" s="229">
        <v>-4.4000000000000003E-3</v>
      </c>
      <c r="Y128" s="228">
        <v>4.4000000000000004</v>
      </c>
      <c r="Z128" s="228">
        <v>5.6</v>
      </c>
      <c r="AA128" s="228">
        <v>-1.2</v>
      </c>
      <c r="AB128" s="229">
        <v>4.1999999999999997E-3</v>
      </c>
      <c r="AC128" s="228">
        <v>4.4000000000000004</v>
      </c>
      <c r="AD128" s="228">
        <v>5.6</v>
      </c>
      <c r="AE128" s="228">
        <v>-1.2</v>
      </c>
      <c r="AF128" s="229">
        <v>4.1999999999999997E-3</v>
      </c>
      <c r="AG128" s="228">
        <v>9.5</v>
      </c>
      <c r="AH128" s="228">
        <v>11.5</v>
      </c>
      <c r="AI128" s="228">
        <v>-2</v>
      </c>
      <c r="AJ128" s="229">
        <v>9.1000000000000004E-3</v>
      </c>
      <c r="AK128" s="228">
        <v>10.199999999999999</v>
      </c>
      <c r="AL128" s="228">
        <v>19.2</v>
      </c>
      <c r="AM128" s="228">
        <v>-9</v>
      </c>
      <c r="AN128" s="229">
        <v>9.7000000000000003E-3</v>
      </c>
      <c r="AO128" s="231">
        <v>1051.99</v>
      </c>
      <c r="AP128" s="231">
        <v>1057.83</v>
      </c>
      <c r="AQ128" s="228">
        <v>0</v>
      </c>
      <c r="AR128" s="230">
        <v>1165500</v>
      </c>
      <c r="AS128" s="230">
        <v>1764000</v>
      </c>
      <c r="AT128" s="230">
        <v>-598500</v>
      </c>
      <c r="AU128" s="229">
        <v>-0.33929999999999999</v>
      </c>
      <c r="AV128" s="230">
        <v>1122450</v>
      </c>
      <c r="AW128" s="230">
        <v>1724100</v>
      </c>
      <c r="AX128" s="230">
        <v>-601650</v>
      </c>
      <c r="AY128" s="229">
        <v>-0.34899999999999998</v>
      </c>
      <c r="AZ128" s="230">
        <v>26250</v>
      </c>
      <c r="BA128" s="230">
        <v>36750</v>
      </c>
      <c r="BB128" s="230">
        <v>-10500</v>
      </c>
      <c r="BC128" s="229">
        <v>-0.28570000000000001</v>
      </c>
      <c r="BD128" s="230">
        <v>16800</v>
      </c>
      <c r="BE128" s="230">
        <v>3150</v>
      </c>
      <c r="BF128" s="230">
        <v>13650</v>
      </c>
      <c r="BG128" s="229">
        <v>4.3333000000000004</v>
      </c>
      <c r="BH128" s="230">
        <v>2069025</v>
      </c>
      <c r="BI128" s="230">
        <v>2547300</v>
      </c>
      <c r="BJ128" s="230">
        <v>-478275</v>
      </c>
      <c r="BK128" s="229">
        <v>-0.18779999999999999</v>
      </c>
      <c r="BL128" s="230">
        <v>772800</v>
      </c>
      <c r="BM128" s="230">
        <v>1403325</v>
      </c>
      <c r="BN128" s="230">
        <v>-630525</v>
      </c>
      <c r="BO128" s="229">
        <v>-0.44929999999999998</v>
      </c>
      <c r="BP128" s="230">
        <v>4007325</v>
      </c>
      <c r="BQ128" s="230">
        <v>5714625</v>
      </c>
      <c r="BR128" s="230">
        <v>-1707300</v>
      </c>
      <c r="BS128" s="229">
        <v>-0.29880000000000001</v>
      </c>
      <c r="BT128" s="230">
        <v>1239995</v>
      </c>
      <c r="BU128" s="230">
        <v>1472090</v>
      </c>
      <c r="BV128" s="230">
        <v>-232095</v>
      </c>
      <c r="BW128" s="229">
        <v>-0.15770000000000001</v>
      </c>
      <c r="BX128" s="230">
        <v>21901950</v>
      </c>
      <c r="BY128" s="230">
        <v>22060500</v>
      </c>
      <c r="BZ128" s="230">
        <v>-158550</v>
      </c>
      <c r="CA128" s="229">
        <v>-7.1999999999999998E-3</v>
      </c>
      <c r="CB128" s="230">
        <v>21569100</v>
      </c>
      <c r="CC128" s="230">
        <v>21739200</v>
      </c>
      <c r="CD128" s="230">
        <v>-170100</v>
      </c>
      <c r="CE128" s="229">
        <v>-7.7999999999999996E-3</v>
      </c>
      <c r="CF128" s="230">
        <v>320250</v>
      </c>
      <c r="CG128" s="230">
        <v>318675</v>
      </c>
      <c r="CH128" s="230">
        <v>1575</v>
      </c>
      <c r="CI128" s="229">
        <v>4.8999999999999998E-3</v>
      </c>
      <c r="CJ128" s="230">
        <v>12600</v>
      </c>
      <c r="CK128" s="230">
        <v>2625</v>
      </c>
      <c r="CL128" s="230">
        <v>9975</v>
      </c>
      <c r="CM128" s="229">
        <v>3.8</v>
      </c>
      <c r="CN128" s="230">
        <v>2226000</v>
      </c>
      <c r="CO128" s="230">
        <v>2000775</v>
      </c>
      <c r="CP128" s="230">
        <v>225225</v>
      </c>
      <c r="CQ128" s="229">
        <v>0.11260000000000001</v>
      </c>
      <c r="CR128" s="230">
        <v>1892100</v>
      </c>
      <c r="CS128" s="230">
        <v>1771350</v>
      </c>
      <c r="CT128" s="230">
        <v>120750</v>
      </c>
      <c r="CU128" s="229">
        <v>6.8199999999999997E-2</v>
      </c>
      <c r="CV128" s="230">
        <v>26020050</v>
      </c>
      <c r="CW128" s="230">
        <v>25832625</v>
      </c>
      <c r="CX128" s="230">
        <v>187425</v>
      </c>
      <c r="CY128" s="229">
        <v>7.3000000000000001E-3</v>
      </c>
      <c r="CZ128" s="228">
        <v>22.7</v>
      </c>
      <c r="DA128" s="228">
        <v>23.66</v>
      </c>
      <c r="DB128" s="228">
        <v>-0.96</v>
      </c>
      <c r="DC128" s="228">
        <v>-0.96</v>
      </c>
      <c r="DD128" s="228">
        <v>38.72</v>
      </c>
      <c r="DE128" s="228">
        <v>38.82</v>
      </c>
      <c r="DF128" s="228">
        <v>-16.02</v>
      </c>
      <c r="DG128" s="228">
        <v>-0.1</v>
      </c>
      <c r="DH128" s="228">
        <v>22.54</v>
      </c>
      <c r="DI128" s="228">
        <v>23.55</v>
      </c>
      <c r="DJ128" s="228">
        <v>-1.01</v>
      </c>
      <c r="DK128" s="228">
        <v>-1.01</v>
      </c>
      <c r="DL128" s="228">
        <v>23.13</v>
      </c>
      <c r="DM128" s="228">
        <v>23.87</v>
      </c>
      <c r="DN128" s="228">
        <v>-0.74</v>
      </c>
      <c r="DO128" s="228">
        <v>-0.74</v>
      </c>
      <c r="DP128" s="228">
        <v>0.85</v>
      </c>
      <c r="DQ128" s="228">
        <v>0.89</v>
      </c>
      <c r="DR128" s="228">
        <v>-0.04</v>
      </c>
      <c r="DS128" s="229">
        <v>-4.4900000000000002E-2</v>
      </c>
      <c r="DT128" s="231">
        <v>1060</v>
      </c>
      <c r="DU128" s="231">
        <v>1040</v>
      </c>
      <c r="DV128" s="228">
        <v>0.37</v>
      </c>
      <c r="DW128" s="228">
        <v>0.55000000000000004</v>
      </c>
      <c r="DX128" s="228">
        <v>-0.18</v>
      </c>
      <c r="DY128" s="229">
        <v>-0.32729999999999998</v>
      </c>
      <c r="DZ128" s="229">
        <v>1.52E-2</v>
      </c>
      <c r="EA128" s="230">
        <v>321300</v>
      </c>
      <c r="EB128" s="229">
        <v>4.7999999999999996E-3</v>
      </c>
      <c r="EC128" s="229">
        <v>1.52E-2</v>
      </c>
      <c r="ED128" s="228">
        <v>5.84</v>
      </c>
      <c r="EE128" s="229">
        <v>5.5999999999999999E-3</v>
      </c>
      <c r="EF128" s="230">
        <v>712183</v>
      </c>
      <c r="EG128" s="230">
        <v>788087</v>
      </c>
      <c r="EH128" s="229">
        <v>-9.6299999999999997E-2</v>
      </c>
      <c r="EI128" s="229">
        <v>0.57430000000000003</v>
      </c>
      <c r="EJ128" s="231">
        <v>22631.07</v>
      </c>
      <c r="EK128" s="231">
        <v>8081.49</v>
      </c>
      <c r="EL128" s="231">
        <v>12264.87</v>
      </c>
      <c r="EM128" s="231">
        <v>18058</v>
      </c>
      <c r="EN128" s="231">
        <v>42977.43</v>
      </c>
      <c r="EO128" s="231">
        <v>61280.25</v>
      </c>
      <c r="EP128" s="231">
        <v>-18302.82</v>
      </c>
      <c r="EQ128" s="229">
        <v>-0.29870000000000002</v>
      </c>
      <c r="ER128" s="231">
        <v>24629</v>
      </c>
      <c r="ES128" s="231">
        <v>19996</v>
      </c>
      <c r="ET128" s="231">
        <v>230820</v>
      </c>
      <c r="EU128" s="231">
        <v>111218809</v>
      </c>
      <c r="EV128" s="231">
        <v>275445</v>
      </c>
      <c r="EW128" s="231">
        <v>272718</v>
      </c>
      <c r="EX128" s="231">
        <v>2727</v>
      </c>
      <c r="EY128" s="229">
        <v>0.01</v>
      </c>
      <c r="EZ128" s="229">
        <v>0.23400000000000001</v>
      </c>
      <c r="FA128" s="227" t="s">
        <v>556</v>
      </c>
      <c r="FB128" s="161">
        <f t="shared" si="1"/>
        <v>332850</v>
      </c>
    </row>
    <row r="129" spans="1:158" ht="17.25" hidden="1" thickBot="1" x14ac:dyDescent="0.3">
      <c r="A129" s="226">
        <v>46023</v>
      </c>
      <c r="B129" s="227" t="s">
        <v>215</v>
      </c>
      <c r="C129" s="227" t="s">
        <v>673</v>
      </c>
      <c r="D129" s="228">
        <v>200</v>
      </c>
      <c r="E129" s="231">
        <v>2493.5</v>
      </c>
      <c r="F129" s="231">
        <v>2504.9</v>
      </c>
      <c r="G129" s="228">
        <v>-11.4</v>
      </c>
      <c r="H129" s="229">
        <v>-4.5999999999999999E-3</v>
      </c>
      <c r="I129" s="231">
        <v>2476.6999999999998</v>
      </c>
      <c r="J129" s="231">
        <v>2490.1999999999998</v>
      </c>
      <c r="K129" s="228">
        <v>-13.5</v>
      </c>
      <c r="L129" s="229">
        <v>-5.4000000000000003E-3</v>
      </c>
      <c r="M129" s="231">
        <v>2493.5</v>
      </c>
      <c r="N129" s="231">
        <v>2504.9</v>
      </c>
      <c r="O129" s="228">
        <v>-11.4</v>
      </c>
      <c r="P129" s="229">
        <v>-4.5999999999999999E-3</v>
      </c>
      <c r="Q129" s="231">
        <v>2511.5</v>
      </c>
      <c r="R129" s="231">
        <v>2519.1</v>
      </c>
      <c r="S129" s="228">
        <v>-7.6</v>
      </c>
      <c r="T129" s="229">
        <v>-3.0000000000000001E-3</v>
      </c>
      <c r="U129" s="231">
        <v>2523.3000000000002</v>
      </c>
      <c r="V129" s="231">
        <v>2533.9</v>
      </c>
      <c r="W129" s="228">
        <v>-10.6</v>
      </c>
      <c r="X129" s="229">
        <v>-4.1999999999999997E-3</v>
      </c>
      <c r="Y129" s="228">
        <v>16.8</v>
      </c>
      <c r="Z129" s="228">
        <v>14.7</v>
      </c>
      <c r="AA129" s="228">
        <v>2.1</v>
      </c>
      <c r="AB129" s="229">
        <v>6.7999999999999996E-3</v>
      </c>
      <c r="AC129" s="228">
        <v>16.8</v>
      </c>
      <c r="AD129" s="228">
        <v>14.7</v>
      </c>
      <c r="AE129" s="228">
        <v>2.1</v>
      </c>
      <c r="AF129" s="229">
        <v>6.7999999999999996E-3</v>
      </c>
      <c r="AG129" s="228">
        <v>34.799999999999997</v>
      </c>
      <c r="AH129" s="228">
        <v>28.9</v>
      </c>
      <c r="AI129" s="228">
        <v>5.9</v>
      </c>
      <c r="AJ129" s="229">
        <v>1.41E-2</v>
      </c>
      <c r="AK129" s="228">
        <v>46.6</v>
      </c>
      <c r="AL129" s="228">
        <v>43.7</v>
      </c>
      <c r="AM129" s="228">
        <v>2.9</v>
      </c>
      <c r="AN129" s="229">
        <v>1.8800000000000001E-2</v>
      </c>
      <c r="AO129" s="231">
        <v>2484.73</v>
      </c>
      <c r="AP129" s="231">
        <v>2496.48</v>
      </c>
      <c r="AQ129" s="228">
        <v>0</v>
      </c>
      <c r="AR129" s="230">
        <v>618000</v>
      </c>
      <c r="AS129" s="230">
        <v>827600</v>
      </c>
      <c r="AT129" s="230">
        <v>-209600</v>
      </c>
      <c r="AU129" s="229">
        <v>-0.25330000000000003</v>
      </c>
      <c r="AV129" s="230">
        <v>550800</v>
      </c>
      <c r="AW129" s="230">
        <v>794400</v>
      </c>
      <c r="AX129" s="230">
        <v>-243600</v>
      </c>
      <c r="AY129" s="229">
        <v>-0.30659999999999998</v>
      </c>
      <c r="AZ129" s="230">
        <v>54000</v>
      </c>
      <c r="BA129" s="230">
        <v>31200</v>
      </c>
      <c r="BB129" s="230">
        <v>22800</v>
      </c>
      <c r="BC129" s="229">
        <v>0.73080000000000001</v>
      </c>
      <c r="BD129" s="230">
        <v>13200</v>
      </c>
      <c r="BE129" s="230">
        <v>2000</v>
      </c>
      <c r="BF129" s="230">
        <v>11200</v>
      </c>
      <c r="BG129" s="229">
        <v>5.6</v>
      </c>
      <c r="BH129" s="230">
        <v>2448200</v>
      </c>
      <c r="BI129" s="230">
        <v>4318600</v>
      </c>
      <c r="BJ129" s="230">
        <v>-1870400</v>
      </c>
      <c r="BK129" s="229">
        <v>-0.43309999999999998</v>
      </c>
      <c r="BL129" s="230">
        <v>964400</v>
      </c>
      <c r="BM129" s="230">
        <v>1549800</v>
      </c>
      <c r="BN129" s="230">
        <v>-585400</v>
      </c>
      <c r="BO129" s="229">
        <v>-0.37769999999999998</v>
      </c>
      <c r="BP129" s="230">
        <v>4030600</v>
      </c>
      <c r="BQ129" s="230">
        <v>6696000</v>
      </c>
      <c r="BR129" s="230">
        <v>-2665400</v>
      </c>
      <c r="BS129" s="229">
        <v>-0.39810000000000001</v>
      </c>
      <c r="BT129" s="230">
        <v>872607</v>
      </c>
      <c r="BU129" s="230">
        <v>977692</v>
      </c>
      <c r="BV129" s="230">
        <v>-105085</v>
      </c>
      <c r="BW129" s="229">
        <v>-0.1075</v>
      </c>
      <c r="BX129" s="230">
        <v>5193400</v>
      </c>
      <c r="BY129" s="230">
        <v>5184600</v>
      </c>
      <c r="BZ129" s="230">
        <v>8800</v>
      </c>
      <c r="CA129" s="229">
        <v>1.6999999999999999E-3</v>
      </c>
      <c r="CB129" s="230">
        <v>4936800</v>
      </c>
      <c r="CC129" s="230">
        <v>4951000</v>
      </c>
      <c r="CD129" s="230">
        <v>-14200</v>
      </c>
      <c r="CE129" s="229">
        <v>-2.8999999999999998E-3</v>
      </c>
      <c r="CF129" s="230">
        <v>249200</v>
      </c>
      <c r="CG129" s="230">
        <v>231600</v>
      </c>
      <c r="CH129" s="230">
        <v>17600</v>
      </c>
      <c r="CI129" s="229">
        <v>7.5999999999999998E-2</v>
      </c>
      <c r="CJ129" s="230">
        <v>7400</v>
      </c>
      <c r="CK129" s="230">
        <v>2000</v>
      </c>
      <c r="CL129" s="230">
        <v>5400</v>
      </c>
      <c r="CM129" s="229">
        <v>2.7</v>
      </c>
      <c r="CN129" s="230">
        <v>3726800</v>
      </c>
      <c r="CO129" s="230">
        <v>3522800</v>
      </c>
      <c r="CP129" s="230">
        <v>204000</v>
      </c>
      <c r="CQ129" s="229">
        <v>5.79E-2</v>
      </c>
      <c r="CR129" s="230">
        <v>1829200</v>
      </c>
      <c r="CS129" s="230">
        <v>1802600</v>
      </c>
      <c r="CT129" s="230">
        <v>26600</v>
      </c>
      <c r="CU129" s="229">
        <v>1.4800000000000001E-2</v>
      </c>
      <c r="CV129" s="230">
        <v>10749400</v>
      </c>
      <c r="CW129" s="230">
        <v>10510000</v>
      </c>
      <c r="CX129" s="230">
        <v>239400</v>
      </c>
      <c r="CY129" s="229">
        <v>2.2800000000000001E-2</v>
      </c>
      <c r="CZ129" s="228">
        <v>32.729999999999997</v>
      </c>
      <c r="DA129" s="228">
        <v>33.17</v>
      </c>
      <c r="DB129" s="228">
        <v>-0.44</v>
      </c>
      <c r="DC129" s="228">
        <v>-0.44</v>
      </c>
      <c r="DD129" s="228">
        <v>54.77</v>
      </c>
      <c r="DE129" s="228">
        <v>54.9</v>
      </c>
      <c r="DF129" s="228">
        <v>-22.04</v>
      </c>
      <c r="DG129" s="228">
        <v>-0.13</v>
      </c>
      <c r="DH129" s="228">
        <v>33.049999999999997</v>
      </c>
      <c r="DI129" s="228">
        <v>33.28</v>
      </c>
      <c r="DJ129" s="228">
        <v>-0.23</v>
      </c>
      <c r="DK129" s="228">
        <v>-0.23</v>
      </c>
      <c r="DL129" s="228">
        <v>31.92</v>
      </c>
      <c r="DM129" s="228">
        <v>32.869999999999997</v>
      </c>
      <c r="DN129" s="228">
        <v>-0.95</v>
      </c>
      <c r="DO129" s="228">
        <v>-0.95</v>
      </c>
      <c r="DP129" s="228">
        <v>0.49</v>
      </c>
      <c r="DQ129" s="228">
        <v>0.51</v>
      </c>
      <c r="DR129" s="228">
        <v>-0.02</v>
      </c>
      <c r="DS129" s="229">
        <v>-3.9199999999999999E-2</v>
      </c>
      <c r="DT129" s="231">
        <v>2600</v>
      </c>
      <c r="DU129" s="231">
        <v>2400</v>
      </c>
      <c r="DV129" s="228">
        <v>0.39</v>
      </c>
      <c r="DW129" s="228">
        <v>0.36</v>
      </c>
      <c r="DX129" s="228">
        <v>0.03</v>
      </c>
      <c r="DY129" s="229">
        <v>8.3299999999999999E-2</v>
      </c>
      <c r="DZ129" s="229">
        <v>4.9399999999999999E-2</v>
      </c>
      <c r="EA129" s="230">
        <v>233600</v>
      </c>
      <c r="EB129" s="229">
        <v>7.1999999999999998E-3</v>
      </c>
      <c r="EC129" s="229">
        <v>4.9399999999999999E-2</v>
      </c>
      <c r="ED129" s="228">
        <v>11.75</v>
      </c>
      <c r="EE129" s="229">
        <v>4.7000000000000002E-3</v>
      </c>
      <c r="EF129" s="230">
        <v>252137</v>
      </c>
      <c r="EG129" s="230">
        <v>225918</v>
      </c>
      <c r="EH129" s="229">
        <v>0.11609999999999999</v>
      </c>
      <c r="EI129" s="229">
        <v>0.28889999999999999</v>
      </c>
      <c r="EJ129" s="231">
        <v>65487.88</v>
      </c>
      <c r="EK129" s="231">
        <v>23874.73</v>
      </c>
      <c r="EL129" s="231">
        <v>15365.49</v>
      </c>
      <c r="EM129" s="231">
        <v>19093</v>
      </c>
      <c r="EN129" s="231">
        <v>104728.1</v>
      </c>
      <c r="EO129" s="231">
        <v>174386.3</v>
      </c>
      <c r="EP129" s="231">
        <v>-69658.2</v>
      </c>
      <c r="EQ129" s="229">
        <v>-0.39939999999999998</v>
      </c>
      <c r="ER129" s="231">
        <v>101600</v>
      </c>
      <c r="ES129" s="231">
        <v>45309</v>
      </c>
      <c r="ET129" s="231">
        <v>129544</v>
      </c>
      <c r="EU129" s="231">
        <v>11364224</v>
      </c>
      <c r="EV129" s="231">
        <v>276453</v>
      </c>
      <c r="EW129" s="231">
        <v>270911</v>
      </c>
      <c r="EX129" s="231">
        <v>5542</v>
      </c>
      <c r="EY129" s="229">
        <v>2.0500000000000001E-2</v>
      </c>
      <c r="EZ129" s="229">
        <v>0.94589999999999996</v>
      </c>
      <c r="FA129" s="227" t="s">
        <v>567</v>
      </c>
      <c r="FB129" s="161">
        <f t="shared" si="1"/>
        <v>256600</v>
      </c>
    </row>
    <row r="130" spans="1:158" ht="17.25" hidden="1" thickBot="1" x14ac:dyDescent="0.3">
      <c r="A130" s="226">
        <v>46023</v>
      </c>
      <c r="B130" s="227" t="s">
        <v>175</v>
      </c>
      <c r="C130" s="227" t="s">
        <v>517</v>
      </c>
      <c r="D130" s="228">
        <v>125</v>
      </c>
      <c r="E130" s="231">
        <v>11063</v>
      </c>
      <c r="F130" s="231">
        <v>11195</v>
      </c>
      <c r="G130" s="228">
        <v>-132</v>
      </c>
      <c r="H130" s="229">
        <v>-1.18E-2</v>
      </c>
      <c r="I130" s="231">
        <v>10989</v>
      </c>
      <c r="J130" s="231">
        <v>11136</v>
      </c>
      <c r="K130" s="228">
        <v>-147</v>
      </c>
      <c r="L130" s="229">
        <v>-1.32E-2</v>
      </c>
      <c r="M130" s="231">
        <v>11063</v>
      </c>
      <c r="N130" s="231">
        <v>11195</v>
      </c>
      <c r="O130" s="228">
        <v>-132</v>
      </c>
      <c r="P130" s="229">
        <v>-1.18E-2</v>
      </c>
      <c r="Q130" s="231">
        <v>11129</v>
      </c>
      <c r="R130" s="231">
        <v>11260</v>
      </c>
      <c r="S130" s="228">
        <v>-131</v>
      </c>
      <c r="T130" s="229">
        <v>-1.1599999999999999E-2</v>
      </c>
      <c r="U130" s="231">
        <v>11186</v>
      </c>
      <c r="V130" s="231">
        <v>11331</v>
      </c>
      <c r="W130" s="228">
        <v>-145</v>
      </c>
      <c r="X130" s="229">
        <v>-1.2800000000000001E-2</v>
      </c>
      <c r="Y130" s="228">
        <v>74</v>
      </c>
      <c r="Z130" s="228">
        <v>59</v>
      </c>
      <c r="AA130" s="228">
        <v>15</v>
      </c>
      <c r="AB130" s="229">
        <v>6.7000000000000002E-3</v>
      </c>
      <c r="AC130" s="228">
        <v>74</v>
      </c>
      <c r="AD130" s="228">
        <v>59</v>
      </c>
      <c r="AE130" s="228">
        <v>15</v>
      </c>
      <c r="AF130" s="229">
        <v>6.7000000000000002E-3</v>
      </c>
      <c r="AG130" s="228">
        <v>140</v>
      </c>
      <c r="AH130" s="228">
        <v>124</v>
      </c>
      <c r="AI130" s="228">
        <v>16</v>
      </c>
      <c r="AJ130" s="229">
        <v>1.2699999999999999E-2</v>
      </c>
      <c r="AK130" s="228">
        <v>197</v>
      </c>
      <c r="AL130" s="228">
        <v>195</v>
      </c>
      <c r="AM130" s="228">
        <v>2</v>
      </c>
      <c r="AN130" s="229">
        <v>1.7899999999999999E-2</v>
      </c>
      <c r="AO130" s="231">
        <v>11077.52</v>
      </c>
      <c r="AP130" s="231">
        <v>11139.84</v>
      </c>
      <c r="AQ130" s="228">
        <v>0</v>
      </c>
      <c r="AR130" s="230">
        <v>502125</v>
      </c>
      <c r="AS130" s="230">
        <v>895000</v>
      </c>
      <c r="AT130" s="230">
        <v>-392875</v>
      </c>
      <c r="AU130" s="229">
        <v>-0.439</v>
      </c>
      <c r="AV130" s="230">
        <v>480500</v>
      </c>
      <c r="AW130" s="230">
        <v>852375</v>
      </c>
      <c r="AX130" s="230">
        <v>-371875</v>
      </c>
      <c r="AY130" s="229">
        <v>-0.43630000000000002</v>
      </c>
      <c r="AZ130" s="230">
        <v>18250</v>
      </c>
      <c r="BA130" s="230">
        <v>40125</v>
      </c>
      <c r="BB130" s="230">
        <v>-21875</v>
      </c>
      <c r="BC130" s="229">
        <v>-0.54520000000000002</v>
      </c>
      <c r="BD130" s="230">
        <v>3375</v>
      </c>
      <c r="BE130" s="230">
        <v>2500</v>
      </c>
      <c r="BF130" s="228">
        <v>875</v>
      </c>
      <c r="BG130" s="229">
        <v>0.35</v>
      </c>
      <c r="BH130" s="230">
        <v>2223500</v>
      </c>
      <c r="BI130" s="230">
        <v>5684875</v>
      </c>
      <c r="BJ130" s="230">
        <v>-3461375</v>
      </c>
      <c r="BK130" s="229">
        <v>-0.6089</v>
      </c>
      <c r="BL130" s="230">
        <v>1954250</v>
      </c>
      <c r="BM130" s="230">
        <v>2588125</v>
      </c>
      <c r="BN130" s="230">
        <v>-633875</v>
      </c>
      <c r="BO130" s="229">
        <v>-0.24490000000000001</v>
      </c>
      <c r="BP130" s="230">
        <v>4679875</v>
      </c>
      <c r="BQ130" s="230">
        <v>9168000</v>
      </c>
      <c r="BR130" s="230">
        <v>-4488125</v>
      </c>
      <c r="BS130" s="229">
        <v>-0.48949999999999999</v>
      </c>
      <c r="BT130" s="230">
        <v>283322</v>
      </c>
      <c r="BU130" s="230">
        <v>467973</v>
      </c>
      <c r="BV130" s="230">
        <v>-184651</v>
      </c>
      <c r="BW130" s="229">
        <v>-0.39460000000000001</v>
      </c>
      <c r="BX130" s="230">
        <v>2891375</v>
      </c>
      <c r="BY130" s="230">
        <v>2829000</v>
      </c>
      <c r="BZ130" s="230">
        <v>62375</v>
      </c>
      <c r="CA130" s="229">
        <v>2.1999999999999999E-2</v>
      </c>
      <c r="CB130" s="230">
        <v>2794000</v>
      </c>
      <c r="CC130" s="230">
        <v>2733375</v>
      </c>
      <c r="CD130" s="230">
        <v>60625</v>
      </c>
      <c r="CE130" s="229">
        <v>2.2200000000000001E-2</v>
      </c>
      <c r="CF130" s="230">
        <v>93625</v>
      </c>
      <c r="CG130" s="230">
        <v>94000</v>
      </c>
      <c r="CH130" s="228">
        <v>-375</v>
      </c>
      <c r="CI130" s="229">
        <v>-4.0000000000000001E-3</v>
      </c>
      <c r="CJ130" s="230">
        <v>3750</v>
      </c>
      <c r="CK130" s="230">
        <v>1625</v>
      </c>
      <c r="CL130" s="230">
        <v>2125</v>
      </c>
      <c r="CM130" s="229">
        <v>1.3077000000000001</v>
      </c>
      <c r="CN130" s="230">
        <v>1875375</v>
      </c>
      <c r="CO130" s="230">
        <v>1702625</v>
      </c>
      <c r="CP130" s="230">
        <v>172750</v>
      </c>
      <c r="CQ130" s="229">
        <v>0.10150000000000001</v>
      </c>
      <c r="CR130" s="230">
        <v>1246500</v>
      </c>
      <c r="CS130" s="230">
        <v>1167875</v>
      </c>
      <c r="CT130" s="230">
        <v>78625</v>
      </c>
      <c r="CU130" s="229">
        <v>6.7299999999999999E-2</v>
      </c>
      <c r="CV130" s="230">
        <v>6013250</v>
      </c>
      <c r="CW130" s="230">
        <v>5699500</v>
      </c>
      <c r="CX130" s="230">
        <v>313750</v>
      </c>
      <c r="CY130" s="229">
        <v>5.5E-2</v>
      </c>
      <c r="CZ130" s="228">
        <v>32.07</v>
      </c>
      <c r="DA130" s="228">
        <v>31.38</v>
      </c>
      <c r="DB130" s="228">
        <v>0.69</v>
      </c>
      <c r="DC130" s="228">
        <v>0.69</v>
      </c>
      <c r="DD130" s="228">
        <v>44.9</v>
      </c>
      <c r="DE130" s="228">
        <v>44.98</v>
      </c>
      <c r="DF130" s="228">
        <v>-12.83</v>
      </c>
      <c r="DG130" s="228">
        <v>-0.08</v>
      </c>
      <c r="DH130" s="228">
        <v>31.41</v>
      </c>
      <c r="DI130" s="228">
        <v>30.9</v>
      </c>
      <c r="DJ130" s="228">
        <v>0.51</v>
      </c>
      <c r="DK130" s="228">
        <v>0.51</v>
      </c>
      <c r="DL130" s="228">
        <v>32.83</v>
      </c>
      <c r="DM130" s="228">
        <v>32.43</v>
      </c>
      <c r="DN130" s="228">
        <v>0.4</v>
      </c>
      <c r="DO130" s="228">
        <v>0.4</v>
      </c>
      <c r="DP130" s="228">
        <v>0.66</v>
      </c>
      <c r="DQ130" s="228">
        <v>0.69</v>
      </c>
      <c r="DR130" s="228">
        <v>-0.03</v>
      </c>
      <c r="DS130" s="229">
        <v>-4.3499999999999997E-2</v>
      </c>
      <c r="DT130" s="231">
        <v>12000</v>
      </c>
      <c r="DU130" s="231">
        <v>10000</v>
      </c>
      <c r="DV130" s="228">
        <v>0.88</v>
      </c>
      <c r="DW130" s="228">
        <v>0.46</v>
      </c>
      <c r="DX130" s="228">
        <v>0.42</v>
      </c>
      <c r="DY130" s="229">
        <v>0.91300000000000003</v>
      </c>
      <c r="DZ130" s="229">
        <v>3.3700000000000001E-2</v>
      </c>
      <c r="EA130" s="230">
        <v>95625</v>
      </c>
      <c r="EB130" s="229">
        <v>6.0000000000000001E-3</v>
      </c>
      <c r="EC130" s="229">
        <v>3.3700000000000001E-2</v>
      </c>
      <c r="ED130" s="228">
        <v>62.32</v>
      </c>
      <c r="EE130" s="229">
        <v>5.5999999999999999E-3</v>
      </c>
      <c r="EF130" s="230">
        <v>110303</v>
      </c>
      <c r="EG130" s="230">
        <v>139779</v>
      </c>
      <c r="EH130" s="229">
        <v>-0.2109</v>
      </c>
      <c r="EI130" s="229">
        <v>0.38929999999999998</v>
      </c>
      <c r="EJ130" s="231">
        <v>261679.57</v>
      </c>
      <c r="EK130" s="231">
        <v>208971.96</v>
      </c>
      <c r="EL130" s="231">
        <v>55638.7</v>
      </c>
      <c r="EM130" s="231">
        <v>14224</v>
      </c>
      <c r="EN130" s="231">
        <v>526290.23</v>
      </c>
      <c r="EO130" s="231">
        <v>1053168.32</v>
      </c>
      <c r="EP130" s="231">
        <v>-526878.09</v>
      </c>
      <c r="EQ130" s="229">
        <v>-0.50029999999999997</v>
      </c>
      <c r="ER130" s="231">
        <v>213920</v>
      </c>
      <c r="ES130" s="231">
        <v>129171</v>
      </c>
      <c r="ET130" s="231">
        <v>319939</v>
      </c>
      <c r="EU130" s="231">
        <v>38177110</v>
      </c>
      <c r="EV130" s="231">
        <v>663030</v>
      </c>
      <c r="EW130" s="231">
        <v>632191</v>
      </c>
      <c r="EX130" s="231">
        <v>30839</v>
      </c>
      <c r="EY130" s="229">
        <v>4.8800000000000003E-2</v>
      </c>
      <c r="EZ130" s="229">
        <v>0.1575</v>
      </c>
      <c r="FA130" s="227" t="s">
        <v>567</v>
      </c>
      <c r="FB130" s="161">
        <f t="shared" si="1"/>
        <v>97375</v>
      </c>
    </row>
    <row r="131" spans="1:158" ht="17.25" hidden="1" thickBot="1" x14ac:dyDescent="0.3">
      <c r="A131" s="226">
        <v>46023</v>
      </c>
      <c r="B131" s="227" t="s">
        <v>175</v>
      </c>
      <c r="C131" s="227" t="s">
        <v>257</v>
      </c>
      <c r="D131" s="228">
        <v>400</v>
      </c>
      <c r="E131" s="231">
        <v>1682.2</v>
      </c>
      <c r="F131" s="231">
        <v>1683.1</v>
      </c>
      <c r="G131" s="228">
        <v>-0.9</v>
      </c>
      <c r="H131" s="229">
        <v>-5.0000000000000001E-4</v>
      </c>
      <c r="I131" s="231">
        <v>1674</v>
      </c>
      <c r="J131" s="231">
        <v>1671.8</v>
      </c>
      <c r="K131" s="228">
        <v>2.2000000000000002</v>
      </c>
      <c r="L131" s="229">
        <v>1.2999999999999999E-3</v>
      </c>
      <c r="M131" s="231">
        <v>1682.2</v>
      </c>
      <c r="N131" s="231">
        <v>1683.1</v>
      </c>
      <c r="O131" s="228">
        <v>-0.9</v>
      </c>
      <c r="P131" s="229">
        <v>-5.0000000000000001E-4</v>
      </c>
      <c r="Q131" s="231">
        <v>1691.3</v>
      </c>
      <c r="R131" s="231">
        <v>1696.8</v>
      </c>
      <c r="S131" s="228">
        <v>-5.5</v>
      </c>
      <c r="T131" s="229">
        <v>-3.2000000000000002E-3</v>
      </c>
      <c r="U131" s="231">
        <v>1690.6</v>
      </c>
      <c r="V131" s="231">
        <v>1690.6</v>
      </c>
      <c r="W131" s="228">
        <v>0</v>
      </c>
      <c r="X131" s="229">
        <v>0</v>
      </c>
      <c r="Y131" s="228">
        <v>8.1999999999999993</v>
      </c>
      <c r="Z131" s="228">
        <v>11.3</v>
      </c>
      <c r="AA131" s="228">
        <v>-3.1</v>
      </c>
      <c r="AB131" s="229">
        <v>4.8999999999999998E-3</v>
      </c>
      <c r="AC131" s="228">
        <v>8.1999999999999993</v>
      </c>
      <c r="AD131" s="228">
        <v>11.3</v>
      </c>
      <c r="AE131" s="228">
        <v>-3.1</v>
      </c>
      <c r="AF131" s="229">
        <v>4.8999999999999998E-3</v>
      </c>
      <c r="AG131" s="228">
        <v>17.3</v>
      </c>
      <c r="AH131" s="228">
        <v>25</v>
      </c>
      <c r="AI131" s="228">
        <v>-7.7</v>
      </c>
      <c r="AJ131" s="229">
        <v>1.03E-2</v>
      </c>
      <c r="AK131" s="228">
        <v>16.600000000000001</v>
      </c>
      <c r="AL131" s="228">
        <v>18.8</v>
      </c>
      <c r="AM131" s="228">
        <v>-2.2000000000000002</v>
      </c>
      <c r="AN131" s="229">
        <v>9.9000000000000008E-3</v>
      </c>
      <c r="AO131" s="231">
        <v>1687.57</v>
      </c>
      <c r="AP131" s="231">
        <v>1694.67</v>
      </c>
      <c r="AQ131" s="228">
        <v>0</v>
      </c>
      <c r="AR131" s="230">
        <v>469600</v>
      </c>
      <c r="AS131" s="230">
        <v>1194000</v>
      </c>
      <c r="AT131" s="230">
        <v>-724400</v>
      </c>
      <c r="AU131" s="229">
        <v>-0.60670000000000002</v>
      </c>
      <c r="AV131" s="230">
        <v>463600</v>
      </c>
      <c r="AW131" s="230">
        <v>1187200</v>
      </c>
      <c r="AX131" s="230">
        <v>-723600</v>
      </c>
      <c r="AY131" s="229">
        <v>-0.60950000000000004</v>
      </c>
      <c r="AZ131" s="230">
        <v>6000</v>
      </c>
      <c r="BA131" s="230">
        <v>6400</v>
      </c>
      <c r="BB131" s="228">
        <v>-400</v>
      </c>
      <c r="BC131" s="229">
        <v>-6.25E-2</v>
      </c>
      <c r="BD131" s="228">
        <v>0</v>
      </c>
      <c r="BE131" s="228">
        <v>400</v>
      </c>
      <c r="BF131" s="228">
        <v>-400</v>
      </c>
      <c r="BG131" s="229">
        <v>-1</v>
      </c>
      <c r="BH131" s="230">
        <v>394400</v>
      </c>
      <c r="BI131" s="230">
        <v>647600</v>
      </c>
      <c r="BJ131" s="230">
        <v>-253200</v>
      </c>
      <c r="BK131" s="229">
        <v>-0.39100000000000001</v>
      </c>
      <c r="BL131" s="230">
        <v>234800</v>
      </c>
      <c r="BM131" s="230">
        <v>628000</v>
      </c>
      <c r="BN131" s="230">
        <v>-393200</v>
      </c>
      <c r="BO131" s="229">
        <v>-0.62609999999999999</v>
      </c>
      <c r="BP131" s="230">
        <v>1098800</v>
      </c>
      <c r="BQ131" s="230">
        <v>2469600</v>
      </c>
      <c r="BR131" s="230">
        <v>-1370800</v>
      </c>
      <c r="BS131" s="229">
        <v>-0.55510000000000004</v>
      </c>
      <c r="BT131" s="230">
        <v>324590</v>
      </c>
      <c r="BU131" s="230">
        <v>701786</v>
      </c>
      <c r="BV131" s="230">
        <v>-377196</v>
      </c>
      <c r="BW131" s="229">
        <v>-0.53749999999999998</v>
      </c>
      <c r="BX131" s="230">
        <v>8500800</v>
      </c>
      <c r="BY131" s="230">
        <v>8534000</v>
      </c>
      <c r="BZ131" s="230">
        <v>-33200</v>
      </c>
      <c r="CA131" s="229">
        <v>-3.8999999999999998E-3</v>
      </c>
      <c r="CB131" s="230">
        <v>8484400</v>
      </c>
      <c r="CC131" s="230">
        <v>8517200</v>
      </c>
      <c r="CD131" s="230">
        <v>-32800</v>
      </c>
      <c r="CE131" s="229">
        <v>-3.8999999999999998E-3</v>
      </c>
      <c r="CF131" s="230">
        <v>16000</v>
      </c>
      <c r="CG131" s="230">
        <v>16400</v>
      </c>
      <c r="CH131" s="228">
        <v>-400</v>
      </c>
      <c r="CI131" s="229">
        <v>-2.4400000000000002E-2</v>
      </c>
      <c r="CJ131" s="228">
        <v>400</v>
      </c>
      <c r="CK131" s="228">
        <v>400</v>
      </c>
      <c r="CL131" s="228">
        <v>0</v>
      </c>
      <c r="CM131" s="229">
        <v>0</v>
      </c>
      <c r="CN131" s="230">
        <v>465600</v>
      </c>
      <c r="CO131" s="230">
        <v>400800</v>
      </c>
      <c r="CP131" s="230">
        <v>64800</v>
      </c>
      <c r="CQ131" s="229">
        <v>0.16170000000000001</v>
      </c>
      <c r="CR131" s="230">
        <v>348000</v>
      </c>
      <c r="CS131" s="230">
        <v>311600</v>
      </c>
      <c r="CT131" s="230">
        <v>36400</v>
      </c>
      <c r="CU131" s="229">
        <v>0.1168</v>
      </c>
      <c r="CV131" s="230">
        <v>9314400</v>
      </c>
      <c r="CW131" s="230">
        <v>9246400</v>
      </c>
      <c r="CX131" s="230">
        <v>68000</v>
      </c>
      <c r="CY131" s="229">
        <v>7.4000000000000003E-3</v>
      </c>
      <c r="CZ131" s="228">
        <v>22.97</v>
      </c>
      <c r="DA131" s="228">
        <v>23.42</v>
      </c>
      <c r="DB131" s="228">
        <v>-0.45</v>
      </c>
      <c r="DC131" s="228">
        <v>-0.45</v>
      </c>
      <c r="DD131" s="228">
        <v>29.53</v>
      </c>
      <c r="DE131" s="228">
        <v>29.6</v>
      </c>
      <c r="DF131" s="228">
        <v>-6.56</v>
      </c>
      <c r="DG131" s="228">
        <v>-7.0000000000000007E-2</v>
      </c>
      <c r="DH131" s="228">
        <v>22.79</v>
      </c>
      <c r="DI131" s="228">
        <v>23.38</v>
      </c>
      <c r="DJ131" s="228">
        <v>-0.59</v>
      </c>
      <c r="DK131" s="228">
        <v>-0.59</v>
      </c>
      <c r="DL131" s="228">
        <v>23.27</v>
      </c>
      <c r="DM131" s="228">
        <v>23.47</v>
      </c>
      <c r="DN131" s="228">
        <v>-0.2</v>
      </c>
      <c r="DO131" s="228">
        <v>-0.2</v>
      </c>
      <c r="DP131" s="228">
        <v>0.75</v>
      </c>
      <c r="DQ131" s="228">
        <v>0.78</v>
      </c>
      <c r="DR131" s="228">
        <v>-0.03</v>
      </c>
      <c r="DS131" s="229">
        <v>-3.85E-2</v>
      </c>
      <c r="DT131" s="231">
        <v>1700</v>
      </c>
      <c r="DU131" s="231">
        <v>1600</v>
      </c>
      <c r="DV131" s="228">
        <v>0.6</v>
      </c>
      <c r="DW131" s="228">
        <v>0.97</v>
      </c>
      <c r="DX131" s="228">
        <v>-0.37</v>
      </c>
      <c r="DY131" s="229">
        <v>-0.38140000000000002</v>
      </c>
      <c r="DZ131" s="229">
        <v>1.9E-3</v>
      </c>
      <c r="EA131" s="230">
        <v>16800</v>
      </c>
      <c r="EB131" s="229">
        <v>5.4000000000000003E-3</v>
      </c>
      <c r="EC131" s="229">
        <v>1.9E-3</v>
      </c>
      <c r="ED131" s="228">
        <v>7.1</v>
      </c>
      <c r="EE131" s="229">
        <v>4.1999999999999997E-3</v>
      </c>
      <c r="EF131" s="230">
        <v>184341</v>
      </c>
      <c r="EG131" s="230">
        <v>405650</v>
      </c>
      <c r="EH131" s="229">
        <v>-0.54559999999999997</v>
      </c>
      <c r="EI131" s="229">
        <v>0.56789999999999996</v>
      </c>
      <c r="EJ131" s="231">
        <v>6883.42</v>
      </c>
      <c r="EK131" s="231">
        <v>3905.62</v>
      </c>
      <c r="EL131" s="231">
        <v>7925.25</v>
      </c>
      <c r="EM131" s="231">
        <v>9892</v>
      </c>
      <c r="EN131" s="231">
        <v>18714.29</v>
      </c>
      <c r="EO131" s="231">
        <v>41856.01</v>
      </c>
      <c r="EP131" s="231">
        <v>-23141.72</v>
      </c>
      <c r="EQ131" s="229">
        <v>-0.55289999999999995</v>
      </c>
      <c r="ER131" s="231">
        <v>8002</v>
      </c>
      <c r="ES131" s="231">
        <v>5640</v>
      </c>
      <c r="ET131" s="231">
        <v>143002</v>
      </c>
      <c r="EU131" s="231">
        <v>33919851</v>
      </c>
      <c r="EV131" s="231">
        <v>156644</v>
      </c>
      <c r="EW131" s="231">
        <v>155582</v>
      </c>
      <c r="EX131" s="231">
        <v>1062</v>
      </c>
      <c r="EY131" s="229">
        <v>6.7999999999999996E-3</v>
      </c>
      <c r="EZ131" s="229">
        <v>0.27460000000000001</v>
      </c>
      <c r="FA131" s="227" t="s">
        <v>568</v>
      </c>
      <c r="FB131" s="161">
        <f t="shared" ref="FB131:FB138" si="2">BX131-CB131</f>
        <v>16400</v>
      </c>
    </row>
    <row r="132" spans="1:158" ht="17.25" hidden="1" thickBot="1" x14ac:dyDescent="0.3">
      <c r="A132" s="226">
        <v>46023</v>
      </c>
      <c r="B132" s="227" t="s">
        <v>181</v>
      </c>
      <c r="C132" s="227" t="s">
        <v>563</v>
      </c>
      <c r="D132" s="228">
        <v>120</v>
      </c>
      <c r="E132" s="231">
        <v>13899.15</v>
      </c>
      <c r="F132" s="231">
        <v>13841.3</v>
      </c>
      <c r="G132" s="228">
        <v>57.85</v>
      </c>
      <c r="H132" s="229">
        <v>4.1999999999999997E-3</v>
      </c>
      <c r="I132" s="231">
        <v>13843.6</v>
      </c>
      <c r="J132" s="231">
        <v>13777.25</v>
      </c>
      <c r="K132" s="228">
        <v>66.349999999999994</v>
      </c>
      <c r="L132" s="229">
        <v>4.7999999999999996E-3</v>
      </c>
      <c r="M132" s="231">
        <v>13899.15</v>
      </c>
      <c r="N132" s="231">
        <v>13841.3</v>
      </c>
      <c r="O132" s="228">
        <v>57.85</v>
      </c>
      <c r="P132" s="229">
        <v>4.1999999999999997E-3</v>
      </c>
      <c r="Q132" s="231">
        <v>13967.5</v>
      </c>
      <c r="R132" s="231">
        <v>13915.8</v>
      </c>
      <c r="S132" s="228">
        <v>51.7</v>
      </c>
      <c r="T132" s="229">
        <v>3.7000000000000002E-3</v>
      </c>
      <c r="U132" s="231">
        <v>14015</v>
      </c>
      <c r="V132" s="231">
        <v>13950.4</v>
      </c>
      <c r="W132" s="228">
        <v>64.599999999999994</v>
      </c>
      <c r="X132" s="229">
        <v>4.5999999999999999E-3</v>
      </c>
      <c r="Y132" s="228">
        <v>55.55</v>
      </c>
      <c r="Z132" s="228">
        <v>64.05</v>
      </c>
      <c r="AA132" s="228">
        <v>-8.5</v>
      </c>
      <c r="AB132" s="229">
        <v>4.0000000000000001E-3</v>
      </c>
      <c r="AC132" s="228">
        <v>55.55</v>
      </c>
      <c r="AD132" s="228">
        <v>64.05</v>
      </c>
      <c r="AE132" s="228">
        <v>-8.5</v>
      </c>
      <c r="AF132" s="229">
        <v>4.0000000000000001E-3</v>
      </c>
      <c r="AG132" s="228">
        <v>123.9</v>
      </c>
      <c r="AH132" s="228">
        <v>138.55000000000001</v>
      </c>
      <c r="AI132" s="228">
        <v>-14.65</v>
      </c>
      <c r="AJ132" s="229">
        <v>8.8999999999999999E-3</v>
      </c>
      <c r="AK132" s="228">
        <v>171.4</v>
      </c>
      <c r="AL132" s="228">
        <v>173.15</v>
      </c>
      <c r="AM132" s="228">
        <v>-1.75</v>
      </c>
      <c r="AN132" s="229">
        <v>1.24E-2</v>
      </c>
      <c r="AO132" s="231">
        <v>13858.25</v>
      </c>
      <c r="AP132" s="231">
        <v>13918.75</v>
      </c>
      <c r="AQ132" s="228">
        <v>0</v>
      </c>
      <c r="AR132" s="230">
        <v>447840</v>
      </c>
      <c r="AS132" s="230">
        <v>928800</v>
      </c>
      <c r="AT132" s="230">
        <v>-480960</v>
      </c>
      <c r="AU132" s="229">
        <v>-0.51780000000000004</v>
      </c>
      <c r="AV132" s="230">
        <v>423360</v>
      </c>
      <c r="AW132" s="230">
        <v>895920</v>
      </c>
      <c r="AX132" s="230">
        <v>-472560</v>
      </c>
      <c r="AY132" s="229">
        <v>-0.52749999999999997</v>
      </c>
      <c r="AZ132" s="230">
        <v>22080</v>
      </c>
      <c r="BA132" s="230">
        <v>26400</v>
      </c>
      <c r="BB132" s="230">
        <v>-4320</v>
      </c>
      <c r="BC132" s="229">
        <v>-0.1636</v>
      </c>
      <c r="BD132" s="230">
        <v>2400</v>
      </c>
      <c r="BE132" s="230">
        <v>6480</v>
      </c>
      <c r="BF132" s="230">
        <v>-4080</v>
      </c>
      <c r="BG132" s="229">
        <v>-0.62960000000000005</v>
      </c>
      <c r="BH132" s="230">
        <v>10006080</v>
      </c>
      <c r="BI132" s="230">
        <v>13770600</v>
      </c>
      <c r="BJ132" s="230">
        <v>-3764520</v>
      </c>
      <c r="BK132" s="229">
        <v>-0.27339999999999998</v>
      </c>
      <c r="BL132" s="230">
        <v>9800640</v>
      </c>
      <c r="BM132" s="230">
        <v>13186320</v>
      </c>
      <c r="BN132" s="230">
        <v>-3385680</v>
      </c>
      <c r="BO132" s="229">
        <v>-0.25679999999999997</v>
      </c>
      <c r="BP132" s="230">
        <v>20254560</v>
      </c>
      <c r="BQ132" s="230">
        <v>27885720</v>
      </c>
      <c r="BR132" s="230">
        <v>-7631160</v>
      </c>
      <c r="BS132" s="229">
        <v>-0.2737</v>
      </c>
      <c r="BT132" s="228">
        <v>0</v>
      </c>
      <c r="BU132" s="228">
        <v>0</v>
      </c>
      <c r="BV132" s="228">
        <v>0</v>
      </c>
      <c r="BW132" s="229">
        <v>0</v>
      </c>
      <c r="BX132" s="230">
        <v>2011320</v>
      </c>
      <c r="BY132" s="230">
        <v>1987440</v>
      </c>
      <c r="BZ132" s="230">
        <v>23880</v>
      </c>
      <c r="CA132" s="229">
        <v>1.2E-2</v>
      </c>
      <c r="CB132" s="230">
        <v>1952400</v>
      </c>
      <c r="CC132" s="230">
        <v>1930800</v>
      </c>
      <c r="CD132" s="230">
        <v>21600</v>
      </c>
      <c r="CE132" s="229">
        <v>1.12E-2</v>
      </c>
      <c r="CF132" s="230">
        <v>54480</v>
      </c>
      <c r="CG132" s="230">
        <v>53040</v>
      </c>
      <c r="CH132" s="230">
        <v>1440</v>
      </c>
      <c r="CI132" s="229">
        <v>2.7099999999999999E-2</v>
      </c>
      <c r="CJ132" s="230">
        <v>4440</v>
      </c>
      <c r="CK132" s="230">
        <v>3600</v>
      </c>
      <c r="CL132" s="228">
        <v>840</v>
      </c>
      <c r="CM132" s="229">
        <v>0.23330000000000001</v>
      </c>
      <c r="CN132" s="230">
        <v>4088400</v>
      </c>
      <c r="CO132" s="230">
        <v>3648240</v>
      </c>
      <c r="CP132" s="230">
        <v>440160</v>
      </c>
      <c r="CQ132" s="229">
        <v>0.1206</v>
      </c>
      <c r="CR132" s="230">
        <v>4727880</v>
      </c>
      <c r="CS132" s="230">
        <v>3945120</v>
      </c>
      <c r="CT132" s="230">
        <v>782760</v>
      </c>
      <c r="CU132" s="229">
        <v>0.19839999999999999</v>
      </c>
      <c r="CV132" s="230">
        <v>10827600</v>
      </c>
      <c r="CW132" s="230">
        <v>9580800</v>
      </c>
      <c r="CX132" s="230">
        <v>1246800</v>
      </c>
      <c r="CY132" s="229">
        <v>0.13009999999999999</v>
      </c>
      <c r="CZ132" s="228">
        <v>14.1</v>
      </c>
      <c r="DA132" s="228">
        <v>14.44</v>
      </c>
      <c r="DB132" s="228">
        <v>-0.34</v>
      </c>
      <c r="DC132" s="228">
        <v>-0.34</v>
      </c>
      <c r="DD132" s="228">
        <v>21.51</v>
      </c>
      <c r="DE132" s="228">
        <v>21.56</v>
      </c>
      <c r="DF132" s="228">
        <v>-7.41</v>
      </c>
      <c r="DG132" s="228">
        <v>-0.05</v>
      </c>
      <c r="DH132" s="228">
        <v>13.36</v>
      </c>
      <c r="DI132" s="228">
        <v>13.79</v>
      </c>
      <c r="DJ132" s="228">
        <v>-0.43</v>
      </c>
      <c r="DK132" s="228">
        <v>-0.43</v>
      </c>
      <c r="DL132" s="228">
        <v>14.85</v>
      </c>
      <c r="DM132" s="228">
        <v>15.12</v>
      </c>
      <c r="DN132" s="228">
        <v>-0.27</v>
      </c>
      <c r="DO132" s="228">
        <v>-0.27</v>
      </c>
      <c r="DP132" s="228">
        <v>1.1599999999999999</v>
      </c>
      <c r="DQ132" s="228">
        <v>1.08</v>
      </c>
      <c r="DR132" s="228">
        <v>0.08</v>
      </c>
      <c r="DS132" s="229">
        <v>7.4099999999999999E-2</v>
      </c>
      <c r="DT132" s="231">
        <v>14000</v>
      </c>
      <c r="DU132" s="231">
        <v>13000</v>
      </c>
      <c r="DV132" s="228">
        <v>0.98</v>
      </c>
      <c r="DW132" s="228">
        <v>0.96</v>
      </c>
      <c r="DX132" s="228">
        <v>0.02</v>
      </c>
      <c r="DY132" s="229">
        <v>2.0799999999999999E-2</v>
      </c>
      <c r="DZ132" s="229">
        <v>2.93E-2</v>
      </c>
      <c r="EA132" s="230">
        <v>56640</v>
      </c>
      <c r="EB132" s="229">
        <v>4.8999999999999998E-3</v>
      </c>
      <c r="EC132" s="229">
        <v>2.93E-2</v>
      </c>
      <c r="ED132" s="228">
        <v>60.5</v>
      </c>
      <c r="EE132" s="229">
        <v>4.4000000000000003E-3</v>
      </c>
      <c r="EF132" s="228">
        <v>0</v>
      </c>
      <c r="EG132" s="228">
        <v>0</v>
      </c>
      <c r="EH132" s="229">
        <v>0</v>
      </c>
      <c r="EI132" s="229">
        <v>0</v>
      </c>
      <c r="EJ132" s="231">
        <v>1423948.13</v>
      </c>
      <c r="EK132" s="231">
        <v>1330440.33</v>
      </c>
      <c r="EL132" s="231">
        <v>62078.87</v>
      </c>
      <c r="EM132" s="228">
        <v>0</v>
      </c>
      <c r="EN132" s="231">
        <v>2816467.33</v>
      </c>
      <c r="EO132" s="231">
        <v>3869386.62</v>
      </c>
      <c r="EP132" s="231">
        <v>-1052919.29</v>
      </c>
      <c r="EQ132" s="229">
        <v>-0.27210000000000001</v>
      </c>
      <c r="ER132" s="231">
        <v>580226</v>
      </c>
      <c r="ES132" s="231">
        <v>631465</v>
      </c>
      <c r="ET132" s="231">
        <v>279599</v>
      </c>
      <c r="EU132" s="228">
        <v>0</v>
      </c>
      <c r="EV132" s="231">
        <v>1491289</v>
      </c>
      <c r="EW132" s="231">
        <v>1319113</v>
      </c>
      <c r="EX132" s="231">
        <v>172176</v>
      </c>
      <c r="EY132" s="229">
        <v>0.1305</v>
      </c>
      <c r="EZ132" s="229">
        <v>0</v>
      </c>
      <c r="FA132" s="227" t="s">
        <v>555</v>
      </c>
      <c r="FB132" s="161">
        <f t="shared" si="2"/>
        <v>58920</v>
      </c>
    </row>
    <row r="133" spans="1:158" ht="17.25" hidden="1" thickBot="1" x14ac:dyDescent="0.3">
      <c r="A133" s="226">
        <v>46023</v>
      </c>
      <c r="B133" s="227" t="s">
        <v>162</v>
      </c>
      <c r="C133" s="227" t="s">
        <v>559</v>
      </c>
      <c r="D133" s="228">
        <v>6150</v>
      </c>
      <c r="E133" s="228">
        <v>123.32</v>
      </c>
      <c r="F133" s="228">
        <v>120.58</v>
      </c>
      <c r="G133" s="228">
        <v>2.74</v>
      </c>
      <c r="H133" s="229">
        <v>2.2700000000000001E-2</v>
      </c>
      <c r="I133" s="228">
        <v>122.52</v>
      </c>
      <c r="J133" s="228">
        <v>119.94</v>
      </c>
      <c r="K133" s="228">
        <v>2.58</v>
      </c>
      <c r="L133" s="229">
        <v>2.1499999999999998E-2</v>
      </c>
      <c r="M133" s="228">
        <v>123.32</v>
      </c>
      <c r="N133" s="228">
        <v>120.58</v>
      </c>
      <c r="O133" s="228">
        <v>2.74</v>
      </c>
      <c r="P133" s="229">
        <v>2.2700000000000001E-2</v>
      </c>
      <c r="Q133" s="228">
        <v>124.06</v>
      </c>
      <c r="R133" s="228">
        <v>121.37</v>
      </c>
      <c r="S133" s="228">
        <v>2.69</v>
      </c>
      <c r="T133" s="229">
        <v>2.2200000000000001E-2</v>
      </c>
      <c r="U133" s="228">
        <v>124.78</v>
      </c>
      <c r="V133" s="228">
        <v>121.55</v>
      </c>
      <c r="W133" s="228">
        <v>3.23</v>
      </c>
      <c r="X133" s="229">
        <v>2.6599999999999999E-2</v>
      </c>
      <c r="Y133" s="228">
        <v>0.8</v>
      </c>
      <c r="Z133" s="228">
        <v>0.64</v>
      </c>
      <c r="AA133" s="228">
        <v>0.16</v>
      </c>
      <c r="AB133" s="229">
        <v>6.4999999999999997E-3</v>
      </c>
      <c r="AC133" s="228">
        <v>0.8</v>
      </c>
      <c r="AD133" s="228">
        <v>0.64</v>
      </c>
      <c r="AE133" s="228">
        <v>0.16</v>
      </c>
      <c r="AF133" s="229">
        <v>6.4999999999999997E-3</v>
      </c>
      <c r="AG133" s="228">
        <v>1.54</v>
      </c>
      <c r="AH133" s="228">
        <v>1.43</v>
      </c>
      <c r="AI133" s="228">
        <v>0.11</v>
      </c>
      <c r="AJ133" s="229">
        <v>1.26E-2</v>
      </c>
      <c r="AK133" s="228">
        <v>2.2599999999999998</v>
      </c>
      <c r="AL133" s="228">
        <v>1.61</v>
      </c>
      <c r="AM133" s="228">
        <v>0.65</v>
      </c>
      <c r="AN133" s="229">
        <v>1.84E-2</v>
      </c>
      <c r="AO133" s="228">
        <v>122.18</v>
      </c>
      <c r="AP133" s="228">
        <v>123</v>
      </c>
      <c r="AQ133" s="228">
        <v>0</v>
      </c>
      <c r="AR133" s="230">
        <v>24415500</v>
      </c>
      <c r="AS133" s="230">
        <v>15860850</v>
      </c>
      <c r="AT133" s="230">
        <v>8554650</v>
      </c>
      <c r="AU133" s="229">
        <v>0.53939999999999999</v>
      </c>
      <c r="AV133" s="230">
        <v>22890300</v>
      </c>
      <c r="AW133" s="230">
        <v>15331950</v>
      </c>
      <c r="AX133" s="230">
        <v>7558350</v>
      </c>
      <c r="AY133" s="229">
        <v>0.49299999999999999</v>
      </c>
      <c r="AZ133" s="230">
        <v>1266900</v>
      </c>
      <c r="BA133" s="230">
        <v>504300</v>
      </c>
      <c r="BB133" s="230">
        <v>762600</v>
      </c>
      <c r="BC133" s="229">
        <v>1.5122</v>
      </c>
      <c r="BD133" s="230">
        <v>258300</v>
      </c>
      <c r="BE133" s="230">
        <v>24600</v>
      </c>
      <c r="BF133" s="230">
        <v>233700</v>
      </c>
      <c r="BG133" s="229">
        <v>9.5</v>
      </c>
      <c r="BH133" s="230">
        <v>62625450</v>
      </c>
      <c r="BI133" s="230">
        <v>28984950</v>
      </c>
      <c r="BJ133" s="230">
        <v>33640500</v>
      </c>
      <c r="BK133" s="229">
        <v>1.1606000000000001</v>
      </c>
      <c r="BL133" s="230">
        <v>20547150</v>
      </c>
      <c r="BM133" s="230">
        <v>10368900</v>
      </c>
      <c r="BN133" s="230">
        <v>10178250</v>
      </c>
      <c r="BO133" s="229">
        <v>0.98160000000000003</v>
      </c>
      <c r="BP133" s="230">
        <v>107588100</v>
      </c>
      <c r="BQ133" s="230">
        <v>55214700</v>
      </c>
      <c r="BR133" s="230">
        <v>52373400</v>
      </c>
      <c r="BS133" s="229">
        <v>0.94850000000000001</v>
      </c>
      <c r="BT133" s="230">
        <v>13617746</v>
      </c>
      <c r="BU133" s="230">
        <v>5914145</v>
      </c>
      <c r="BV133" s="230">
        <v>7703601</v>
      </c>
      <c r="BW133" s="229">
        <v>1.3026</v>
      </c>
      <c r="BX133" s="230">
        <v>156597450</v>
      </c>
      <c r="BY133" s="230">
        <v>153307200</v>
      </c>
      <c r="BZ133" s="230">
        <v>3290250</v>
      </c>
      <c r="CA133" s="229">
        <v>2.1499999999999998E-2</v>
      </c>
      <c r="CB133" s="230">
        <v>154094400</v>
      </c>
      <c r="CC133" s="230">
        <v>151007100</v>
      </c>
      <c r="CD133" s="230">
        <v>3087300</v>
      </c>
      <c r="CE133" s="229">
        <v>2.0400000000000001E-2</v>
      </c>
      <c r="CF133" s="230">
        <v>2293950</v>
      </c>
      <c r="CG133" s="230">
        <v>2275500</v>
      </c>
      <c r="CH133" s="230">
        <v>18450</v>
      </c>
      <c r="CI133" s="229">
        <v>8.0999999999999996E-3</v>
      </c>
      <c r="CJ133" s="230">
        <v>209100</v>
      </c>
      <c r="CK133" s="230">
        <v>24600</v>
      </c>
      <c r="CL133" s="230">
        <v>184500</v>
      </c>
      <c r="CM133" s="229">
        <v>7.5</v>
      </c>
      <c r="CN133" s="230">
        <v>33166950</v>
      </c>
      <c r="CO133" s="230">
        <v>31008300</v>
      </c>
      <c r="CP133" s="230">
        <v>2158650</v>
      </c>
      <c r="CQ133" s="229">
        <v>6.9599999999999995E-2</v>
      </c>
      <c r="CR133" s="230">
        <v>24280200</v>
      </c>
      <c r="CS133" s="230">
        <v>18898950</v>
      </c>
      <c r="CT133" s="230">
        <v>5381250</v>
      </c>
      <c r="CU133" s="229">
        <v>0.28470000000000001</v>
      </c>
      <c r="CV133" s="230">
        <v>214044600</v>
      </c>
      <c r="CW133" s="230">
        <v>203214450</v>
      </c>
      <c r="CX133" s="230">
        <v>10830150</v>
      </c>
      <c r="CY133" s="229">
        <v>5.33E-2</v>
      </c>
      <c r="CZ133" s="228">
        <v>27.63</v>
      </c>
      <c r="DA133" s="228">
        <v>28.36</v>
      </c>
      <c r="DB133" s="228">
        <v>-0.73</v>
      </c>
      <c r="DC133" s="228">
        <v>-0.73</v>
      </c>
      <c r="DD133" s="228">
        <v>38.51</v>
      </c>
      <c r="DE133" s="228">
        <v>38.479999999999997</v>
      </c>
      <c r="DF133" s="228">
        <v>-10.88</v>
      </c>
      <c r="DG133" s="228">
        <v>0.03</v>
      </c>
      <c r="DH133" s="228">
        <v>27.41</v>
      </c>
      <c r="DI133" s="228">
        <v>28.34</v>
      </c>
      <c r="DJ133" s="228">
        <v>-0.93</v>
      </c>
      <c r="DK133" s="228">
        <v>-0.93</v>
      </c>
      <c r="DL133" s="228">
        <v>28.3</v>
      </c>
      <c r="DM133" s="228">
        <v>28.43</v>
      </c>
      <c r="DN133" s="228">
        <v>-0.13</v>
      </c>
      <c r="DO133" s="228">
        <v>-0.13</v>
      </c>
      <c r="DP133" s="228">
        <v>0.73</v>
      </c>
      <c r="DQ133" s="228">
        <v>0.61</v>
      </c>
      <c r="DR133" s="228">
        <v>0.12</v>
      </c>
      <c r="DS133" s="229">
        <v>0.19670000000000001</v>
      </c>
      <c r="DT133" s="228">
        <v>130</v>
      </c>
      <c r="DU133" s="228">
        <v>120</v>
      </c>
      <c r="DV133" s="228">
        <v>0.33</v>
      </c>
      <c r="DW133" s="228">
        <v>0.36</v>
      </c>
      <c r="DX133" s="228">
        <v>-0.03</v>
      </c>
      <c r="DY133" s="229">
        <v>-8.3299999999999999E-2</v>
      </c>
      <c r="DZ133" s="229">
        <v>1.6E-2</v>
      </c>
      <c r="EA133" s="230">
        <v>2300100</v>
      </c>
      <c r="EB133" s="229">
        <v>6.0000000000000001E-3</v>
      </c>
      <c r="EC133" s="229">
        <v>1.6E-2</v>
      </c>
      <c r="ED133" s="228">
        <v>0.82</v>
      </c>
      <c r="EE133" s="229">
        <v>6.7000000000000002E-3</v>
      </c>
      <c r="EF133" s="230">
        <v>5866465</v>
      </c>
      <c r="EG133" s="230">
        <v>3072985</v>
      </c>
      <c r="EH133" s="229">
        <v>0.90900000000000003</v>
      </c>
      <c r="EI133" s="229">
        <v>0.43080000000000002</v>
      </c>
      <c r="EJ133" s="231">
        <v>80055.199999999997</v>
      </c>
      <c r="EK133" s="231">
        <v>24630.14</v>
      </c>
      <c r="EL133" s="231">
        <v>29846.48</v>
      </c>
      <c r="EM133" s="231">
        <v>11244</v>
      </c>
      <c r="EN133" s="231">
        <v>134531.82</v>
      </c>
      <c r="EO133" s="231">
        <v>68232.84</v>
      </c>
      <c r="EP133" s="231">
        <v>66298.98</v>
      </c>
      <c r="EQ133" s="229">
        <v>0.97170000000000001</v>
      </c>
      <c r="ER133" s="231">
        <v>41461</v>
      </c>
      <c r="ES133" s="231">
        <v>28114</v>
      </c>
      <c r="ET133" s="231">
        <v>193136</v>
      </c>
      <c r="EU133" s="231">
        <v>606151620</v>
      </c>
      <c r="EV133" s="231">
        <v>262711</v>
      </c>
      <c r="EW133" s="231">
        <v>245353</v>
      </c>
      <c r="EX133" s="231">
        <v>17358</v>
      </c>
      <c r="EY133" s="229">
        <v>7.0699999999999999E-2</v>
      </c>
      <c r="EZ133" s="229">
        <v>0.35310000000000002</v>
      </c>
      <c r="FA133" s="227" t="s">
        <v>555</v>
      </c>
      <c r="FB133" s="161">
        <f t="shared" si="2"/>
        <v>2503050</v>
      </c>
    </row>
    <row r="134" spans="1:158" ht="17.25" hidden="1" thickBot="1" x14ac:dyDescent="0.3">
      <c r="A134" s="226">
        <v>46023</v>
      </c>
      <c r="B134" s="227" t="s">
        <v>221</v>
      </c>
      <c r="C134" s="227" t="s">
        <v>487</v>
      </c>
      <c r="D134" s="228">
        <v>275</v>
      </c>
      <c r="E134" s="231">
        <v>2838.6</v>
      </c>
      <c r="F134" s="231">
        <v>2802.6</v>
      </c>
      <c r="G134" s="228">
        <v>36</v>
      </c>
      <c r="H134" s="229">
        <v>1.2800000000000001E-2</v>
      </c>
      <c r="I134" s="231">
        <v>2828.6</v>
      </c>
      <c r="J134" s="231">
        <v>2791.2</v>
      </c>
      <c r="K134" s="228">
        <v>37.4</v>
      </c>
      <c r="L134" s="229">
        <v>1.34E-2</v>
      </c>
      <c r="M134" s="231">
        <v>2838.6</v>
      </c>
      <c r="N134" s="231">
        <v>2802.6</v>
      </c>
      <c r="O134" s="228">
        <v>36</v>
      </c>
      <c r="P134" s="229">
        <v>1.2800000000000001E-2</v>
      </c>
      <c r="Q134" s="231">
        <v>2853.5</v>
      </c>
      <c r="R134" s="231">
        <v>2821.1</v>
      </c>
      <c r="S134" s="228">
        <v>32.4</v>
      </c>
      <c r="T134" s="229">
        <v>1.15E-2</v>
      </c>
      <c r="U134" s="228">
        <v>0</v>
      </c>
      <c r="V134" s="228">
        <v>0</v>
      </c>
      <c r="W134" s="228">
        <v>0</v>
      </c>
      <c r="X134" s="229">
        <v>0</v>
      </c>
      <c r="Y134" s="228">
        <v>10</v>
      </c>
      <c r="Z134" s="228">
        <v>11.4</v>
      </c>
      <c r="AA134" s="228">
        <v>-1.4</v>
      </c>
      <c r="AB134" s="229">
        <v>3.5000000000000001E-3</v>
      </c>
      <c r="AC134" s="228">
        <v>10</v>
      </c>
      <c r="AD134" s="228">
        <v>11.4</v>
      </c>
      <c r="AE134" s="228">
        <v>-1.4</v>
      </c>
      <c r="AF134" s="229">
        <v>3.5000000000000001E-3</v>
      </c>
      <c r="AG134" s="228">
        <v>24.9</v>
      </c>
      <c r="AH134" s="228">
        <v>29.9</v>
      </c>
      <c r="AI134" s="228">
        <v>-5</v>
      </c>
      <c r="AJ134" s="229">
        <v>8.8000000000000005E-3</v>
      </c>
      <c r="AK134" s="228">
        <v>0</v>
      </c>
      <c r="AL134" s="228">
        <v>0</v>
      </c>
      <c r="AM134" s="228">
        <v>0</v>
      </c>
      <c r="AN134" s="229">
        <v>0</v>
      </c>
      <c r="AO134" s="231">
        <v>2831.33</v>
      </c>
      <c r="AP134" s="231">
        <v>2844.18</v>
      </c>
      <c r="AQ134" s="228">
        <v>0</v>
      </c>
      <c r="AR134" s="230">
        <v>274175</v>
      </c>
      <c r="AS134" s="230">
        <v>383625</v>
      </c>
      <c r="AT134" s="230">
        <v>-109450</v>
      </c>
      <c r="AU134" s="229">
        <v>-0.2853</v>
      </c>
      <c r="AV134" s="230">
        <v>266750</v>
      </c>
      <c r="AW134" s="230">
        <v>378400</v>
      </c>
      <c r="AX134" s="230">
        <v>-111650</v>
      </c>
      <c r="AY134" s="229">
        <v>-0.29509999999999997</v>
      </c>
      <c r="AZ134" s="230">
        <v>7425</v>
      </c>
      <c r="BA134" s="230">
        <v>5225</v>
      </c>
      <c r="BB134" s="230">
        <v>2200</v>
      </c>
      <c r="BC134" s="229">
        <v>0.42109999999999997</v>
      </c>
      <c r="BD134" s="228">
        <v>0</v>
      </c>
      <c r="BE134" s="228">
        <v>0</v>
      </c>
      <c r="BF134" s="228">
        <v>0</v>
      </c>
      <c r="BG134" s="229">
        <v>0</v>
      </c>
      <c r="BH134" s="230">
        <v>562925</v>
      </c>
      <c r="BI134" s="230">
        <v>627000</v>
      </c>
      <c r="BJ134" s="230">
        <v>-64075</v>
      </c>
      <c r="BK134" s="229">
        <v>-0.1022</v>
      </c>
      <c r="BL134" s="230">
        <v>157575</v>
      </c>
      <c r="BM134" s="230">
        <v>211750</v>
      </c>
      <c r="BN134" s="230">
        <v>-54175</v>
      </c>
      <c r="BO134" s="229">
        <v>-0.25580000000000003</v>
      </c>
      <c r="BP134" s="230">
        <v>994675</v>
      </c>
      <c r="BQ134" s="230">
        <v>1222375</v>
      </c>
      <c r="BR134" s="230">
        <v>-227700</v>
      </c>
      <c r="BS134" s="229">
        <v>-0.18629999999999999</v>
      </c>
      <c r="BT134" s="230">
        <v>98359</v>
      </c>
      <c r="BU134" s="230">
        <v>139617</v>
      </c>
      <c r="BV134" s="230">
        <v>-41258</v>
      </c>
      <c r="BW134" s="229">
        <v>-0.29549999999999998</v>
      </c>
      <c r="BX134" s="230">
        <v>5357550</v>
      </c>
      <c r="BY134" s="230">
        <v>5402650</v>
      </c>
      <c r="BZ134" s="230">
        <v>-45100</v>
      </c>
      <c r="CA134" s="229">
        <v>-8.3000000000000001E-3</v>
      </c>
      <c r="CB134" s="230">
        <v>5320425</v>
      </c>
      <c r="CC134" s="230">
        <v>5367175</v>
      </c>
      <c r="CD134" s="230">
        <v>-46750</v>
      </c>
      <c r="CE134" s="229">
        <v>-8.6999999999999994E-3</v>
      </c>
      <c r="CF134" s="230">
        <v>37125</v>
      </c>
      <c r="CG134" s="230">
        <v>35475</v>
      </c>
      <c r="CH134" s="230">
        <v>1650</v>
      </c>
      <c r="CI134" s="229">
        <v>4.65E-2</v>
      </c>
      <c r="CJ134" s="228">
        <v>0</v>
      </c>
      <c r="CK134" s="228">
        <v>0</v>
      </c>
      <c r="CL134" s="228">
        <v>0</v>
      </c>
      <c r="CM134" s="229">
        <v>0</v>
      </c>
      <c r="CN134" s="230">
        <v>723250</v>
      </c>
      <c r="CO134" s="230">
        <v>695475</v>
      </c>
      <c r="CP134" s="230">
        <v>27775</v>
      </c>
      <c r="CQ134" s="229">
        <v>3.9899999999999998E-2</v>
      </c>
      <c r="CR134" s="230">
        <v>484275</v>
      </c>
      <c r="CS134" s="230">
        <v>471075</v>
      </c>
      <c r="CT134" s="230">
        <v>13200</v>
      </c>
      <c r="CU134" s="229">
        <v>2.8000000000000001E-2</v>
      </c>
      <c r="CV134" s="230">
        <v>6565075</v>
      </c>
      <c r="CW134" s="230">
        <v>6569200</v>
      </c>
      <c r="CX134" s="230">
        <v>-4125</v>
      </c>
      <c r="CY134" s="229">
        <v>-5.9999999999999995E-4</v>
      </c>
      <c r="CZ134" s="228">
        <v>29.93</v>
      </c>
      <c r="DA134" s="228">
        <v>30.78</v>
      </c>
      <c r="DB134" s="228">
        <v>-0.85</v>
      </c>
      <c r="DC134" s="228">
        <v>-0.85</v>
      </c>
      <c r="DD134" s="228">
        <v>35.42</v>
      </c>
      <c r="DE134" s="228">
        <v>35.46</v>
      </c>
      <c r="DF134" s="228">
        <v>-5.49</v>
      </c>
      <c r="DG134" s="228">
        <v>-0.04</v>
      </c>
      <c r="DH134" s="228">
        <v>29.68</v>
      </c>
      <c r="DI134" s="228">
        <v>30.71</v>
      </c>
      <c r="DJ134" s="228">
        <v>-1.03</v>
      </c>
      <c r="DK134" s="228">
        <v>-1.03</v>
      </c>
      <c r="DL134" s="228">
        <v>30.84</v>
      </c>
      <c r="DM134" s="228">
        <v>30.99</v>
      </c>
      <c r="DN134" s="228">
        <v>-0.15</v>
      </c>
      <c r="DO134" s="228">
        <v>-0.15</v>
      </c>
      <c r="DP134" s="228">
        <v>0.67</v>
      </c>
      <c r="DQ134" s="228">
        <v>0.68</v>
      </c>
      <c r="DR134" s="228">
        <v>-0.01</v>
      </c>
      <c r="DS134" s="229">
        <v>-1.47E-2</v>
      </c>
      <c r="DT134" s="231">
        <v>3000</v>
      </c>
      <c r="DU134" s="231">
        <v>2600</v>
      </c>
      <c r="DV134" s="228">
        <v>0.28000000000000003</v>
      </c>
      <c r="DW134" s="228">
        <v>0.34</v>
      </c>
      <c r="DX134" s="228">
        <v>-0.06</v>
      </c>
      <c r="DY134" s="229">
        <v>-0.17649999999999999</v>
      </c>
      <c r="DZ134" s="229">
        <v>6.8999999999999999E-3</v>
      </c>
      <c r="EA134" s="230">
        <v>35475</v>
      </c>
      <c r="EB134" s="229">
        <v>5.1999999999999998E-3</v>
      </c>
      <c r="EC134" s="229">
        <v>6.8999999999999999E-3</v>
      </c>
      <c r="ED134" s="228">
        <v>12.85</v>
      </c>
      <c r="EE134" s="229">
        <v>4.4999999999999997E-3</v>
      </c>
      <c r="EF134" s="230">
        <v>30792</v>
      </c>
      <c r="EG134" s="230">
        <v>73894</v>
      </c>
      <c r="EH134" s="229">
        <v>-0.58330000000000004</v>
      </c>
      <c r="EI134" s="229">
        <v>0.31309999999999999</v>
      </c>
      <c r="EJ134" s="231">
        <v>16856.29</v>
      </c>
      <c r="EK134" s="231">
        <v>4303.49</v>
      </c>
      <c r="EL134" s="231">
        <v>7763.76</v>
      </c>
      <c r="EM134" s="231">
        <v>8336</v>
      </c>
      <c r="EN134" s="231">
        <v>28923.54</v>
      </c>
      <c r="EO134" s="231">
        <v>35324.769999999997</v>
      </c>
      <c r="EP134" s="231">
        <v>-6401.23</v>
      </c>
      <c r="EQ134" s="229">
        <v>-0.1812</v>
      </c>
      <c r="ER134" s="231">
        <v>21485</v>
      </c>
      <c r="ES134" s="231">
        <v>13079</v>
      </c>
      <c r="ET134" s="231">
        <v>152085</v>
      </c>
      <c r="EU134" s="231">
        <v>17093933</v>
      </c>
      <c r="EV134" s="231">
        <v>186649</v>
      </c>
      <c r="EW134" s="231">
        <v>184740</v>
      </c>
      <c r="EX134" s="231">
        <v>1909</v>
      </c>
      <c r="EY134" s="229">
        <v>1.03E-2</v>
      </c>
      <c r="EZ134" s="229">
        <v>0.3841</v>
      </c>
      <c r="FA134" s="227" t="s">
        <v>556</v>
      </c>
      <c r="FB134" s="161">
        <f t="shared" si="2"/>
        <v>37125</v>
      </c>
    </row>
    <row r="135" spans="1:158" ht="17.25" hidden="1" thickBot="1" x14ac:dyDescent="0.3">
      <c r="A135" s="226">
        <v>46023</v>
      </c>
      <c r="B135" s="227" t="s">
        <v>175</v>
      </c>
      <c r="C135" s="227" t="s">
        <v>262</v>
      </c>
      <c r="D135" s="228">
        <v>275</v>
      </c>
      <c r="E135" s="231">
        <v>3857.2</v>
      </c>
      <c r="F135" s="231">
        <v>3834.4</v>
      </c>
      <c r="G135" s="228">
        <v>22.8</v>
      </c>
      <c r="H135" s="229">
        <v>5.8999999999999999E-3</v>
      </c>
      <c r="I135" s="231">
        <v>3839</v>
      </c>
      <c r="J135" s="231">
        <v>3811.7</v>
      </c>
      <c r="K135" s="228">
        <v>27.3</v>
      </c>
      <c r="L135" s="229">
        <v>7.1999999999999998E-3</v>
      </c>
      <c r="M135" s="231">
        <v>3857.2</v>
      </c>
      <c r="N135" s="231">
        <v>3834.4</v>
      </c>
      <c r="O135" s="228">
        <v>22.8</v>
      </c>
      <c r="P135" s="229">
        <v>5.8999999999999999E-3</v>
      </c>
      <c r="Q135" s="231">
        <v>3870.5</v>
      </c>
      <c r="R135" s="231">
        <v>3849.6</v>
      </c>
      <c r="S135" s="228">
        <v>20.9</v>
      </c>
      <c r="T135" s="229">
        <v>5.4000000000000003E-3</v>
      </c>
      <c r="U135" s="231">
        <v>3891</v>
      </c>
      <c r="V135" s="228">
        <v>0</v>
      </c>
      <c r="W135" s="231">
        <v>3891</v>
      </c>
      <c r="X135" s="229">
        <v>0</v>
      </c>
      <c r="Y135" s="228">
        <v>18.2</v>
      </c>
      <c r="Z135" s="228">
        <v>22.7</v>
      </c>
      <c r="AA135" s="228">
        <v>-4.5</v>
      </c>
      <c r="AB135" s="229">
        <v>4.7000000000000002E-3</v>
      </c>
      <c r="AC135" s="228">
        <v>18.2</v>
      </c>
      <c r="AD135" s="228">
        <v>22.7</v>
      </c>
      <c r="AE135" s="228">
        <v>-4.5</v>
      </c>
      <c r="AF135" s="229">
        <v>4.7000000000000002E-3</v>
      </c>
      <c r="AG135" s="228">
        <v>31.5</v>
      </c>
      <c r="AH135" s="228">
        <v>37.9</v>
      </c>
      <c r="AI135" s="228">
        <v>-6.4</v>
      </c>
      <c r="AJ135" s="229">
        <v>8.2000000000000007E-3</v>
      </c>
      <c r="AK135" s="228">
        <v>52</v>
      </c>
      <c r="AL135" s="228">
        <v>0</v>
      </c>
      <c r="AM135" s="228">
        <v>52</v>
      </c>
      <c r="AN135" s="229">
        <v>1.35E-2</v>
      </c>
      <c r="AO135" s="231">
        <v>3834.2</v>
      </c>
      <c r="AP135" s="231">
        <v>3852.36</v>
      </c>
      <c r="AQ135" s="228">
        <v>0</v>
      </c>
      <c r="AR135" s="230">
        <v>492800</v>
      </c>
      <c r="AS135" s="230">
        <v>977900</v>
      </c>
      <c r="AT135" s="230">
        <v>-485100</v>
      </c>
      <c r="AU135" s="229">
        <v>-0.49609999999999999</v>
      </c>
      <c r="AV135" s="230">
        <v>477400</v>
      </c>
      <c r="AW135" s="230">
        <v>948750</v>
      </c>
      <c r="AX135" s="230">
        <v>-471350</v>
      </c>
      <c r="AY135" s="229">
        <v>-0.49680000000000002</v>
      </c>
      <c r="AZ135" s="230">
        <v>15125</v>
      </c>
      <c r="BA135" s="230">
        <v>29150</v>
      </c>
      <c r="BB135" s="230">
        <v>-14025</v>
      </c>
      <c r="BC135" s="229">
        <v>-0.48110000000000003</v>
      </c>
      <c r="BD135" s="228">
        <v>275</v>
      </c>
      <c r="BE135" s="228">
        <v>0</v>
      </c>
      <c r="BF135" s="228">
        <v>275</v>
      </c>
      <c r="BG135" s="229">
        <v>0</v>
      </c>
      <c r="BH135" s="230">
        <v>1749825</v>
      </c>
      <c r="BI135" s="230">
        <v>3535675</v>
      </c>
      <c r="BJ135" s="230">
        <v>-1785850</v>
      </c>
      <c r="BK135" s="229">
        <v>-0.50509999999999999</v>
      </c>
      <c r="BL135" s="230">
        <v>1148675</v>
      </c>
      <c r="BM135" s="230">
        <v>2233825</v>
      </c>
      <c r="BN135" s="230">
        <v>-1085150</v>
      </c>
      <c r="BO135" s="229">
        <v>-0.48580000000000001</v>
      </c>
      <c r="BP135" s="230">
        <v>3391300</v>
      </c>
      <c r="BQ135" s="230">
        <v>6747400</v>
      </c>
      <c r="BR135" s="230">
        <v>-3356100</v>
      </c>
      <c r="BS135" s="229">
        <v>-0.49740000000000001</v>
      </c>
      <c r="BT135" s="230">
        <v>212163</v>
      </c>
      <c r="BU135" s="230">
        <v>349100</v>
      </c>
      <c r="BV135" s="230">
        <v>-136937</v>
      </c>
      <c r="BW135" s="229">
        <v>-0.39229999999999998</v>
      </c>
      <c r="BX135" s="230">
        <v>3557950</v>
      </c>
      <c r="BY135" s="230">
        <v>3551350</v>
      </c>
      <c r="BZ135" s="230">
        <v>6600</v>
      </c>
      <c r="CA135" s="229">
        <v>1.9E-3</v>
      </c>
      <c r="CB135" s="230">
        <v>3474350</v>
      </c>
      <c r="CC135" s="230">
        <v>3470500</v>
      </c>
      <c r="CD135" s="230">
        <v>3850</v>
      </c>
      <c r="CE135" s="229">
        <v>1.1000000000000001E-3</v>
      </c>
      <c r="CF135" s="230">
        <v>83325</v>
      </c>
      <c r="CG135" s="230">
        <v>80850</v>
      </c>
      <c r="CH135" s="230">
        <v>2475</v>
      </c>
      <c r="CI135" s="229">
        <v>3.0599999999999999E-2</v>
      </c>
      <c r="CJ135" s="228">
        <v>275</v>
      </c>
      <c r="CK135" s="228">
        <v>0</v>
      </c>
      <c r="CL135" s="228">
        <v>275</v>
      </c>
      <c r="CM135" s="229">
        <v>0</v>
      </c>
      <c r="CN135" s="230">
        <v>1722325</v>
      </c>
      <c r="CO135" s="230">
        <v>1728650</v>
      </c>
      <c r="CP135" s="230">
        <v>-6325</v>
      </c>
      <c r="CQ135" s="229">
        <v>-3.7000000000000002E-3</v>
      </c>
      <c r="CR135" s="230">
        <v>1065350</v>
      </c>
      <c r="CS135" s="230">
        <v>1031800</v>
      </c>
      <c r="CT135" s="230">
        <v>33550</v>
      </c>
      <c r="CU135" s="229">
        <v>3.2500000000000001E-2</v>
      </c>
      <c r="CV135" s="230">
        <v>6345625</v>
      </c>
      <c r="CW135" s="230">
        <v>6311800</v>
      </c>
      <c r="CX135" s="230">
        <v>33825</v>
      </c>
      <c r="CY135" s="229">
        <v>5.4000000000000003E-3</v>
      </c>
      <c r="CZ135" s="228">
        <v>24.09</v>
      </c>
      <c r="DA135" s="228">
        <v>24.5</v>
      </c>
      <c r="DB135" s="228">
        <v>-0.41</v>
      </c>
      <c r="DC135" s="228">
        <v>-0.41</v>
      </c>
      <c r="DD135" s="228">
        <v>35.61</v>
      </c>
      <c r="DE135" s="228">
        <v>35.69</v>
      </c>
      <c r="DF135" s="228">
        <v>-11.52</v>
      </c>
      <c r="DG135" s="228">
        <v>-0.08</v>
      </c>
      <c r="DH135" s="228">
        <v>23.64</v>
      </c>
      <c r="DI135" s="228">
        <v>24.01</v>
      </c>
      <c r="DJ135" s="228">
        <v>-0.37</v>
      </c>
      <c r="DK135" s="228">
        <v>-0.37</v>
      </c>
      <c r="DL135" s="228">
        <v>24.76</v>
      </c>
      <c r="DM135" s="228">
        <v>25.28</v>
      </c>
      <c r="DN135" s="228">
        <v>-0.52</v>
      </c>
      <c r="DO135" s="228">
        <v>-0.52</v>
      </c>
      <c r="DP135" s="228">
        <v>0.62</v>
      </c>
      <c r="DQ135" s="228">
        <v>0.6</v>
      </c>
      <c r="DR135" s="228">
        <v>0.02</v>
      </c>
      <c r="DS135" s="229">
        <v>3.3300000000000003E-2</v>
      </c>
      <c r="DT135" s="231">
        <v>3800</v>
      </c>
      <c r="DU135" s="231">
        <v>3700</v>
      </c>
      <c r="DV135" s="228">
        <v>0.66</v>
      </c>
      <c r="DW135" s="228">
        <v>0.63</v>
      </c>
      <c r="DX135" s="228">
        <v>0.03</v>
      </c>
      <c r="DY135" s="229">
        <v>4.7600000000000003E-2</v>
      </c>
      <c r="DZ135" s="229">
        <v>2.35E-2</v>
      </c>
      <c r="EA135" s="230">
        <v>80850</v>
      </c>
      <c r="EB135" s="229">
        <v>3.3999999999999998E-3</v>
      </c>
      <c r="EC135" s="229">
        <v>2.35E-2</v>
      </c>
      <c r="ED135" s="228">
        <v>18.16</v>
      </c>
      <c r="EE135" s="229">
        <v>4.7000000000000002E-3</v>
      </c>
      <c r="EF135" s="230">
        <v>83655</v>
      </c>
      <c r="EG135" s="230">
        <v>153411</v>
      </c>
      <c r="EH135" s="229">
        <v>-0.45469999999999999</v>
      </c>
      <c r="EI135" s="229">
        <v>0.39429999999999998</v>
      </c>
      <c r="EJ135" s="231">
        <v>70118.720000000001</v>
      </c>
      <c r="EK135" s="231">
        <v>43279.02</v>
      </c>
      <c r="EL135" s="231">
        <v>18897.830000000002</v>
      </c>
      <c r="EM135" s="231">
        <v>9440</v>
      </c>
      <c r="EN135" s="231">
        <v>132295.57</v>
      </c>
      <c r="EO135" s="231">
        <v>263326.2</v>
      </c>
      <c r="EP135" s="231">
        <v>-131030.63</v>
      </c>
      <c r="EQ135" s="229">
        <v>-0.49759999999999999</v>
      </c>
      <c r="ER135" s="231">
        <v>67215</v>
      </c>
      <c r="ES135" s="231">
        <v>39284</v>
      </c>
      <c r="ET135" s="231">
        <v>137248</v>
      </c>
      <c r="EU135" s="231">
        <v>14790848</v>
      </c>
      <c r="EV135" s="231">
        <v>243747</v>
      </c>
      <c r="EW135" s="231">
        <v>241730</v>
      </c>
      <c r="EX135" s="231">
        <v>2017</v>
      </c>
      <c r="EY135" s="229">
        <v>8.3000000000000001E-3</v>
      </c>
      <c r="EZ135" s="229">
        <v>0.42899999999999999</v>
      </c>
      <c r="FA135" s="227" t="s">
        <v>555</v>
      </c>
      <c r="FB135" s="161">
        <f t="shared" si="2"/>
        <v>83600</v>
      </c>
    </row>
    <row r="136" spans="1:158" ht="17.25" hidden="1" thickBot="1" x14ac:dyDescent="0.3">
      <c r="A136" s="226">
        <v>46023</v>
      </c>
      <c r="B136" s="227" t="s">
        <v>227</v>
      </c>
      <c r="C136" s="227" t="s">
        <v>263</v>
      </c>
      <c r="D136" s="228">
        <v>3750</v>
      </c>
      <c r="E136" s="228">
        <v>316.14999999999998</v>
      </c>
      <c r="F136" s="228">
        <v>316.14999999999998</v>
      </c>
      <c r="G136" s="228">
        <v>0</v>
      </c>
      <c r="H136" s="229">
        <v>0</v>
      </c>
      <c r="I136" s="228">
        <v>314.60000000000002</v>
      </c>
      <c r="J136" s="228">
        <v>314.3</v>
      </c>
      <c r="K136" s="228">
        <v>0.3</v>
      </c>
      <c r="L136" s="229">
        <v>1E-3</v>
      </c>
      <c r="M136" s="228">
        <v>316.14999999999998</v>
      </c>
      <c r="N136" s="228">
        <v>316.14999999999998</v>
      </c>
      <c r="O136" s="228">
        <v>0</v>
      </c>
      <c r="P136" s="229">
        <v>0</v>
      </c>
      <c r="Q136" s="228">
        <v>314.64999999999998</v>
      </c>
      <c r="R136" s="228">
        <v>314.75</v>
      </c>
      <c r="S136" s="228">
        <v>-0.1</v>
      </c>
      <c r="T136" s="229">
        <v>-2.9999999999999997E-4</v>
      </c>
      <c r="U136" s="228">
        <v>316.3</v>
      </c>
      <c r="V136" s="228">
        <v>315.75</v>
      </c>
      <c r="W136" s="228">
        <v>0.55000000000000004</v>
      </c>
      <c r="X136" s="229">
        <v>1.6999999999999999E-3</v>
      </c>
      <c r="Y136" s="228">
        <v>1.55</v>
      </c>
      <c r="Z136" s="228">
        <v>1.85</v>
      </c>
      <c r="AA136" s="228">
        <v>-0.3</v>
      </c>
      <c r="AB136" s="229">
        <v>4.8999999999999998E-3</v>
      </c>
      <c r="AC136" s="228">
        <v>1.55</v>
      </c>
      <c r="AD136" s="228">
        <v>1.85</v>
      </c>
      <c r="AE136" s="228">
        <v>-0.3</v>
      </c>
      <c r="AF136" s="229">
        <v>4.8999999999999998E-3</v>
      </c>
      <c r="AG136" s="228">
        <v>0.05</v>
      </c>
      <c r="AH136" s="228">
        <v>0.45</v>
      </c>
      <c r="AI136" s="228">
        <v>-0.4</v>
      </c>
      <c r="AJ136" s="229">
        <v>2.0000000000000001E-4</v>
      </c>
      <c r="AK136" s="228">
        <v>1.7</v>
      </c>
      <c r="AL136" s="228">
        <v>1.45</v>
      </c>
      <c r="AM136" s="228">
        <v>0.25</v>
      </c>
      <c r="AN136" s="229">
        <v>5.4000000000000003E-3</v>
      </c>
      <c r="AO136" s="228">
        <v>315.24</v>
      </c>
      <c r="AP136" s="228">
        <v>314.08999999999997</v>
      </c>
      <c r="AQ136" s="228">
        <v>0</v>
      </c>
      <c r="AR136" s="230">
        <v>10057500</v>
      </c>
      <c r="AS136" s="230">
        <v>20670000</v>
      </c>
      <c r="AT136" s="230">
        <v>-10612500</v>
      </c>
      <c r="AU136" s="229">
        <v>-0.51339999999999997</v>
      </c>
      <c r="AV136" s="230">
        <v>9311250</v>
      </c>
      <c r="AW136" s="230">
        <v>18896250</v>
      </c>
      <c r="AX136" s="230">
        <v>-9585000</v>
      </c>
      <c r="AY136" s="229">
        <v>-0.50719999999999998</v>
      </c>
      <c r="AZ136" s="230">
        <v>675000</v>
      </c>
      <c r="BA136" s="230">
        <v>1710000</v>
      </c>
      <c r="BB136" s="230">
        <v>-1035000</v>
      </c>
      <c r="BC136" s="229">
        <v>-0.60529999999999995</v>
      </c>
      <c r="BD136" s="230">
        <v>71250</v>
      </c>
      <c r="BE136" s="230">
        <v>63750</v>
      </c>
      <c r="BF136" s="230">
        <v>7500</v>
      </c>
      <c r="BG136" s="229">
        <v>0.1176</v>
      </c>
      <c r="BH136" s="230">
        <v>23673750</v>
      </c>
      <c r="BI136" s="230">
        <v>86958750</v>
      </c>
      <c r="BJ136" s="230">
        <v>-63285000</v>
      </c>
      <c r="BK136" s="229">
        <v>-0.7278</v>
      </c>
      <c r="BL136" s="230">
        <v>12131250</v>
      </c>
      <c r="BM136" s="230">
        <v>31590000</v>
      </c>
      <c r="BN136" s="230">
        <v>-19458750</v>
      </c>
      <c r="BO136" s="229">
        <v>-0.61599999999999999</v>
      </c>
      <c r="BP136" s="230">
        <v>45862500</v>
      </c>
      <c r="BQ136" s="230">
        <v>139218750</v>
      </c>
      <c r="BR136" s="230">
        <v>-93356250</v>
      </c>
      <c r="BS136" s="229">
        <v>-0.67059999999999997</v>
      </c>
      <c r="BT136" s="230">
        <v>7432098</v>
      </c>
      <c r="BU136" s="230">
        <v>12781993</v>
      </c>
      <c r="BV136" s="230">
        <v>-5349895</v>
      </c>
      <c r="BW136" s="229">
        <v>-0.41849999999999998</v>
      </c>
      <c r="BX136" s="230">
        <v>51442500</v>
      </c>
      <c r="BY136" s="230">
        <v>52608750</v>
      </c>
      <c r="BZ136" s="230">
        <v>-1166250</v>
      </c>
      <c r="CA136" s="229">
        <v>-2.2200000000000001E-2</v>
      </c>
      <c r="CB136" s="230">
        <v>48168750</v>
      </c>
      <c r="CC136" s="230">
        <v>49436250</v>
      </c>
      <c r="CD136" s="230">
        <v>-1267500</v>
      </c>
      <c r="CE136" s="229">
        <v>-2.5600000000000001E-2</v>
      </c>
      <c r="CF136" s="230">
        <v>3191250</v>
      </c>
      <c r="CG136" s="230">
        <v>3123750</v>
      </c>
      <c r="CH136" s="230">
        <v>67500</v>
      </c>
      <c r="CI136" s="229">
        <v>2.1600000000000001E-2</v>
      </c>
      <c r="CJ136" s="230">
        <v>82500</v>
      </c>
      <c r="CK136" s="230">
        <v>48750</v>
      </c>
      <c r="CL136" s="230">
        <v>33750</v>
      </c>
      <c r="CM136" s="229">
        <v>0.69230000000000003</v>
      </c>
      <c r="CN136" s="230">
        <v>32107500</v>
      </c>
      <c r="CO136" s="230">
        <v>31683750</v>
      </c>
      <c r="CP136" s="230">
        <v>423750</v>
      </c>
      <c r="CQ136" s="229">
        <v>1.34E-2</v>
      </c>
      <c r="CR136" s="230">
        <v>24071250</v>
      </c>
      <c r="CS136" s="230">
        <v>24851250</v>
      </c>
      <c r="CT136" s="230">
        <v>-780000</v>
      </c>
      <c r="CU136" s="229">
        <v>-3.1399999999999997E-2</v>
      </c>
      <c r="CV136" s="230">
        <v>107621250</v>
      </c>
      <c r="CW136" s="230">
        <v>109143750</v>
      </c>
      <c r="CX136" s="230">
        <v>-1522500</v>
      </c>
      <c r="CY136" s="229">
        <v>-1.3899999999999999E-2</v>
      </c>
      <c r="CZ136" s="228">
        <v>33.090000000000003</v>
      </c>
      <c r="DA136" s="228">
        <v>34.159999999999997</v>
      </c>
      <c r="DB136" s="228">
        <v>-1.07</v>
      </c>
      <c r="DC136" s="228">
        <v>-1.07</v>
      </c>
      <c r="DD136" s="228">
        <v>46.31</v>
      </c>
      <c r="DE136" s="228">
        <v>46.43</v>
      </c>
      <c r="DF136" s="228">
        <v>-13.22</v>
      </c>
      <c r="DG136" s="228">
        <v>-0.12</v>
      </c>
      <c r="DH136" s="228">
        <v>33.08</v>
      </c>
      <c r="DI136" s="228">
        <v>34.130000000000003</v>
      </c>
      <c r="DJ136" s="228">
        <v>-1.05</v>
      </c>
      <c r="DK136" s="228">
        <v>-1.05</v>
      </c>
      <c r="DL136" s="228">
        <v>33.11</v>
      </c>
      <c r="DM136" s="228">
        <v>34.25</v>
      </c>
      <c r="DN136" s="228">
        <v>-1.1399999999999999</v>
      </c>
      <c r="DO136" s="228">
        <v>-1.1399999999999999</v>
      </c>
      <c r="DP136" s="228">
        <v>0.75</v>
      </c>
      <c r="DQ136" s="228">
        <v>0.78</v>
      </c>
      <c r="DR136" s="228">
        <v>-0.03</v>
      </c>
      <c r="DS136" s="229">
        <v>-3.85E-2</v>
      </c>
      <c r="DT136" s="228">
        <v>340</v>
      </c>
      <c r="DU136" s="228">
        <v>320</v>
      </c>
      <c r="DV136" s="228">
        <v>0.51</v>
      </c>
      <c r="DW136" s="228">
        <v>0.36</v>
      </c>
      <c r="DX136" s="228">
        <v>0.15</v>
      </c>
      <c r="DY136" s="229">
        <v>0.41670000000000001</v>
      </c>
      <c r="DZ136" s="229">
        <v>6.3600000000000004E-2</v>
      </c>
      <c r="EA136" s="230">
        <v>3172500</v>
      </c>
      <c r="EB136" s="229">
        <v>-4.7000000000000002E-3</v>
      </c>
      <c r="EC136" s="229">
        <v>6.3600000000000004E-2</v>
      </c>
      <c r="ED136" s="228">
        <v>-1.1499999999999999</v>
      </c>
      <c r="EE136" s="229">
        <v>-3.5999999999999999E-3</v>
      </c>
      <c r="EF136" s="230">
        <v>2805962</v>
      </c>
      <c r="EG136" s="230">
        <v>5283561</v>
      </c>
      <c r="EH136" s="229">
        <v>-0.46889999999999998</v>
      </c>
      <c r="EI136" s="229">
        <v>0.3775</v>
      </c>
      <c r="EJ136" s="231">
        <v>79473.03</v>
      </c>
      <c r="EK136" s="231">
        <v>37716.080000000002</v>
      </c>
      <c r="EL136" s="231">
        <v>31698.07</v>
      </c>
      <c r="EM136" s="231">
        <v>11305</v>
      </c>
      <c r="EN136" s="231">
        <v>148887.18</v>
      </c>
      <c r="EO136" s="231">
        <v>458215.45</v>
      </c>
      <c r="EP136" s="231">
        <v>-309328.27</v>
      </c>
      <c r="EQ136" s="229">
        <v>-0.67510000000000003</v>
      </c>
      <c r="ER136" s="231">
        <v>103768</v>
      </c>
      <c r="ES136" s="231">
        <v>70999</v>
      </c>
      <c r="ET136" s="231">
        <v>162588</v>
      </c>
      <c r="EU136" s="231">
        <v>134225816</v>
      </c>
      <c r="EV136" s="231">
        <v>337355</v>
      </c>
      <c r="EW136" s="231">
        <v>341895</v>
      </c>
      <c r="EX136" s="231">
        <v>-4540</v>
      </c>
      <c r="EY136" s="229">
        <v>-1.3299999999999999E-2</v>
      </c>
      <c r="EZ136" s="229">
        <v>0.80179999999999996</v>
      </c>
      <c r="FA136" s="227" t="s">
        <v>237</v>
      </c>
      <c r="FB136" s="161">
        <f t="shared" si="2"/>
        <v>3273750</v>
      </c>
    </row>
    <row r="137" spans="1:158" ht="17.25" hidden="1" thickBot="1" x14ac:dyDescent="0.3">
      <c r="A137" s="226">
        <v>46023</v>
      </c>
      <c r="B137" s="227" t="s">
        <v>615</v>
      </c>
      <c r="C137" s="227" t="s">
        <v>264</v>
      </c>
      <c r="D137" s="228">
        <v>375</v>
      </c>
      <c r="E137" s="231">
        <v>1347.4</v>
      </c>
      <c r="F137" s="231">
        <v>1341.5</v>
      </c>
      <c r="G137" s="228">
        <v>5.9</v>
      </c>
      <c r="H137" s="229">
        <v>4.4000000000000003E-3</v>
      </c>
      <c r="I137" s="231">
        <v>1340.9</v>
      </c>
      <c r="J137" s="231">
        <v>1333.6</v>
      </c>
      <c r="K137" s="228">
        <v>7.3</v>
      </c>
      <c r="L137" s="229">
        <v>5.4999999999999997E-3</v>
      </c>
      <c r="M137" s="231">
        <v>1347.4</v>
      </c>
      <c r="N137" s="231">
        <v>1341.5</v>
      </c>
      <c r="O137" s="228">
        <v>5.9</v>
      </c>
      <c r="P137" s="229">
        <v>4.4000000000000003E-3</v>
      </c>
      <c r="Q137" s="231">
        <v>1355.5</v>
      </c>
      <c r="R137" s="231">
        <v>1349.7</v>
      </c>
      <c r="S137" s="228">
        <v>5.8</v>
      </c>
      <c r="T137" s="229">
        <v>4.3E-3</v>
      </c>
      <c r="U137" s="231">
        <v>1360</v>
      </c>
      <c r="V137" s="231">
        <v>1356</v>
      </c>
      <c r="W137" s="228">
        <v>4</v>
      </c>
      <c r="X137" s="229">
        <v>2.8999999999999998E-3</v>
      </c>
      <c r="Y137" s="228">
        <v>6.5</v>
      </c>
      <c r="Z137" s="228">
        <v>7.9</v>
      </c>
      <c r="AA137" s="228">
        <v>-1.4</v>
      </c>
      <c r="AB137" s="229">
        <v>4.7999999999999996E-3</v>
      </c>
      <c r="AC137" s="228">
        <v>6.5</v>
      </c>
      <c r="AD137" s="228">
        <v>7.9</v>
      </c>
      <c r="AE137" s="228">
        <v>-1.4</v>
      </c>
      <c r="AF137" s="229">
        <v>4.7999999999999996E-3</v>
      </c>
      <c r="AG137" s="228">
        <v>14.6</v>
      </c>
      <c r="AH137" s="228">
        <v>16.100000000000001</v>
      </c>
      <c r="AI137" s="228">
        <v>-1.5</v>
      </c>
      <c r="AJ137" s="229">
        <v>1.09E-2</v>
      </c>
      <c r="AK137" s="228">
        <v>19.100000000000001</v>
      </c>
      <c r="AL137" s="228">
        <v>22.4</v>
      </c>
      <c r="AM137" s="228">
        <v>-3.3</v>
      </c>
      <c r="AN137" s="229">
        <v>1.4200000000000001E-2</v>
      </c>
      <c r="AO137" s="231">
        <v>1343.62</v>
      </c>
      <c r="AP137" s="231">
        <v>1352.72</v>
      </c>
      <c r="AQ137" s="228">
        <v>0</v>
      </c>
      <c r="AR137" s="230">
        <v>387750</v>
      </c>
      <c r="AS137" s="230">
        <v>680250</v>
      </c>
      <c r="AT137" s="230">
        <v>-292500</v>
      </c>
      <c r="AU137" s="229">
        <v>-0.43</v>
      </c>
      <c r="AV137" s="230">
        <v>372000</v>
      </c>
      <c r="AW137" s="230">
        <v>655125</v>
      </c>
      <c r="AX137" s="230">
        <v>-283125</v>
      </c>
      <c r="AY137" s="229">
        <v>-0.43219999999999997</v>
      </c>
      <c r="AZ137" s="230">
        <v>13875</v>
      </c>
      <c r="BA137" s="230">
        <v>24750</v>
      </c>
      <c r="BB137" s="230">
        <v>-10875</v>
      </c>
      <c r="BC137" s="229">
        <v>-0.43940000000000001</v>
      </c>
      <c r="BD137" s="230">
        <v>1875</v>
      </c>
      <c r="BE137" s="228">
        <v>375</v>
      </c>
      <c r="BF137" s="230">
        <v>1500</v>
      </c>
      <c r="BG137" s="229">
        <v>4</v>
      </c>
      <c r="BH137" s="230">
        <v>706125</v>
      </c>
      <c r="BI137" s="230">
        <v>1183500</v>
      </c>
      <c r="BJ137" s="230">
        <v>-477375</v>
      </c>
      <c r="BK137" s="229">
        <v>-0.40339999999999998</v>
      </c>
      <c r="BL137" s="230">
        <v>597000</v>
      </c>
      <c r="BM137" s="230">
        <v>815625</v>
      </c>
      <c r="BN137" s="230">
        <v>-218625</v>
      </c>
      <c r="BO137" s="229">
        <v>-0.26800000000000002</v>
      </c>
      <c r="BP137" s="230">
        <v>1690875</v>
      </c>
      <c r="BQ137" s="230">
        <v>2679375</v>
      </c>
      <c r="BR137" s="230">
        <v>-988500</v>
      </c>
      <c r="BS137" s="229">
        <v>-0.36890000000000001</v>
      </c>
      <c r="BT137" s="230">
        <v>257320</v>
      </c>
      <c r="BU137" s="230">
        <v>825879</v>
      </c>
      <c r="BV137" s="230">
        <v>-568559</v>
      </c>
      <c r="BW137" s="229">
        <v>-0.68840000000000001</v>
      </c>
      <c r="BX137" s="230">
        <v>7943625</v>
      </c>
      <c r="BY137" s="230">
        <v>7930500</v>
      </c>
      <c r="BZ137" s="230">
        <v>13125</v>
      </c>
      <c r="CA137" s="229">
        <v>1.6999999999999999E-3</v>
      </c>
      <c r="CB137" s="230">
        <v>7890000</v>
      </c>
      <c r="CC137" s="230">
        <v>7877250</v>
      </c>
      <c r="CD137" s="230">
        <v>12750</v>
      </c>
      <c r="CE137" s="229">
        <v>1.6000000000000001E-3</v>
      </c>
      <c r="CF137" s="230">
        <v>52500</v>
      </c>
      <c r="CG137" s="230">
        <v>52875</v>
      </c>
      <c r="CH137" s="228">
        <v>-375</v>
      </c>
      <c r="CI137" s="229">
        <v>-7.1000000000000004E-3</v>
      </c>
      <c r="CJ137" s="230">
        <v>1125</v>
      </c>
      <c r="CK137" s="228">
        <v>375</v>
      </c>
      <c r="CL137" s="228">
        <v>750</v>
      </c>
      <c r="CM137" s="229">
        <v>2</v>
      </c>
      <c r="CN137" s="230">
        <v>1466250</v>
      </c>
      <c r="CO137" s="230">
        <v>1382625</v>
      </c>
      <c r="CP137" s="230">
        <v>83625</v>
      </c>
      <c r="CQ137" s="229">
        <v>6.0499999999999998E-2</v>
      </c>
      <c r="CR137" s="230">
        <v>1175250</v>
      </c>
      <c r="CS137" s="230">
        <v>972750</v>
      </c>
      <c r="CT137" s="230">
        <v>202500</v>
      </c>
      <c r="CU137" s="229">
        <v>0.2082</v>
      </c>
      <c r="CV137" s="230">
        <v>10585125</v>
      </c>
      <c r="CW137" s="230">
        <v>10285875</v>
      </c>
      <c r="CX137" s="230">
        <v>299250</v>
      </c>
      <c r="CY137" s="229">
        <v>2.9100000000000001E-2</v>
      </c>
      <c r="CZ137" s="228">
        <v>25.6</v>
      </c>
      <c r="DA137" s="228">
        <v>26.89</v>
      </c>
      <c r="DB137" s="228">
        <v>-1.29</v>
      </c>
      <c r="DC137" s="228">
        <v>-1.29</v>
      </c>
      <c r="DD137" s="228">
        <v>35.71</v>
      </c>
      <c r="DE137" s="228">
        <v>35.79</v>
      </c>
      <c r="DF137" s="228">
        <v>-10.11</v>
      </c>
      <c r="DG137" s="228">
        <v>-0.08</v>
      </c>
      <c r="DH137" s="228">
        <v>25.42</v>
      </c>
      <c r="DI137" s="228">
        <v>26.35</v>
      </c>
      <c r="DJ137" s="228">
        <v>-0.93</v>
      </c>
      <c r="DK137" s="228">
        <v>-0.93</v>
      </c>
      <c r="DL137" s="228">
        <v>25.81</v>
      </c>
      <c r="DM137" s="228">
        <v>27.69</v>
      </c>
      <c r="DN137" s="228">
        <v>-1.88</v>
      </c>
      <c r="DO137" s="228">
        <v>-1.88</v>
      </c>
      <c r="DP137" s="228">
        <v>0.8</v>
      </c>
      <c r="DQ137" s="228">
        <v>0.7</v>
      </c>
      <c r="DR137" s="228">
        <v>0.1</v>
      </c>
      <c r="DS137" s="229">
        <v>0.1429</v>
      </c>
      <c r="DT137" s="231">
        <v>1380</v>
      </c>
      <c r="DU137" s="231">
        <v>1280</v>
      </c>
      <c r="DV137" s="228">
        <v>0.85</v>
      </c>
      <c r="DW137" s="228">
        <v>0.69</v>
      </c>
      <c r="DX137" s="228">
        <v>0.16</v>
      </c>
      <c r="DY137" s="229">
        <v>0.2319</v>
      </c>
      <c r="DZ137" s="229">
        <v>6.7999999999999996E-3</v>
      </c>
      <c r="EA137" s="230">
        <v>53250</v>
      </c>
      <c r="EB137" s="229">
        <v>6.0000000000000001E-3</v>
      </c>
      <c r="EC137" s="229">
        <v>6.7999999999999996E-3</v>
      </c>
      <c r="ED137" s="228">
        <v>9.1</v>
      </c>
      <c r="EE137" s="229">
        <v>6.7999999999999996E-3</v>
      </c>
      <c r="EF137" s="230">
        <v>113240</v>
      </c>
      <c r="EG137" s="230">
        <v>594151</v>
      </c>
      <c r="EH137" s="229">
        <v>-0.80940000000000001</v>
      </c>
      <c r="EI137" s="229">
        <v>0.44009999999999999</v>
      </c>
      <c r="EJ137" s="231">
        <v>10019.24</v>
      </c>
      <c r="EK137" s="231">
        <v>7721.35</v>
      </c>
      <c r="EL137" s="231">
        <v>5211.42</v>
      </c>
      <c r="EM137" s="231">
        <v>7270</v>
      </c>
      <c r="EN137" s="231">
        <v>22952.01</v>
      </c>
      <c r="EO137" s="231">
        <v>36536.39</v>
      </c>
      <c r="EP137" s="231">
        <v>-13584.38</v>
      </c>
      <c r="EQ137" s="229">
        <v>-0.37180000000000002</v>
      </c>
      <c r="ER137" s="231">
        <v>20927</v>
      </c>
      <c r="ES137" s="231">
        <v>15195</v>
      </c>
      <c r="ET137" s="231">
        <v>107037</v>
      </c>
      <c r="EU137" s="231">
        <v>45110207</v>
      </c>
      <c r="EV137" s="231">
        <v>143158</v>
      </c>
      <c r="EW137" s="231">
        <v>138719</v>
      </c>
      <c r="EX137" s="231">
        <v>4439</v>
      </c>
      <c r="EY137" s="229">
        <v>3.2000000000000001E-2</v>
      </c>
      <c r="EZ137" s="229">
        <v>0.23469999999999999</v>
      </c>
      <c r="FA137" s="227" t="s">
        <v>555</v>
      </c>
      <c r="FB137" s="161">
        <f t="shared" si="2"/>
        <v>53625</v>
      </c>
    </row>
    <row r="138" spans="1:158" ht="17.25" hidden="1" thickBot="1" x14ac:dyDescent="0.3">
      <c r="A138" s="226">
        <v>46023</v>
      </c>
      <c r="B138" s="227" t="s">
        <v>206</v>
      </c>
      <c r="C138" s="227" t="s">
        <v>550</v>
      </c>
      <c r="D138" s="228">
        <v>6500</v>
      </c>
      <c r="E138" s="228">
        <v>122.81</v>
      </c>
      <c r="F138" s="228">
        <v>122.25</v>
      </c>
      <c r="G138" s="228">
        <v>0.56000000000000005</v>
      </c>
      <c r="H138" s="229">
        <v>4.5999999999999999E-3</v>
      </c>
      <c r="I138" s="228">
        <v>122.1</v>
      </c>
      <c r="J138" s="228">
        <v>121.77</v>
      </c>
      <c r="K138" s="228">
        <v>0.33</v>
      </c>
      <c r="L138" s="229">
        <v>2.7000000000000001E-3</v>
      </c>
      <c r="M138" s="228">
        <v>122.81</v>
      </c>
      <c r="N138" s="228">
        <v>122.25</v>
      </c>
      <c r="O138" s="228">
        <v>0.56000000000000005</v>
      </c>
      <c r="P138" s="229">
        <v>4.5999999999999999E-3</v>
      </c>
      <c r="Q138" s="228">
        <v>123.39</v>
      </c>
      <c r="R138" s="228">
        <v>122.91</v>
      </c>
      <c r="S138" s="228">
        <v>0.48</v>
      </c>
      <c r="T138" s="229">
        <v>3.8999999999999998E-3</v>
      </c>
      <c r="U138" s="228">
        <v>123.4</v>
      </c>
      <c r="V138" s="228">
        <v>123.58</v>
      </c>
      <c r="W138" s="228">
        <v>-0.18</v>
      </c>
      <c r="X138" s="229">
        <v>-1.5E-3</v>
      </c>
      <c r="Y138" s="228">
        <v>0.71</v>
      </c>
      <c r="Z138" s="228">
        <v>0.48</v>
      </c>
      <c r="AA138" s="228">
        <v>0.23</v>
      </c>
      <c r="AB138" s="229">
        <v>5.7999999999999996E-3</v>
      </c>
      <c r="AC138" s="228">
        <v>0.71</v>
      </c>
      <c r="AD138" s="228">
        <v>0.48</v>
      </c>
      <c r="AE138" s="228">
        <v>0.23</v>
      </c>
      <c r="AF138" s="229">
        <v>5.7999999999999996E-3</v>
      </c>
      <c r="AG138" s="228">
        <v>1.29</v>
      </c>
      <c r="AH138" s="228">
        <v>1.1399999999999999</v>
      </c>
      <c r="AI138" s="228">
        <v>0.15</v>
      </c>
      <c r="AJ138" s="229">
        <v>1.06E-2</v>
      </c>
      <c r="AK138" s="228">
        <v>1.3</v>
      </c>
      <c r="AL138" s="228">
        <v>1.81</v>
      </c>
      <c r="AM138" s="228">
        <v>-0.51</v>
      </c>
      <c r="AN138" s="229">
        <v>1.06E-2</v>
      </c>
      <c r="AO138" s="228">
        <v>122.85</v>
      </c>
      <c r="AP138" s="228">
        <v>123.42</v>
      </c>
      <c r="AQ138" s="228">
        <v>0</v>
      </c>
      <c r="AR138" s="230">
        <v>8723000</v>
      </c>
      <c r="AS138" s="230">
        <v>9412000</v>
      </c>
      <c r="AT138" s="230">
        <v>-689000</v>
      </c>
      <c r="AU138" s="229">
        <v>-7.3200000000000001E-2</v>
      </c>
      <c r="AV138" s="230">
        <v>8372000</v>
      </c>
      <c r="AW138" s="230">
        <v>8885500</v>
      </c>
      <c r="AX138" s="230">
        <v>-513500</v>
      </c>
      <c r="AY138" s="229">
        <v>-5.7799999999999997E-2</v>
      </c>
      <c r="AZ138" s="230">
        <v>331500</v>
      </c>
      <c r="BA138" s="230">
        <v>487500</v>
      </c>
      <c r="BB138" s="230">
        <v>-156000</v>
      </c>
      <c r="BC138" s="229">
        <v>-0.32</v>
      </c>
      <c r="BD138" s="230">
        <v>19500</v>
      </c>
      <c r="BE138" s="230">
        <v>39000</v>
      </c>
      <c r="BF138" s="230">
        <v>-19500</v>
      </c>
      <c r="BG138" s="229">
        <v>-0.5</v>
      </c>
      <c r="BH138" s="230">
        <v>19363500</v>
      </c>
      <c r="BI138" s="230">
        <v>17823000</v>
      </c>
      <c r="BJ138" s="230">
        <v>1540500</v>
      </c>
      <c r="BK138" s="229">
        <v>8.6400000000000005E-2</v>
      </c>
      <c r="BL138" s="230">
        <v>6838000</v>
      </c>
      <c r="BM138" s="230">
        <v>6669000</v>
      </c>
      <c r="BN138" s="230">
        <v>169000</v>
      </c>
      <c r="BO138" s="229">
        <v>2.53E-2</v>
      </c>
      <c r="BP138" s="230">
        <v>34924500</v>
      </c>
      <c r="BQ138" s="230">
        <v>33904000</v>
      </c>
      <c r="BR138" s="230">
        <v>1020500</v>
      </c>
      <c r="BS138" s="229">
        <v>3.0099999999999998E-2</v>
      </c>
      <c r="BT138" s="230">
        <v>9417613</v>
      </c>
      <c r="BU138" s="230">
        <v>6603944</v>
      </c>
      <c r="BV138" s="230">
        <v>2813669</v>
      </c>
      <c r="BW138" s="229">
        <v>0.42609999999999998</v>
      </c>
      <c r="BX138" s="230">
        <v>95920500</v>
      </c>
      <c r="BY138" s="230">
        <v>95654000</v>
      </c>
      <c r="BZ138" s="230">
        <v>266500</v>
      </c>
      <c r="CA138" s="229">
        <v>2.8E-3</v>
      </c>
      <c r="CB138" s="230">
        <v>94107000</v>
      </c>
      <c r="CC138" s="230">
        <v>93977000</v>
      </c>
      <c r="CD138" s="230">
        <v>130000</v>
      </c>
      <c r="CE138" s="229">
        <v>1.4E-3</v>
      </c>
      <c r="CF138" s="230">
        <v>1755000</v>
      </c>
      <c r="CG138" s="230">
        <v>1638000</v>
      </c>
      <c r="CH138" s="230">
        <v>117000</v>
      </c>
      <c r="CI138" s="229">
        <v>7.1400000000000005E-2</v>
      </c>
      <c r="CJ138" s="230">
        <v>58500</v>
      </c>
      <c r="CK138" s="230">
        <v>39000</v>
      </c>
      <c r="CL138" s="230">
        <v>19500</v>
      </c>
      <c r="CM138" s="229">
        <v>0.5</v>
      </c>
      <c r="CN138" s="230">
        <v>40092000</v>
      </c>
      <c r="CO138" s="230">
        <v>37648000</v>
      </c>
      <c r="CP138" s="230">
        <v>2444000</v>
      </c>
      <c r="CQ138" s="229">
        <v>6.4899999999999999E-2</v>
      </c>
      <c r="CR138" s="230">
        <v>20332000</v>
      </c>
      <c r="CS138" s="230">
        <v>19506500</v>
      </c>
      <c r="CT138" s="230">
        <v>825500</v>
      </c>
      <c r="CU138" s="229">
        <v>4.2299999999999997E-2</v>
      </c>
      <c r="CV138" s="230">
        <v>156344500</v>
      </c>
      <c r="CW138" s="230">
        <v>152808500</v>
      </c>
      <c r="CX138" s="230">
        <v>3536000</v>
      </c>
      <c r="CY138" s="229">
        <v>2.3099999999999999E-2</v>
      </c>
      <c r="CZ138" s="228">
        <v>32.450000000000003</v>
      </c>
      <c r="DA138" s="228">
        <v>32.81</v>
      </c>
      <c r="DB138" s="228">
        <v>-0.36</v>
      </c>
      <c r="DC138" s="228">
        <v>-0.36</v>
      </c>
      <c r="DD138" s="228">
        <v>50.82</v>
      </c>
      <c r="DE138" s="228">
        <v>50.95</v>
      </c>
      <c r="DF138" s="228">
        <v>-18.37</v>
      </c>
      <c r="DG138" s="228">
        <v>-0.13</v>
      </c>
      <c r="DH138" s="228">
        <v>32.39</v>
      </c>
      <c r="DI138" s="228">
        <v>32.840000000000003</v>
      </c>
      <c r="DJ138" s="228">
        <v>-0.45</v>
      </c>
      <c r="DK138" s="228">
        <v>-0.45</v>
      </c>
      <c r="DL138" s="228">
        <v>32.619999999999997</v>
      </c>
      <c r="DM138" s="228">
        <v>32.729999999999997</v>
      </c>
      <c r="DN138" s="228">
        <v>-0.11</v>
      </c>
      <c r="DO138" s="228">
        <v>-0.11</v>
      </c>
      <c r="DP138" s="228">
        <v>0.51</v>
      </c>
      <c r="DQ138" s="228">
        <v>0.52</v>
      </c>
      <c r="DR138" s="228">
        <v>-0.01</v>
      </c>
      <c r="DS138" s="229">
        <v>-1.9199999999999998E-2</v>
      </c>
      <c r="DT138" s="228">
        <v>130</v>
      </c>
      <c r="DU138" s="228">
        <v>115</v>
      </c>
      <c r="DV138" s="228">
        <v>0.35</v>
      </c>
      <c r="DW138" s="228">
        <v>0.37</v>
      </c>
      <c r="DX138" s="228">
        <v>-0.02</v>
      </c>
      <c r="DY138" s="229">
        <v>-5.4100000000000002E-2</v>
      </c>
      <c r="DZ138" s="229">
        <v>1.89E-2</v>
      </c>
      <c r="EA138" s="230">
        <v>1677000</v>
      </c>
      <c r="EB138" s="229">
        <v>4.7000000000000002E-3</v>
      </c>
      <c r="EC138" s="229">
        <v>1.89E-2</v>
      </c>
      <c r="ED138" s="228">
        <v>0.56999999999999995</v>
      </c>
      <c r="EE138" s="229">
        <v>4.5999999999999999E-3</v>
      </c>
      <c r="EF138" s="230">
        <v>2505465</v>
      </c>
      <c r="EG138" s="230">
        <v>2527136</v>
      </c>
      <c r="EH138" s="229">
        <v>-8.6E-3</v>
      </c>
      <c r="EI138" s="229">
        <v>0.26600000000000001</v>
      </c>
      <c r="EJ138" s="231">
        <v>25139.05</v>
      </c>
      <c r="EK138" s="231">
        <v>8167.63</v>
      </c>
      <c r="EL138" s="231">
        <v>10718.12</v>
      </c>
      <c r="EM138" s="231">
        <v>9737</v>
      </c>
      <c r="EN138" s="231">
        <v>44024.800000000003</v>
      </c>
      <c r="EO138" s="231">
        <v>42777.72</v>
      </c>
      <c r="EP138" s="231">
        <v>1247.08</v>
      </c>
      <c r="EQ138" s="229">
        <v>2.92E-2</v>
      </c>
      <c r="ER138" s="231">
        <v>51015</v>
      </c>
      <c r="ES138" s="231">
        <v>23524</v>
      </c>
      <c r="ET138" s="231">
        <v>117810</v>
      </c>
      <c r="EU138" s="231">
        <v>154894704</v>
      </c>
      <c r="EV138" s="231">
        <v>192350</v>
      </c>
      <c r="EW138" s="231">
        <v>187393</v>
      </c>
      <c r="EX138" s="231">
        <v>4957</v>
      </c>
      <c r="EY138" s="229">
        <v>2.6499999999999999E-2</v>
      </c>
      <c r="EZ138" s="229">
        <v>1.0094000000000001</v>
      </c>
      <c r="FA138" s="227" t="s">
        <v>555</v>
      </c>
      <c r="FB138" s="161">
        <f t="shared" si="2"/>
        <v>1813500</v>
      </c>
    </row>
    <row r="139" spans="1:158" ht="17.25" hidden="1" thickBot="1" x14ac:dyDescent="0.3">
      <c r="A139" s="226">
        <v>46023</v>
      </c>
      <c r="B139" s="227" t="s">
        <v>168</v>
      </c>
      <c r="C139" s="227" t="s">
        <v>265</v>
      </c>
      <c r="D139" s="228">
        <v>500</v>
      </c>
      <c r="E139" s="231">
        <v>1300.5</v>
      </c>
      <c r="F139" s="231">
        <v>1293.7</v>
      </c>
      <c r="G139" s="228">
        <v>6.8</v>
      </c>
      <c r="H139" s="229">
        <v>5.3E-3</v>
      </c>
      <c r="I139" s="231">
        <v>1295</v>
      </c>
      <c r="J139" s="231">
        <v>1288</v>
      </c>
      <c r="K139" s="228">
        <v>7</v>
      </c>
      <c r="L139" s="229">
        <v>5.4000000000000003E-3</v>
      </c>
      <c r="M139" s="231">
        <v>1300.5</v>
      </c>
      <c r="N139" s="231">
        <v>1293.7</v>
      </c>
      <c r="O139" s="228">
        <v>6.8</v>
      </c>
      <c r="P139" s="229">
        <v>5.3E-3</v>
      </c>
      <c r="Q139" s="231">
        <v>1302.4000000000001</v>
      </c>
      <c r="R139" s="231">
        <v>1294.8</v>
      </c>
      <c r="S139" s="228">
        <v>7.6</v>
      </c>
      <c r="T139" s="229">
        <v>5.8999999999999999E-3</v>
      </c>
      <c r="U139" s="231">
        <v>1310.4000000000001</v>
      </c>
      <c r="V139" s="231">
        <v>1303.2</v>
      </c>
      <c r="W139" s="228">
        <v>7.2</v>
      </c>
      <c r="X139" s="229">
        <v>5.4999999999999997E-3</v>
      </c>
      <c r="Y139" s="228">
        <v>5.5</v>
      </c>
      <c r="Z139" s="228">
        <v>5.7</v>
      </c>
      <c r="AA139" s="228">
        <v>-0.2</v>
      </c>
      <c r="AB139" s="229">
        <v>4.1999999999999997E-3</v>
      </c>
      <c r="AC139" s="228">
        <v>5.5</v>
      </c>
      <c r="AD139" s="228">
        <v>5.7</v>
      </c>
      <c r="AE139" s="228">
        <v>-0.2</v>
      </c>
      <c r="AF139" s="229">
        <v>4.1999999999999997E-3</v>
      </c>
      <c r="AG139" s="228">
        <v>7.4</v>
      </c>
      <c r="AH139" s="228">
        <v>6.8</v>
      </c>
      <c r="AI139" s="228">
        <v>0.6</v>
      </c>
      <c r="AJ139" s="229">
        <v>5.7000000000000002E-3</v>
      </c>
      <c r="AK139" s="228">
        <v>15.4</v>
      </c>
      <c r="AL139" s="228">
        <v>15.2</v>
      </c>
      <c r="AM139" s="228">
        <v>0.2</v>
      </c>
      <c r="AN139" s="229">
        <v>1.1900000000000001E-2</v>
      </c>
      <c r="AO139" s="231">
        <v>1297.23</v>
      </c>
      <c r="AP139" s="231">
        <v>1298</v>
      </c>
      <c r="AQ139" s="228">
        <v>0</v>
      </c>
      <c r="AR139" s="230">
        <v>1060000</v>
      </c>
      <c r="AS139" s="230">
        <v>1617500</v>
      </c>
      <c r="AT139" s="230">
        <v>-557500</v>
      </c>
      <c r="AU139" s="229">
        <v>-0.34470000000000001</v>
      </c>
      <c r="AV139" s="230">
        <v>1006500</v>
      </c>
      <c r="AW139" s="230">
        <v>1545500</v>
      </c>
      <c r="AX139" s="230">
        <v>-539000</v>
      </c>
      <c r="AY139" s="229">
        <v>-0.3488</v>
      </c>
      <c r="AZ139" s="230">
        <v>38000</v>
      </c>
      <c r="BA139" s="230">
        <v>63500</v>
      </c>
      <c r="BB139" s="230">
        <v>-25500</v>
      </c>
      <c r="BC139" s="229">
        <v>-0.40160000000000001</v>
      </c>
      <c r="BD139" s="230">
        <v>15500</v>
      </c>
      <c r="BE139" s="230">
        <v>8500</v>
      </c>
      <c r="BF139" s="230">
        <v>7000</v>
      </c>
      <c r="BG139" s="229">
        <v>0.82350000000000001</v>
      </c>
      <c r="BH139" s="230">
        <v>2703000</v>
      </c>
      <c r="BI139" s="230">
        <v>3133000</v>
      </c>
      <c r="BJ139" s="230">
        <v>-430000</v>
      </c>
      <c r="BK139" s="229">
        <v>-0.13719999999999999</v>
      </c>
      <c r="BL139" s="230">
        <v>922500</v>
      </c>
      <c r="BM139" s="230">
        <v>1238000</v>
      </c>
      <c r="BN139" s="230">
        <v>-315500</v>
      </c>
      <c r="BO139" s="229">
        <v>-0.25480000000000003</v>
      </c>
      <c r="BP139" s="230">
        <v>4685500</v>
      </c>
      <c r="BQ139" s="230">
        <v>5988500</v>
      </c>
      <c r="BR139" s="230">
        <v>-1303000</v>
      </c>
      <c r="BS139" s="229">
        <v>-0.21759999999999999</v>
      </c>
      <c r="BT139" s="230">
        <v>949219</v>
      </c>
      <c r="BU139" s="230">
        <v>801634</v>
      </c>
      <c r="BV139" s="230">
        <v>147585</v>
      </c>
      <c r="BW139" s="229">
        <v>0.18410000000000001</v>
      </c>
      <c r="BX139" s="230">
        <v>16380000</v>
      </c>
      <c r="BY139" s="230">
        <v>16537500</v>
      </c>
      <c r="BZ139" s="230">
        <v>-157500</v>
      </c>
      <c r="CA139" s="229">
        <v>-9.4999999999999998E-3</v>
      </c>
      <c r="CB139" s="230">
        <v>16217500</v>
      </c>
      <c r="CC139" s="230">
        <v>16385000</v>
      </c>
      <c r="CD139" s="230">
        <v>-167500</v>
      </c>
      <c r="CE139" s="229">
        <v>-1.0200000000000001E-2</v>
      </c>
      <c r="CF139" s="230">
        <v>146000</v>
      </c>
      <c r="CG139" s="230">
        <v>144500</v>
      </c>
      <c r="CH139" s="230">
        <v>1500</v>
      </c>
      <c r="CI139" s="229">
        <v>1.04E-2</v>
      </c>
      <c r="CJ139" s="230">
        <v>16500</v>
      </c>
      <c r="CK139" s="230">
        <v>8000</v>
      </c>
      <c r="CL139" s="230">
        <v>8500</v>
      </c>
      <c r="CM139" s="229">
        <v>1.0625</v>
      </c>
      <c r="CN139" s="230">
        <v>1884500</v>
      </c>
      <c r="CO139" s="230">
        <v>1595000</v>
      </c>
      <c r="CP139" s="230">
        <v>289500</v>
      </c>
      <c r="CQ139" s="229">
        <v>0.18149999999999999</v>
      </c>
      <c r="CR139" s="230">
        <v>1001500</v>
      </c>
      <c r="CS139" s="230">
        <v>911500</v>
      </c>
      <c r="CT139" s="230">
        <v>90000</v>
      </c>
      <c r="CU139" s="229">
        <v>9.8699999999999996E-2</v>
      </c>
      <c r="CV139" s="230">
        <v>19266000</v>
      </c>
      <c r="CW139" s="230">
        <v>19044000</v>
      </c>
      <c r="CX139" s="230">
        <v>222000</v>
      </c>
      <c r="CY139" s="229">
        <v>1.17E-2</v>
      </c>
      <c r="CZ139" s="228">
        <v>16.690000000000001</v>
      </c>
      <c r="DA139" s="228">
        <v>16.84</v>
      </c>
      <c r="DB139" s="228">
        <v>-0.15</v>
      </c>
      <c r="DC139" s="228">
        <v>-0.15</v>
      </c>
      <c r="DD139" s="228">
        <v>22.62</v>
      </c>
      <c r="DE139" s="228">
        <v>22.66</v>
      </c>
      <c r="DF139" s="228">
        <v>-5.93</v>
      </c>
      <c r="DG139" s="228">
        <v>-0.04</v>
      </c>
      <c r="DH139" s="228">
        <v>16.440000000000001</v>
      </c>
      <c r="DI139" s="228">
        <v>16.7</v>
      </c>
      <c r="DJ139" s="228">
        <v>-0.26</v>
      </c>
      <c r="DK139" s="228">
        <v>-0.26</v>
      </c>
      <c r="DL139" s="228">
        <v>17.45</v>
      </c>
      <c r="DM139" s="228">
        <v>17.18</v>
      </c>
      <c r="DN139" s="228">
        <v>0.27</v>
      </c>
      <c r="DO139" s="228">
        <v>0.27</v>
      </c>
      <c r="DP139" s="228">
        <v>0.53</v>
      </c>
      <c r="DQ139" s="228">
        <v>0.56999999999999995</v>
      </c>
      <c r="DR139" s="228">
        <v>-0.04</v>
      </c>
      <c r="DS139" s="229">
        <v>-7.0199999999999999E-2</v>
      </c>
      <c r="DT139" s="231">
        <v>1300</v>
      </c>
      <c r="DU139" s="231">
        <v>1200</v>
      </c>
      <c r="DV139" s="228">
        <v>0.34</v>
      </c>
      <c r="DW139" s="228">
        <v>0.4</v>
      </c>
      <c r="DX139" s="228">
        <v>-0.06</v>
      </c>
      <c r="DY139" s="229">
        <v>-0.15</v>
      </c>
      <c r="DZ139" s="229">
        <v>9.9000000000000008E-3</v>
      </c>
      <c r="EA139" s="230">
        <v>152500</v>
      </c>
      <c r="EB139" s="229">
        <v>1.5E-3</v>
      </c>
      <c r="EC139" s="229">
        <v>9.9000000000000008E-3</v>
      </c>
      <c r="ED139" s="228">
        <v>0.77</v>
      </c>
      <c r="EE139" s="229">
        <v>5.9999999999999995E-4</v>
      </c>
      <c r="EF139" s="230">
        <v>571341</v>
      </c>
      <c r="EG139" s="230">
        <v>485281</v>
      </c>
      <c r="EH139" s="229">
        <v>0.17730000000000001</v>
      </c>
      <c r="EI139" s="229">
        <v>0.60189999999999999</v>
      </c>
      <c r="EJ139" s="231">
        <v>36074.559999999998</v>
      </c>
      <c r="EK139" s="231">
        <v>11761.16</v>
      </c>
      <c r="EL139" s="231">
        <v>13752.32</v>
      </c>
      <c r="EM139" s="231">
        <v>12298</v>
      </c>
      <c r="EN139" s="231">
        <v>61588.04</v>
      </c>
      <c r="EO139" s="231">
        <v>78201.440000000002</v>
      </c>
      <c r="EP139" s="231">
        <v>-16613.400000000001</v>
      </c>
      <c r="EQ139" s="229">
        <v>-0.21240000000000001</v>
      </c>
      <c r="ER139" s="231">
        <v>25044</v>
      </c>
      <c r="ES139" s="231">
        <v>12374</v>
      </c>
      <c r="ET139" s="231">
        <v>213026</v>
      </c>
      <c r="EU139" s="231">
        <v>71801274</v>
      </c>
      <c r="EV139" s="231">
        <v>250445</v>
      </c>
      <c r="EW139" s="231">
        <v>246275</v>
      </c>
      <c r="EX139" s="231">
        <v>4170</v>
      </c>
      <c r="EY139" s="229">
        <v>1.6899999999999998E-2</v>
      </c>
      <c r="EZ139" s="229">
        <v>0.26829999999999998</v>
      </c>
      <c r="FA139" s="227" t="s">
        <v>556</v>
      </c>
      <c r="FB139" s="161">
        <f>BX139-CB139</f>
        <v>162500</v>
      </c>
    </row>
    <row r="140" spans="1:158" ht="17.25" hidden="1" thickBot="1" x14ac:dyDescent="0.3">
      <c r="A140" s="226">
        <v>46023</v>
      </c>
      <c r="B140" s="227" t="s">
        <v>161</v>
      </c>
      <c r="C140" s="227" t="s">
        <v>585</v>
      </c>
      <c r="D140" s="228">
        <v>6400</v>
      </c>
      <c r="E140" s="228">
        <v>80.06</v>
      </c>
      <c r="F140" s="228">
        <v>79.47</v>
      </c>
      <c r="G140" s="228">
        <v>0.59</v>
      </c>
      <c r="H140" s="229">
        <v>7.4000000000000003E-3</v>
      </c>
      <c r="I140" s="228">
        <v>79.56</v>
      </c>
      <c r="J140" s="228">
        <v>79.22</v>
      </c>
      <c r="K140" s="228">
        <v>0.34</v>
      </c>
      <c r="L140" s="229">
        <v>4.3E-3</v>
      </c>
      <c r="M140" s="228">
        <v>80.06</v>
      </c>
      <c r="N140" s="228">
        <v>79.47</v>
      </c>
      <c r="O140" s="228">
        <v>0.59</v>
      </c>
      <c r="P140" s="229">
        <v>7.4000000000000003E-3</v>
      </c>
      <c r="Q140" s="228">
        <v>79.489999999999995</v>
      </c>
      <c r="R140" s="228">
        <v>78.900000000000006</v>
      </c>
      <c r="S140" s="228">
        <v>0.59</v>
      </c>
      <c r="T140" s="229">
        <v>7.4999999999999997E-3</v>
      </c>
      <c r="U140" s="228">
        <v>79.72</v>
      </c>
      <c r="V140" s="228">
        <v>79.349999999999994</v>
      </c>
      <c r="W140" s="228">
        <v>0.37</v>
      </c>
      <c r="X140" s="229">
        <v>4.7000000000000002E-3</v>
      </c>
      <c r="Y140" s="228">
        <v>0.5</v>
      </c>
      <c r="Z140" s="228">
        <v>0.25</v>
      </c>
      <c r="AA140" s="228">
        <v>0.25</v>
      </c>
      <c r="AB140" s="229">
        <v>6.3E-3</v>
      </c>
      <c r="AC140" s="228">
        <v>0.5</v>
      </c>
      <c r="AD140" s="228">
        <v>0.25</v>
      </c>
      <c r="AE140" s="228">
        <v>0.25</v>
      </c>
      <c r="AF140" s="229">
        <v>6.3E-3</v>
      </c>
      <c r="AG140" s="228">
        <v>-7.0000000000000007E-2</v>
      </c>
      <c r="AH140" s="228">
        <v>-0.32</v>
      </c>
      <c r="AI140" s="228">
        <v>0.25</v>
      </c>
      <c r="AJ140" s="229">
        <v>-8.9999999999999998E-4</v>
      </c>
      <c r="AK140" s="228">
        <v>0.16</v>
      </c>
      <c r="AL140" s="228">
        <v>0.13</v>
      </c>
      <c r="AM140" s="228">
        <v>0.03</v>
      </c>
      <c r="AN140" s="229">
        <v>2E-3</v>
      </c>
      <c r="AO140" s="228">
        <v>80.069999999999993</v>
      </c>
      <c r="AP140" s="228">
        <v>79.55</v>
      </c>
      <c r="AQ140" s="228">
        <v>0</v>
      </c>
      <c r="AR140" s="230">
        <v>5856000</v>
      </c>
      <c r="AS140" s="230">
        <v>12761600</v>
      </c>
      <c r="AT140" s="230">
        <v>-6905600</v>
      </c>
      <c r="AU140" s="229">
        <v>-0.54110000000000003</v>
      </c>
      <c r="AV140" s="230">
        <v>5228800</v>
      </c>
      <c r="AW140" s="230">
        <v>11596800</v>
      </c>
      <c r="AX140" s="230">
        <v>-6368000</v>
      </c>
      <c r="AY140" s="229">
        <v>-0.54910000000000003</v>
      </c>
      <c r="AZ140" s="230">
        <v>601600</v>
      </c>
      <c r="BA140" s="230">
        <v>1056000</v>
      </c>
      <c r="BB140" s="230">
        <v>-454400</v>
      </c>
      <c r="BC140" s="229">
        <v>-0.43030000000000002</v>
      </c>
      <c r="BD140" s="230">
        <v>25600</v>
      </c>
      <c r="BE140" s="230">
        <v>108800</v>
      </c>
      <c r="BF140" s="230">
        <v>-83200</v>
      </c>
      <c r="BG140" s="229">
        <v>-0.76470000000000005</v>
      </c>
      <c r="BH140" s="230">
        <v>21017600</v>
      </c>
      <c r="BI140" s="230">
        <v>36787200</v>
      </c>
      <c r="BJ140" s="230">
        <v>-15769600</v>
      </c>
      <c r="BK140" s="229">
        <v>-0.42870000000000003</v>
      </c>
      <c r="BL140" s="230">
        <v>8198400</v>
      </c>
      <c r="BM140" s="230">
        <v>10508800</v>
      </c>
      <c r="BN140" s="230">
        <v>-2310400</v>
      </c>
      <c r="BO140" s="229">
        <v>-0.21990000000000001</v>
      </c>
      <c r="BP140" s="230">
        <v>35072000</v>
      </c>
      <c r="BQ140" s="230">
        <v>60057600</v>
      </c>
      <c r="BR140" s="230">
        <v>-24985600</v>
      </c>
      <c r="BS140" s="229">
        <v>-0.41599999999999998</v>
      </c>
      <c r="BT140" s="230">
        <v>7263282</v>
      </c>
      <c r="BU140" s="230">
        <v>12593481</v>
      </c>
      <c r="BV140" s="230">
        <v>-5330199</v>
      </c>
      <c r="BW140" s="229">
        <v>-0.42330000000000001</v>
      </c>
      <c r="BX140" s="230">
        <v>71968000</v>
      </c>
      <c r="BY140" s="230">
        <v>71270400</v>
      </c>
      <c r="BZ140" s="230">
        <v>697600</v>
      </c>
      <c r="CA140" s="229">
        <v>9.7999999999999997E-3</v>
      </c>
      <c r="CB140" s="230">
        <v>67270400</v>
      </c>
      <c r="CC140" s="230">
        <v>66732800</v>
      </c>
      <c r="CD140" s="230">
        <v>537600</v>
      </c>
      <c r="CE140" s="229">
        <v>8.0999999999999996E-3</v>
      </c>
      <c r="CF140" s="230">
        <v>4582400</v>
      </c>
      <c r="CG140" s="230">
        <v>4428800</v>
      </c>
      <c r="CH140" s="230">
        <v>153600</v>
      </c>
      <c r="CI140" s="229">
        <v>3.4700000000000002E-2</v>
      </c>
      <c r="CJ140" s="230">
        <v>115200</v>
      </c>
      <c r="CK140" s="230">
        <v>108800</v>
      </c>
      <c r="CL140" s="230">
        <v>6400</v>
      </c>
      <c r="CM140" s="229">
        <v>5.8799999999999998E-2</v>
      </c>
      <c r="CN140" s="230">
        <v>25561600</v>
      </c>
      <c r="CO140" s="230">
        <v>25241600</v>
      </c>
      <c r="CP140" s="230">
        <v>320000</v>
      </c>
      <c r="CQ140" s="229">
        <v>1.2699999999999999E-2</v>
      </c>
      <c r="CR140" s="230">
        <v>12358400</v>
      </c>
      <c r="CS140" s="230">
        <v>10611200</v>
      </c>
      <c r="CT140" s="230">
        <v>1747200</v>
      </c>
      <c r="CU140" s="229">
        <v>0.16470000000000001</v>
      </c>
      <c r="CV140" s="230">
        <v>109888000</v>
      </c>
      <c r="CW140" s="230">
        <v>107123200</v>
      </c>
      <c r="CX140" s="230">
        <v>2764800</v>
      </c>
      <c r="CY140" s="229">
        <v>2.58E-2</v>
      </c>
      <c r="CZ140" s="228">
        <v>25.47</v>
      </c>
      <c r="DA140" s="228">
        <v>27.09</v>
      </c>
      <c r="DB140" s="228">
        <v>-1.62</v>
      </c>
      <c r="DC140" s="228">
        <v>-1.62</v>
      </c>
      <c r="DD140" s="228">
        <v>36.270000000000003</v>
      </c>
      <c r="DE140" s="228">
        <v>36.35</v>
      </c>
      <c r="DF140" s="228">
        <v>-10.8</v>
      </c>
      <c r="DG140" s="228">
        <v>-0.08</v>
      </c>
      <c r="DH140" s="228">
        <v>25.87</v>
      </c>
      <c r="DI140" s="228">
        <v>27.48</v>
      </c>
      <c r="DJ140" s="228">
        <v>-1.61</v>
      </c>
      <c r="DK140" s="228">
        <v>-1.61</v>
      </c>
      <c r="DL140" s="228">
        <v>24.44</v>
      </c>
      <c r="DM140" s="228">
        <v>25.71</v>
      </c>
      <c r="DN140" s="228">
        <v>-1.27</v>
      </c>
      <c r="DO140" s="228">
        <v>-1.27</v>
      </c>
      <c r="DP140" s="228">
        <v>0.48</v>
      </c>
      <c r="DQ140" s="228">
        <v>0.42</v>
      </c>
      <c r="DR140" s="228">
        <v>0.06</v>
      </c>
      <c r="DS140" s="229">
        <v>0.1429</v>
      </c>
      <c r="DT140" s="228">
        <v>90</v>
      </c>
      <c r="DU140" s="228">
        <v>80</v>
      </c>
      <c r="DV140" s="228">
        <v>0.39</v>
      </c>
      <c r="DW140" s="228">
        <v>0.28999999999999998</v>
      </c>
      <c r="DX140" s="228">
        <v>0.1</v>
      </c>
      <c r="DY140" s="229">
        <v>0.3448</v>
      </c>
      <c r="DZ140" s="229">
        <v>6.5299999999999997E-2</v>
      </c>
      <c r="EA140" s="230">
        <v>4537600</v>
      </c>
      <c r="EB140" s="229">
        <v>-7.1000000000000004E-3</v>
      </c>
      <c r="EC140" s="229">
        <v>6.5299999999999997E-2</v>
      </c>
      <c r="ED140" s="228">
        <v>-0.52</v>
      </c>
      <c r="EE140" s="229">
        <v>-6.4999999999999997E-3</v>
      </c>
      <c r="EF140" s="230">
        <v>3771231</v>
      </c>
      <c r="EG140" s="230">
        <v>7266588</v>
      </c>
      <c r="EH140" s="229">
        <v>-0.48099999999999998</v>
      </c>
      <c r="EI140" s="229">
        <v>0.51919999999999999</v>
      </c>
      <c r="EJ140" s="231">
        <v>17759.87</v>
      </c>
      <c r="EK140" s="231">
        <v>6448.92</v>
      </c>
      <c r="EL140" s="231">
        <v>4685.72</v>
      </c>
      <c r="EM140" s="231">
        <v>6157</v>
      </c>
      <c r="EN140" s="231">
        <v>28894.51</v>
      </c>
      <c r="EO140" s="231">
        <v>49825.86</v>
      </c>
      <c r="EP140" s="231">
        <v>-20931.349999999999</v>
      </c>
      <c r="EQ140" s="229">
        <v>-0.42009999999999997</v>
      </c>
      <c r="ER140" s="231">
        <v>21511</v>
      </c>
      <c r="ES140" s="231">
        <v>9536</v>
      </c>
      <c r="ET140" s="231">
        <v>57591</v>
      </c>
      <c r="EU140" s="231">
        <v>491233252</v>
      </c>
      <c r="EV140" s="231">
        <v>88638</v>
      </c>
      <c r="EW140" s="231">
        <v>86030</v>
      </c>
      <c r="EX140" s="231">
        <v>2608</v>
      </c>
      <c r="EY140" s="229">
        <v>3.0300000000000001E-2</v>
      </c>
      <c r="EZ140" s="229">
        <v>0.22370000000000001</v>
      </c>
      <c r="FA140" s="227" t="s">
        <v>555</v>
      </c>
      <c r="FB140" s="161">
        <f>BX140-CB140</f>
        <v>4697600</v>
      </c>
    </row>
    <row r="141" spans="1:158" ht="17.25" hidden="1" thickBot="1" x14ac:dyDescent="0.3">
      <c r="A141" s="226">
        <v>46023</v>
      </c>
      <c r="B141" s="227" t="s">
        <v>181</v>
      </c>
      <c r="C141" s="227" t="s">
        <v>266</v>
      </c>
      <c r="D141" s="228">
        <v>65</v>
      </c>
      <c r="E141" s="231">
        <v>26290.400000000001</v>
      </c>
      <c r="F141" s="231">
        <v>26296.3</v>
      </c>
      <c r="G141" s="228">
        <v>-5.9</v>
      </c>
      <c r="H141" s="229">
        <v>-2.0000000000000001E-4</v>
      </c>
      <c r="I141" s="231">
        <v>26146.55</v>
      </c>
      <c r="J141" s="231">
        <v>26129.599999999999</v>
      </c>
      <c r="K141" s="228">
        <v>16.95</v>
      </c>
      <c r="L141" s="229">
        <v>5.9999999999999995E-4</v>
      </c>
      <c r="M141" s="231">
        <v>26290.400000000001</v>
      </c>
      <c r="N141" s="231">
        <v>26296.3</v>
      </c>
      <c r="O141" s="228">
        <v>-5.9</v>
      </c>
      <c r="P141" s="229">
        <v>-2.0000000000000001E-4</v>
      </c>
      <c r="Q141" s="231">
        <v>26436.9</v>
      </c>
      <c r="R141" s="231">
        <v>26438</v>
      </c>
      <c r="S141" s="228">
        <v>-1.1000000000000001</v>
      </c>
      <c r="T141" s="229">
        <v>0</v>
      </c>
      <c r="U141" s="231">
        <v>26621</v>
      </c>
      <c r="V141" s="231">
        <v>26617.1</v>
      </c>
      <c r="W141" s="228">
        <v>3.9</v>
      </c>
      <c r="X141" s="229">
        <v>1E-4</v>
      </c>
      <c r="Y141" s="228">
        <v>143.85</v>
      </c>
      <c r="Z141" s="228">
        <v>166.7</v>
      </c>
      <c r="AA141" s="228">
        <v>-22.85</v>
      </c>
      <c r="AB141" s="229">
        <v>5.4999999999999997E-3</v>
      </c>
      <c r="AC141" s="228">
        <v>143.85</v>
      </c>
      <c r="AD141" s="228">
        <v>166.7</v>
      </c>
      <c r="AE141" s="228">
        <v>-22.85</v>
      </c>
      <c r="AF141" s="229">
        <v>5.4999999999999997E-3</v>
      </c>
      <c r="AG141" s="228">
        <v>290.35000000000002</v>
      </c>
      <c r="AH141" s="228">
        <v>308.39999999999998</v>
      </c>
      <c r="AI141" s="228">
        <v>-18.05</v>
      </c>
      <c r="AJ141" s="229">
        <v>1.11E-2</v>
      </c>
      <c r="AK141" s="228">
        <v>474.45</v>
      </c>
      <c r="AL141" s="228">
        <v>487.5</v>
      </c>
      <c r="AM141" s="228">
        <v>-13.05</v>
      </c>
      <c r="AN141" s="229">
        <v>1.8100000000000002E-2</v>
      </c>
      <c r="AO141" s="231">
        <v>26299.27</v>
      </c>
      <c r="AP141" s="231">
        <v>26440.58</v>
      </c>
      <c r="AQ141" s="228">
        <v>0</v>
      </c>
      <c r="AR141" s="230">
        <v>2203955</v>
      </c>
      <c r="AS141" s="230">
        <v>5238480</v>
      </c>
      <c r="AT141" s="230">
        <v>-3034525</v>
      </c>
      <c r="AU141" s="229">
        <v>-0.57930000000000004</v>
      </c>
      <c r="AV141" s="230">
        <v>2035735</v>
      </c>
      <c r="AW141" s="230">
        <v>4741230</v>
      </c>
      <c r="AX141" s="230">
        <v>-2705495</v>
      </c>
      <c r="AY141" s="229">
        <v>-0.5706</v>
      </c>
      <c r="AZ141" s="230">
        <v>110695</v>
      </c>
      <c r="BA141" s="230">
        <v>331305</v>
      </c>
      <c r="BB141" s="230">
        <v>-220610</v>
      </c>
      <c r="BC141" s="229">
        <v>-0.66590000000000005</v>
      </c>
      <c r="BD141" s="230">
        <v>57525</v>
      </c>
      <c r="BE141" s="230">
        <v>165945</v>
      </c>
      <c r="BF141" s="230">
        <v>-108420</v>
      </c>
      <c r="BG141" s="229">
        <v>-0.65329999999999999</v>
      </c>
      <c r="BH141" s="230">
        <v>1555363550</v>
      </c>
      <c r="BI141" s="230">
        <v>2047867835</v>
      </c>
      <c r="BJ141" s="230">
        <v>-492504285</v>
      </c>
      <c r="BK141" s="229">
        <v>-0.24049999999999999</v>
      </c>
      <c r="BL141" s="230">
        <v>1629864275</v>
      </c>
      <c r="BM141" s="230">
        <v>1793001730</v>
      </c>
      <c r="BN141" s="230">
        <v>-163137455</v>
      </c>
      <c r="BO141" s="229">
        <v>-9.0999999999999998E-2</v>
      </c>
      <c r="BP141" s="230">
        <v>3187431780</v>
      </c>
      <c r="BQ141" s="230">
        <v>3846108045</v>
      </c>
      <c r="BR141" s="230">
        <v>-658676265</v>
      </c>
      <c r="BS141" s="229">
        <v>-0.17130000000000001</v>
      </c>
      <c r="BT141" s="228">
        <v>0</v>
      </c>
      <c r="BU141" s="228">
        <v>0</v>
      </c>
      <c r="BV141" s="228">
        <v>0</v>
      </c>
      <c r="BW141" s="229">
        <v>0</v>
      </c>
      <c r="BX141" s="230">
        <v>15379715</v>
      </c>
      <c r="BY141" s="230">
        <v>15360605</v>
      </c>
      <c r="BZ141" s="230">
        <v>19110</v>
      </c>
      <c r="CA141" s="229">
        <v>1.1999999999999999E-3</v>
      </c>
      <c r="CB141" s="230">
        <v>14003665</v>
      </c>
      <c r="CC141" s="230">
        <v>14026480</v>
      </c>
      <c r="CD141" s="230">
        <v>-22815</v>
      </c>
      <c r="CE141" s="229">
        <v>-1.6000000000000001E-3</v>
      </c>
      <c r="CF141" s="230">
        <v>1206140</v>
      </c>
      <c r="CG141" s="230">
        <v>1195610</v>
      </c>
      <c r="CH141" s="230">
        <v>10530</v>
      </c>
      <c r="CI141" s="229">
        <v>8.8000000000000005E-3</v>
      </c>
      <c r="CJ141" s="230">
        <v>169910</v>
      </c>
      <c r="CK141" s="230">
        <v>138515</v>
      </c>
      <c r="CL141" s="230">
        <v>31395</v>
      </c>
      <c r="CM141" s="229">
        <v>0.22670000000000001</v>
      </c>
      <c r="CN141" s="230">
        <v>210725375</v>
      </c>
      <c r="CO141" s="230">
        <v>166041610</v>
      </c>
      <c r="CP141" s="230">
        <v>44683765</v>
      </c>
      <c r="CQ141" s="229">
        <v>0.26910000000000001</v>
      </c>
      <c r="CR141" s="230">
        <v>238406035</v>
      </c>
      <c r="CS141" s="230">
        <v>210255040</v>
      </c>
      <c r="CT141" s="230">
        <v>28150995</v>
      </c>
      <c r="CU141" s="229">
        <v>0.13389999999999999</v>
      </c>
      <c r="CV141" s="230">
        <v>464511125</v>
      </c>
      <c r="CW141" s="230">
        <v>391657255</v>
      </c>
      <c r="CX141" s="230">
        <v>72853870</v>
      </c>
      <c r="CY141" s="229">
        <v>0.186</v>
      </c>
      <c r="CZ141" s="228">
        <v>8.43</v>
      </c>
      <c r="DA141" s="228">
        <v>8.8000000000000007</v>
      </c>
      <c r="DB141" s="228">
        <v>-0.37</v>
      </c>
      <c r="DC141" s="228">
        <v>-0.37</v>
      </c>
      <c r="DD141" s="228">
        <v>13.9</v>
      </c>
      <c r="DE141" s="228">
        <v>13.94</v>
      </c>
      <c r="DF141" s="228">
        <v>-5.47</v>
      </c>
      <c r="DG141" s="228">
        <v>-0.04</v>
      </c>
      <c r="DH141" s="228">
        <v>7.84</v>
      </c>
      <c r="DI141" s="228">
        <v>8.0299999999999994</v>
      </c>
      <c r="DJ141" s="228">
        <v>-0.19</v>
      </c>
      <c r="DK141" s="228">
        <v>-0.19</v>
      </c>
      <c r="DL141" s="228">
        <v>9.01</v>
      </c>
      <c r="DM141" s="228">
        <v>9.67</v>
      </c>
      <c r="DN141" s="228">
        <v>-0.66</v>
      </c>
      <c r="DO141" s="228">
        <v>-0.66</v>
      </c>
      <c r="DP141" s="228">
        <v>1.1299999999999999</v>
      </c>
      <c r="DQ141" s="228">
        <v>1.27</v>
      </c>
      <c r="DR141" s="228">
        <v>-0.14000000000000001</v>
      </c>
      <c r="DS141" s="229">
        <v>-0.11020000000000001</v>
      </c>
      <c r="DT141" s="231">
        <v>26200</v>
      </c>
      <c r="DU141" s="231">
        <v>26000</v>
      </c>
      <c r="DV141" s="228">
        <v>1.05</v>
      </c>
      <c r="DW141" s="228">
        <v>0.88</v>
      </c>
      <c r="DX141" s="228">
        <v>0.17</v>
      </c>
      <c r="DY141" s="229">
        <v>0.19320000000000001</v>
      </c>
      <c r="DZ141" s="229">
        <v>8.9499999999999996E-2</v>
      </c>
      <c r="EA141" s="230">
        <v>1334125</v>
      </c>
      <c r="EB141" s="229">
        <v>5.5999999999999999E-3</v>
      </c>
      <c r="EC141" s="229">
        <v>8.9499999999999996E-2</v>
      </c>
      <c r="ED141" s="228">
        <v>141.31</v>
      </c>
      <c r="EE141" s="229">
        <v>5.4000000000000003E-3</v>
      </c>
      <c r="EF141" s="228">
        <v>0</v>
      </c>
      <c r="EG141" s="228">
        <v>0</v>
      </c>
      <c r="EH141" s="229">
        <v>0</v>
      </c>
      <c r="EI141" s="229">
        <v>0</v>
      </c>
      <c r="EJ141" s="231">
        <v>411090778.92000002</v>
      </c>
      <c r="EK141" s="231">
        <v>422691542.19999999</v>
      </c>
      <c r="EL141" s="231">
        <v>579965.42000000004</v>
      </c>
      <c r="EM141" s="231">
        <v>149000</v>
      </c>
      <c r="EN141" s="231">
        <v>834362286.53999996</v>
      </c>
      <c r="EO141" s="231">
        <v>1005556159.04</v>
      </c>
      <c r="EP141" s="231">
        <v>-171193872.5</v>
      </c>
      <c r="EQ141" s="229">
        <v>-0.17019999999999999</v>
      </c>
      <c r="ER141" s="231">
        <v>56015036</v>
      </c>
      <c r="ES141" s="231">
        <v>60972437</v>
      </c>
      <c r="ET141" s="231">
        <v>4045717</v>
      </c>
      <c r="EU141" s="228">
        <v>0</v>
      </c>
      <c r="EV141" s="231">
        <v>121033190</v>
      </c>
      <c r="EW141" s="231">
        <v>101927960</v>
      </c>
      <c r="EX141" s="231">
        <v>19105230</v>
      </c>
      <c r="EY141" s="229">
        <v>0.18740000000000001</v>
      </c>
      <c r="EZ141" s="229">
        <v>0</v>
      </c>
      <c r="FA141" s="227" t="s">
        <v>567</v>
      </c>
      <c r="FB141" s="161">
        <f>BX215-CB215</f>
        <v>258300</v>
      </c>
    </row>
    <row r="142" spans="1:158" ht="17.25" hidden="1" thickBot="1" x14ac:dyDescent="0.3">
      <c r="A142" s="226">
        <v>46023</v>
      </c>
      <c r="B142" s="227" t="s">
        <v>181</v>
      </c>
      <c r="C142" s="227" t="s">
        <v>566</v>
      </c>
      <c r="D142" s="228">
        <v>25</v>
      </c>
      <c r="E142" s="231">
        <v>69942</v>
      </c>
      <c r="F142" s="231">
        <v>69597.600000000006</v>
      </c>
      <c r="G142" s="228">
        <v>344.4</v>
      </c>
      <c r="H142" s="229">
        <v>4.8999999999999998E-3</v>
      </c>
      <c r="I142" s="231">
        <v>69675.399999999994</v>
      </c>
      <c r="J142" s="231">
        <v>69364.5</v>
      </c>
      <c r="K142" s="228">
        <v>310.89999999999998</v>
      </c>
      <c r="L142" s="229">
        <v>4.4999999999999997E-3</v>
      </c>
      <c r="M142" s="231">
        <v>69942</v>
      </c>
      <c r="N142" s="231">
        <v>69597.600000000006</v>
      </c>
      <c r="O142" s="228">
        <v>344.4</v>
      </c>
      <c r="P142" s="229">
        <v>4.8999999999999998E-3</v>
      </c>
      <c r="Q142" s="231">
        <v>70392.399999999994</v>
      </c>
      <c r="R142" s="231">
        <v>70042.8</v>
      </c>
      <c r="S142" s="228">
        <v>349.6</v>
      </c>
      <c r="T142" s="229">
        <v>5.0000000000000001E-3</v>
      </c>
      <c r="U142" s="228">
        <v>0</v>
      </c>
      <c r="V142" s="228">
        <v>0</v>
      </c>
      <c r="W142" s="228">
        <v>0</v>
      </c>
      <c r="X142" s="229">
        <v>0</v>
      </c>
      <c r="Y142" s="228">
        <v>266.60000000000002</v>
      </c>
      <c r="Z142" s="228">
        <v>233.1</v>
      </c>
      <c r="AA142" s="228">
        <v>33.5</v>
      </c>
      <c r="AB142" s="229">
        <v>3.8E-3</v>
      </c>
      <c r="AC142" s="228">
        <v>266.60000000000002</v>
      </c>
      <c r="AD142" s="228">
        <v>233.1</v>
      </c>
      <c r="AE142" s="228">
        <v>33.5</v>
      </c>
      <c r="AF142" s="229">
        <v>3.8E-3</v>
      </c>
      <c r="AG142" s="228">
        <v>717</v>
      </c>
      <c r="AH142" s="228">
        <v>678.3</v>
      </c>
      <c r="AI142" s="228">
        <v>38.700000000000003</v>
      </c>
      <c r="AJ142" s="229">
        <v>1.03E-2</v>
      </c>
      <c r="AK142" s="228">
        <v>0</v>
      </c>
      <c r="AL142" s="228">
        <v>0</v>
      </c>
      <c r="AM142" s="228">
        <v>0</v>
      </c>
      <c r="AN142" s="229">
        <v>0</v>
      </c>
      <c r="AO142" s="231">
        <v>69740.81</v>
      </c>
      <c r="AP142" s="231">
        <v>70245.710000000006</v>
      </c>
      <c r="AQ142" s="228">
        <v>0</v>
      </c>
      <c r="AR142" s="230">
        <v>5700</v>
      </c>
      <c r="AS142" s="230">
        <v>10300</v>
      </c>
      <c r="AT142" s="230">
        <v>-4600</v>
      </c>
      <c r="AU142" s="229">
        <v>-0.4466</v>
      </c>
      <c r="AV142" s="230">
        <v>5525</v>
      </c>
      <c r="AW142" s="230">
        <v>9825</v>
      </c>
      <c r="AX142" s="230">
        <v>-4300</v>
      </c>
      <c r="AY142" s="229">
        <v>-0.43769999999999998</v>
      </c>
      <c r="AZ142" s="228">
        <v>175</v>
      </c>
      <c r="BA142" s="228">
        <v>475</v>
      </c>
      <c r="BB142" s="228">
        <v>-300</v>
      </c>
      <c r="BC142" s="229">
        <v>-0.63160000000000005</v>
      </c>
      <c r="BD142" s="228">
        <v>0</v>
      </c>
      <c r="BE142" s="228">
        <v>0</v>
      </c>
      <c r="BF142" s="228">
        <v>0</v>
      </c>
      <c r="BG142" s="229">
        <v>0</v>
      </c>
      <c r="BH142" s="230">
        <v>7600</v>
      </c>
      <c r="BI142" s="230">
        <v>7525</v>
      </c>
      <c r="BJ142" s="228">
        <v>75</v>
      </c>
      <c r="BK142" s="229">
        <v>0.01</v>
      </c>
      <c r="BL142" s="230">
        <v>4975</v>
      </c>
      <c r="BM142" s="230">
        <v>2400</v>
      </c>
      <c r="BN142" s="230">
        <v>2575</v>
      </c>
      <c r="BO142" s="229">
        <v>1.0729</v>
      </c>
      <c r="BP142" s="230">
        <v>18275</v>
      </c>
      <c r="BQ142" s="230">
        <v>20225</v>
      </c>
      <c r="BR142" s="230">
        <v>-1950</v>
      </c>
      <c r="BS142" s="229">
        <v>-9.64E-2</v>
      </c>
      <c r="BT142" s="228">
        <v>0</v>
      </c>
      <c r="BU142" s="228">
        <v>0</v>
      </c>
      <c r="BV142" s="228">
        <v>0</v>
      </c>
      <c r="BW142" s="229">
        <v>0</v>
      </c>
      <c r="BX142" s="230">
        <v>22500</v>
      </c>
      <c r="BY142" s="230">
        <v>22900</v>
      </c>
      <c r="BZ142" s="228">
        <v>-400</v>
      </c>
      <c r="CA142" s="229">
        <v>-1.7500000000000002E-2</v>
      </c>
      <c r="CB142" s="230">
        <v>22000</v>
      </c>
      <c r="CC142" s="230">
        <v>22475</v>
      </c>
      <c r="CD142" s="228">
        <v>-475</v>
      </c>
      <c r="CE142" s="229">
        <v>-2.1100000000000001E-2</v>
      </c>
      <c r="CF142" s="228">
        <v>500</v>
      </c>
      <c r="CG142" s="228">
        <v>425</v>
      </c>
      <c r="CH142" s="228">
        <v>75</v>
      </c>
      <c r="CI142" s="229">
        <v>0.17649999999999999</v>
      </c>
      <c r="CJ142" s="228">
        <v>0</v>
      </c>
      <c r="CK142" s="228">
        <v>0</v>
      </c>
      <c r="CL142" s="228">
        <v>0</v>
      </c>
      <c r="CM142" s="229">
        <v>0</v>
      </c>
      <c r="CN142" s="230">
        <v>2000</v>
      </c>
      <c r="CO142" s="230">
        <v>1125</v>
      </c>
      <c r="CP142" s="228">
        <v>875</v>
      </c>
      <c r="CQ142" s="229">
        <v>0.77780000000000005</v>
      </c>
      <c r="CR142" s="230">
        <v>1075</v>
      </c>
      <c r="CS142" s="228">
        <v>875</v>
      </c>
      <c r="CT142" s="228">
        <v>200</v>
      </c>
      <c r="CU142" s="229">
        <v>0.2286</v>
      </c>
      <c r="CV142" s="230">
        <v>25575</v>
      </c>
      <c r="CW142" s="230">
        <v>24900</v>
      </c>
      <c r="CX142" s="228">
        <v>675</v>
      </c>
      <c r="CY142" s="229">
        <v>2.7099999999999999E-2</v>
      </c>
      <c r="CZ142" s="228">
        <v>11.93</v>
      </c>
      <c r="DA142" s="228">
        <v>12.39</v>
      </c>
      <c r="DB142" s="228">
        <v>-0.46</v>
      </c>
      <c r="DC142" s="228">
        <v>-0.46</v>
      </c>
      <c r="DD142" s="228">
        <v>19.579999999999998</v>
      </c>
      <c r="DE142" s="228">
        <v>19.62</v>
      </c>
      <c r="DF142" s="228">
        <v>-7.65</v>
      </c>
      <c r="DG142" s="228">
        <v>-0.04</v>
      </c>
      <c r="DH142" s="228">
        <v>11.64</v>
      </c>
      <c r="DI142" s="228">
        <v>12.47</v>
      </c>
      <c r="DJ142" s="228">
        <v>-0.83</v>
      </c>
      <c r="DK142" s="228">
        <v>-0.83</v>
      </c>
      <c r="DL142" s="228">
        <v>12.39</v>
      </c>
      <c r="DM142" s="228">
        <v>12.13</v>
      </c>
      <c r="DN142" s="228">
        <v>0.26</v>
      </c>
      <c r="DO142" s="228">
        <v>0.26</v>
      </c>
      <c r="DP142" s="228">
        <v>0.54</v>
      </c>
      <c r="DQ142" s="228">
        <v>0.78</v>
      </c>
      <c r="DR142" s="228">
        <v>-0.24</v>
      </c>
      <c r="DS142" s="229">
        <v>-0.30769999999999997</v>
      </c>
      <c r="DT142" s="231">
        <v>70000</v>
      </c>
      <c r="DU142" s="231">
        <v>69500</v>
      </c>
      <c r="DV142" s="228">
        <v>0.65</v>
      </c>
      <c r="DW142" s="228">
        <v>0.32</v>
      </c>
      <c r="DX142" s="228">
        <v>0.33</v>
      </c>
      <c r="DY142" s="229">
        <v>1.0313000000000001</v>
      </c>
      <c r="DZ142" s="229">
        <v>2.2200000000000001E-2</v>
      </c>
      <c r="EA142" s="228">
        <v>425</v>
      </c>
      <c r="EB142" s="229">
        <v>6.4000000000000003E-3</v>
      </c>
      <c r="EC142" s="229">
        <v>2.2200000000000001E-2</v>
      </c>
      <c r="ED142" s="228">
        <v>504.9</v>
      </c>
      <c r="EE142" s="229">
        <v>7.1999999999999998E-3</v>
      </c>
      <c r="EF142" s="228">
        <v>0</v>
      </c>
      <c r="EG142" s="228">
        <v>0</v>
      </c>
      <c r="EH142" s="229">
        <v>0</v>
      </c>
      <c r="EI142" s="229">
        <v>0</v>
      </c>
      <c r="EJ142" s="231">
        <v>5366.9</v>
      </c>
      <c r="EK142" s="231">
        <v>3483.46</v>
      </c>
      <c r="EL142" s="231">
        <v>3976.11</v>
      </c>
      <c r="EM142" s="228">
        <v>0</v>
      </c>
      <c r="EN142" s="231">
        <v>12826.47</v>
      </c>
      <c r="EO142" s="231">
        <v>14166.54</v>
      </c>
      <c r="EP142" s="231">
        <v>-1340.07</v>
      </c>
      <c r="EQ142" s="229">
        <v>-9.4600000000000004E-2</v>
      </c>
      <c r="ER142" s="231">
        <v>1392</v>
      </c>
      <c r="ES142" s="228">
        <v>745</v>
      </c>
      <c r="ET142" s="231">
        <v>15739</v>
      </c>
      <c r="EU142" s="228">
        <v>0</v>
      </c>
      <c r="EV142" s="231">
        <v>17877</v>
      </c>
      <c r="EW142" s="231">
        <v>17331</v>
      </c>
      <c r="EX142" s="228">
        <v>546</v>
      </c>
      <c r="EY142" s="229">
        <v>3.15E-2</v>
      </c>
      <c r="EZ142" s="229">
        <v>0</v>
      </c>
      <c r="FA142" s="227" t="s">
        <v>556</v>
      </c>
      <c r="FB142" s="161">
        <f t="shared" ref="FB142:FB161" si="3">BX216-CB216</f>
        <v>0</v>
      </c>
    </row>
    <row r="143" spans="1:158" ht="17.25" hidden="1" thickBot="1" x14ac:dyDescent="0.3">
      <c r="A143" s="226">
        <v>46023</v>
      </c>
      <c r="B143" s="227" t="s">
        <v>227</v>
      </c>
      <c r="C143" s="227" t="s">
        <v>267</v>
      </c>
      <c r="D143" s="228">
        <v>6750</v>
      </c>
      <c r="E143" s="228">
        <v>84.25</v>
      </c>
      <c r="F143" s="228">
        <v>83.5</v>
      </c>
      <c r="G143" s="228">
        <v>0.75</v>
      </c>
      <c r="H143" s="229">
        <v>8.9999999999999993E-3</v>
      </c>
      <c r="I143" s="228">
        <v>83.66</v>
      </c>
      <c r="J143" s="228">
        <v>83.17</v>
      </c>
      <c r="K143" s="228">
        <v>0.49</v>
      </c>
      <c r="L143" s="229">
        <v>5.8999999999999999E-3</v>
      </c>
      <c r="M143" s="228">
        <v>84.25</v>
      </c>
      <c r="N143" s="228">
        <v>83.5</v>
      </c>
      <c r="O143" s="228">
        <v>0.75</v>
      </c>
      <c r="P143" s="229">
        <v>8.9999999999999993E-3</v>
      </c>
      <c r="Q143" s="228">
        <v>84.81</v>
      </c>
      <c r="R143" s="228">
        <v>84.04</v>
      </c>
      <c r="S143" s="228">
        <v>0.77</v>
      </c>
      <c r="T143" s="229">
        <v>9.1999999999999998E-3</v>
      </c>
      <c r="U143" s="228">
        <v>85.35</v>
      </c>
      <c r="V143" s="228">
        <v>84.5</v>
      </c>
      <c r="W143" s="228">
        <v>0.85</v>
      </c>
      <c r="X143" s="229">
        <v>1.01E-2</v>
      </c>
      <c r="Y143" s="228">
        <v>0.59</v>
      </c>
      <c r="Z143" s="228">
        <v>0.33</v>
      </c>
      <c r="AA143" s="228">
        <v>0.26</v>
      </c>
      <c r="AB143" s="229">
        <v>7.1000000000000004E-3</v>
      </c>
      <c r="AC143" s="228">
        <v>0.59</v>
      </c>
      <c r="AD143" s="228">
        <v>0.33</v>
      </c>
      <c r="AE143" s="228">
        <v>0.26</v>
      </c>
      <c r="AF143" s="229">
        <v>7.1000000000000004E-3</v>
      </c>
      <c r="AG143" s="228">
        <v>1.1499999999999999</v>
      </c>
      <c r="AH143" s="228">
        <v>0.87</v>
      </c>
      <c r="AI143" s="228">
        <v>0.28000000000000003</v>
      </c>
      <c r="AJ143" s="229">
        <v>1.37E-2</v>
      </c>
      <c r="AK143" s="228">
        <v>1.69</v>
      </c>
      <c r="AL143" s="228">
        <v>1.33</v>
      </c>
      <c r="AM143" s="228">
        <v>0.36</v>
      </c>
      <c r="AN143" s="229">
        <v>2.0199999999999999E-2</v>
      </c>
      <c r="AO143" s="228">
        <v>83.69</v>
      </c>
      <c r="AP143" s="228">
        <v>84.16</v>
      </c>
      <c r="AQ143" s="228">
        <v>0</v>
      </c>
      <c r="AR143" s="230">
        <v>26885250</v>
      </c>
      <c r="AS143" s="230">
        <v>60770250</v>
      </c>
      <c r="AT143" s="230">
        <v>-33885000</v>
      </c>
      <c r="AU143" s="229">
        <v>-0.55759999999999998</v>
      </c>
      <c r="AV143" s="230">
        <v>24759000</v>
      </c>
      <c r="AW143" s="230">
        <v>55923750</v>
      </c>
      <c r="AX143" s="230">
        <v>-31164750</v>
      </c>
      <c r="AY143" s="229">
        <v>-0.55730000000000002</v>
      </c>
      <c r="AZ143" s="230">
        <v>1883250</v>
      </c>
      <c r="BA143" s="230">
        <v>4225500</v>
      </c>
      <c r="BB143" s="230">
        <v>-2342250</v>
      </c>
      <c r="BC143" s="229">
        <v>-0.55430000000000001</v>
      </c>
      <c r="BD143" s="230">
        <v>243000</v>
      </c>
      <c r="BE143" s="230">
        <v>621000</v>
      </c>
      <c r="BF143" s="230">
        <v>-378000</v>
      </c>
      <c r="BG143" s="229">
        <v>-0.60870000000000002</v>
      </c>
      <c r="BH143" s="230">
        <v>57591000</v>
      </c>
      <c r="BI143" s="230">
        <v>111084750</v>
      </c>
      <c r="BJ143" s="230">
        <v>-53493750</v>
      </c>
      <c r="BK143" s="229">
        <v>-0.48159999999999997</v>
      </c>
      <c r="BL143" s="230">
        <v>24198750</v>
      </c>
      <c r="BM143" s="230">
        <v>46851750</v>
      </c>
      <c r="BN143" s="230">
        <v>-22653000</v>
      </c>
      <c r="BO143" s="229">
        <v>-0.48349999999999999</v>
      </c>
      <c r="BP143" s="230">
        <v>108675000</v>
      </c>
      <c r="BQ143" s="230">
        <v>218706750</v>
      </c>
      <c r="BR143" s="230">
        <v>-110031750</v>
      </c>
      <c r="BS143" s="229">
        <v>-0.50309999999999999</v>
      </c>
      <c r="BT143" s="230">
        <v>19298877</v>
      </c>
      <c r="BU143" s="230">
        <v>33763988</v>
      </c>
      <c r="BV143" s="230">
        <v>-14465111</v>
      </c>
      <c r="BW143" s="229">
        <v>-0.4284</v>
      </c>
      <c r="BX143" s="230">
        <v>343440000</v>
      </c>
      <c r="BY143" s="230">
        <v>340004250</v>
      </c>
      <c r="BZ143" s="230">
        <v>3435750</v>
      </c>
      <c r="CA143" s="229">
        <v>1.01E-2</v>
      </c>
      <c r="CB143" s="230">
        <v>334611000</v>
      </c>
      <c r="CC143" s="230">
        <v>331830000</v>
      </c>
      <c r="CD143" s="230">
        <v>2781000</v>
      </c>
      <c r="CE143" s="229">
        <v>8.3999999999999995E-3</v>
      </c>
      <c r="CF143" s="230">
        <v>8079750</v>
      </c>
      <c r="CG143" s="230">
        <v>7587000</v>
      </c>
      <c r="CH143" s="230">
        <v>492750</v>
      </c>
      <c r="CI143" s="229">
        <v>6.4899999999999999E-2</v>
      </c>
      <c r="CJ143" s="230">
        <v>749250</v>
      </c>
      <c r="CK143" s="230">
        <v>587250</v>
      </c>
      <c r="CL143" s="230">
        <v>162000</v>
      </c>
      <c r="CM143" s="229">
        <v>0.27589999999999998</v>
      </c>
      <c r="CN143" s="230">
        <v>119988000</v>
      </c>
      <c r="CO143" s="230">
        <v>118368000</v>
      </c>
      <c r="CP143" s="230">
        <v>1620000</v>
      </c>
      <c r="CQ143" s="229">
        <v>1.37E-2</v>
      </c>
      <c r="CR143" s="230">
        <v>49646250</v>
      </c>
      <c r="CS143" s="230">
        <v>46696500</v>
      </c>
      <c r="CT143" s="230">
        <v>2949750</v>
      </c>
      <c r="CU143" s="229">
        <v>6.3200000000000006E-2</v>
      </c>
      <c r="CV143" s="230">
        <v>513074250</v>
      </c>
      <c r="CW143" s="230">
        <v>505068750</v>
      </c>
      <c r="CX143" s="230">
        <v>8005500</v>
      </c>
      <c r="CY143" s="229">
        <v>1.5900000000000001E-2</v>
      </c>
      <c r="CZ143" s="228">
        <v>27.44</v>
      </c>
      <c r="DA143" s="228">
        <v>28.71</v>
      </c>
      <c r="DB143" s="228">
        <v>-1.27</v>
      </c>
      <c r="DC143" s="228">
        <v>-1.27</v>
      </c>
      <c r="DD143" s="228">
        <v>37.29</v>
      </c>
      <c r="DE143" s="228">
        <v>37.36</v>
      </c>
      <c r="DF143" s="228">
        <v>-9.85</v>
      </c>
      <c r="DG143" s="228">
        <v>-7.0000000000000007E-2</v>
      </c>
      <c r="DH143" s="228">
        <v>27.41</v>
      </c>
      <c r="DI143" s="228">
        <v>28.72</v>
      </c>
      <c r="DJ143" s="228">
        <v>-1.31</v>
      </c>
      <c r="DK143" s="228">
        <v>-1.31</v>
      </c>
      <c r="DL143" s="228">
        <v>27.52</v>
      </c>
      <c r="DM143" s="228">
        <v>28.68</v>
      </c>
      <c r="DN143" s="228">
        <v>-1.1599999999999999</v>
      </c>
      <c r="DO143" s="228">
        <v>-1.1599999999999999</v>
      </c>
      <c r="DP143" s="228">
        <v>0.41</v>
      </c>
      <c r="DQ143" s="228">
        <v>0.39</v>
      </c>
      <c r="DR143" s="228">
        <v>0.02</v>
      </c>
      <c r="DS143" s="229">
        <v>5.1299999999999998E-2</v>
      </c>
      <c r="DT143" s="228">
        <v>85</v>
      </c>
      <c r="DU143" s="228">
        <v>80</v>
      </c>
      <c r="DV143" s="228">
        <v>0.42</v>
      </c>
      <c r="DW143" s="228">
        <v>0.42</v>
      </c>
      <c r="DX143" s="228">
        <v>0</v>
      </c>
      <c r="DY143" s="229">
        <v>0</v>
      </c>
      <c r="DZ143" s="229">
        <v>2.5700000000000001E-2</v>
      </c>
      <c r="EA143" s="230">
        <v>8174250</v>
      </c>
      <c r="EB143" s="229">
        <v>6.6E-3</v>
      </c>
      <c r="EC143" s="229">
        <v>2.5700000000000001E-2</v>
      </c>
      <c r="ED143" s="228">
        <v>0.47</v>
      </c>
      <c r="EE143" s="229">
        <v>5.5999999999999999E-3</v>
      </c>
      <c r="EF143" s="230">
        <v>9442373</v>
      </c>
      <c r="EG143" s="230">
        <v>14489925</v>
      </c>
      <c r="EH143" s="229">
        <v>-0.3483</v>
      </c>
      <c r="EI143" s="229">
        <v>0.48930000000000001</v>
      </c>
      <c r="EJ143" s="231">
        <v>50416.959999999999</v>
      </c>
      <c r="EK143" s="231">
        <v>19728.5</v>
      </c>
      <c r="EL143" s="231">
        <v>22511.21</v>
      </c>
      <c r="EM143" s="231">
        <v>26914</v>
      </c>
      <c r="EN143" s="231">
        <v>92656.67</v>
      </c>
      <c r="EO143" s="231">
        <v>187282.16</v>
      </c>
      <c r="EP143" s="231">
        <v>-94625.49</v>
      </c>
      <c r="EQ143" s="229">
        <v>-0.50529999999999997</v>
      </c>
      <c r="ER143" s="231">
        <v>102805</v>
      </c>
      <c r="ES143" s="231">
        <v>39071</v>
      </c>
      <c r="ET143" s="231">
        <v>289402</v>
      </c>
      <c r="EU143" s="231">
        <v>517037525</v>
      </c>
      <c r="EV143" s="231">
        <v>431277</v>
      </c>
      <c r="EW143" s="231">
        <v>421831</v>
      </c>
      <c r="EX143" s="231">
        <v>9446</v>
      </c>
      <c r="EY143" s="229">
        <v>2.24E-2</v>
      </c>
      <c r="EZ143" s="229">
        <v>0.99229999999999996</v>
      </c>
      <c r="FA143" s="227" t="s">
        <v>555</v>
      </c>
      <c r="FB143" s="161">
        <f t="shared" si="3"/>
        <v>0</v>
      </c>
    </row>
    <row r="144" spans="1:158" ht="17.25" hidden="1" thickBot="1" x14ac:dyDescent="0.3">
      <c r="A144" s="226">
        <v>46023</v>
      </c>
      <c r="B144" s="227" t="s">
        <v>161</v>
      </c>
      <c r="C144" s="227" t="s">
        <v>268</v>
      </c>
      <c r="D144" s="228">
        <v>1500</v>
      </c>
      <c r="E144" s="228">
        <v>337</v>
      </c>
      <c r="F144" s="228">
        <v>331.55</v>
      </c>
      <c r="G144" s="228">
        <v>5.45</v>
      </c>
      <c r="H144" s="229">
        <v>1.6400000000000001E-2</v>
      </c>
      <c r="I144" s="228">
        <v>336.3</v>
      </c>
      <c r="J144" s="228">
        <v>329.55</v>
      </c>
      <c r="K144" s="228">
        <v>6.75</v>
      </c>
      <c r="L144" s="229">
        <v>2.0500000000000001E-2</v>
      </c>
      <c r="M144" s="228">
        <v>337</v>
      </c>
      <c r="N144" s="228">
        <v>331.55</v>
      </c>
      <c r="O144" s="228">
        <v>5.45</v>
      </c>
      <c r="P144" s="229">
        <v>1.6400000000000001E-2</v>
      </c>
      <c r="Q144" s="228">
        <v>336.8</v>
      </c>
      <c r="R144" s="228">
        <v>331.15</v>
      </c>
      <c r="S144" s="228">
        <v>5.65</v>
      </c>
      <c r="T144" s="229">
        <v>1.7100000000000001E-2</v>
      </c>
      <c r="U144" s="228">
        <v>339.2</v>
      </c>
      <c r="V144" s="228">
        <v>333.2</v>
      </c>
      <c r="W144" s="228">
        <v>6</v>
      </c>
      <c r="X144" s="229">
        <v>1.7999999999999999E-2</v>
      </c>
      <c r="Y144" s="228">
        <v>0.7</v>
      </c>
      <c r="Z144" s="228">
        <v>2</v>
      </c>
      <c r="AA144" s="228">
        <v>-1.3</v>
      </c>
      <c r="AB144" s="229">
        <v>2.0999999999999999E-3</v>
      </c>
      <c r="AC144" s="228">
        <v>0.7</v>
      </c>
      <c r="AD144" s="228">
        <v>2</v>
      </c>
      <c r="AE144" s="228">
        <v>-1.3</v>
      </c>
      <c r="AF144" s="229">
        <v>2.0999999999999999E-3</v>
      </c>
      <c r="AG144" s="228">
        <v>0.5</v>
      </c>
      <c r="AH144" s="228">
        <v>1.6</v>
      </c>
      <c r="AI144" s="228">
        <v>-1.1000000000000001</v>
      </c>
      <c r="AJ144" s="229">
        <v>1.5E-3</v>
      </c>
      <c r="AK144" s="228">
        <v>2.9</v>
      </c>
      <c r="AL144" s="228">
        <v>3.65</v>
      </c>
      <c r="AM144" s="228">
        <v>-0.75</v>
      </c>
      <c r="AN144" s="229">
        <v>8.6E-3</v>
      </c>
      <c r="AO144" s="228">
        <v>335.43</v>
      </c>
      <c r="AP144" s="228">
        <v>335.19</v>
      </c>
      <c r="AQ144" s="228">
        <v>0</v>
      </c>
      <c r="AR144" s="230">
        <v>12460500</v>
      </c>
      <c r="AS144" s="230">
        <v>8485500</v>
      </c>
      <c r="AT144" s="230">
        <v>3975000</v>
      </c>
      <c r="AU144" s="229">
        <v>0.46839999999999998</v>
      </c>
      <c r="AV144" s="230">
        <v>10572000</v>
      </c>
      <c r="AW144" s="230">
        <v>7899000</v>
      </c>
      <c r="AX144" s="230">
        <v>2673000</v>
      </c>
      <c r="AY144" s="229">
        <v>0.33839999999999998</v>
      </c>
      <c r="AZ144" s="230">
        <v>1731000</v>
      </c>
      <c r="BA144" s="230">
        <v>535500</v>
      </c>
      <c r="BB144" s="230">
        <v>1195500</v>
      </c>
      <c r="BC144" s="229">
        <v>2.2324999999999999</v>
      </c>
      <c r="BD144" s="230">
        <v>157500</v>
      </c>
      <c r="BE144" s="230">
        <v>51000</v>
      </c>
      <c r="BF144" s="230">
        <v>106500</v>
      </c>
      <c r="BG144" s="229">
        <v>2.0882000000000001</v>
      </c>
      <c r="BH144" s="230">
        <v>46740000</v>
      </c>
      <c r="BI144" s="230">
        <v>37513500</v>
      </c>
      <c r="BJ144" s="230">
        <v>9226500</v>
      </c>
      <c r="BK144" s="229">
        <v>0.246</v>
      </c>
      <c r="BL144" s="230">
        <v>22291500</v>
      </c>
      <c r="BM144" s="230">
        <v>18075000</v>
      </c>
      <c r="BN144" s="230">
        <v>4216500</v>
      </c>
      <c r="BO144" s="229">
        <v>0.23330000000000001</v>
      </c>
      <c r="BP144" s="230">
        <v>81492000</v>
      </c>
      <c r="BQ144" s="230">
        <v>64074000</v>
      </c>
      <c r="BR144" s="230">
        <v>17418000</v>
      </c>
      <c r="BS144" s="229">
        <v>0.27179999999999999</v>
      </c>
      <c r="BT144" s="230">
        <v>10558366</v>
      </c>
      <c r="BU144" s="230">
        <v>8670491</v>
      </c>
      <c r="BV144" s="230">
        <v>1887875</v>
      </c>
      <c r="BW144" s="229">
        <v>0.2177</v>
      </c>
      <c r="BX144" s="230">
        <v>87615000</v>
      </c>
      <c r="BY144" s="230">
        <v>87612000</v>
      </c>
      <c r="BZ144" s="230">
        <v>3000</v>
      </c>
      <c r="CA144" s="229">
        <v>0</v>
      </c>
      <c r="CB144" s="230">
        <v>80503500</v>
      </c>
      <c r="CC144" s="230">
        <v>81621000</v>
      </c>
      <c r="CD144" s="230">
        <v>-1117500</v>
      </c>
      <c r="CE144" s="229">
        <v>-1.37E-2</v>
      </c>
      <c r="CF144" s="230">
        <v>7012500</v>
      </c>
      <c r="CG144" s="230">
        <v>5946000</v>
      </c>
      <c r="CH144" s="230">
        <v>1066500</v>
      </c>
      <c r="CI144" s="229">
        <v>0.1794</v>
      </c>
      <c r="CJ144" s="230">
        <v>99000</v>
      </c>
      <c r="CK144" s="230">
        <v>45000</v>
      </c>
      <c r="CL144" s="230">
        <v>54000</v>
      </c>
      <c r="CM144" s="229">
        <v>1.2</v>
      </c>
      <c r="CN144" s="230">
        <v>22195500</v>
      </c>
      <c r="CO144" s="230">
        <v>18825000</v>
      </c>
      <c r="CP144" s="230">
        <v>3370500</v>
      </c>
      <c r="CQ144" s="229">
        <v>0.17899999999999999</v>
      </c>
      <c r="CR144" s="230">
        <v>19140000</v>
      </c>
      <c r="CS144" s="230">
        <v>15961500</v>
      </c>
      <c r="CT144" s="230">
        <v>3178500</v>
      </c>
      <c r="CU144" s="229">
        <v>0.1991</v>
      </c>
      <c r="CV144" s="230">
        <v>128950500</v>
      </c>
      <c r="CW144" s="230">
        <v>122398500</v>
      </c>
      <c r="CX144" s="230">
        <v>6552000</v>
      </c>
      <c r="CY144" s="229">
        <v>5.3499999999999999E-2</v>
      </c>
      <c r="CZ144" s="228">
        <v>15.31</v>
      </c>
      <c r="DA144" s="228">
        <v>15.52</v>
      </c>
      <c r="DB144" s="228">
        <v>-0.21</v>
      </c>
      <c r="DC144" s="228">
        <v>-0.21</v>
      </c>
      <c r="DD144" s="228">
        <v>26.32</v>
      </c>
      <c r="DE144" s="228">
        <v>26.24</v>
      </c>
      <c r="DF144" s="228">
        <v>-11.01</v>
      </c>
      <c r="DG144" s="228">
        <v>0.08</v>
      </c>
      <c r="DH144" s="228">
        <v>14.62</v>
      </c>
      <c r="DI144" s="228">
        <v>15.05</v>
      </c>
      <c r="DJ144" s="228">
        <v>-0.43</v>
      </c>
      <c r="DK144" s="228">
        <v>-0.43</v>
      </c>
      <c r="DL144" s="228">
        <v>16.75</v>
      </c>
      <c r="DM144" s="228">
        <v>16.489999999999998</v>
      </c>
      <c r="DN144" s="228">
        <v>0.26</v>
      </c>
      <c r="DO144" s="228">
        <v>0.26</v>
      </c>
      <c r="DP144" s="228">
        <v>0.86</v>
      </c>
      <c r="DQ144" s="228">
        <v>0.85</v>
      </c>
      <c r="DR144" s="228">
        <v>0.01</v>
      </c>
      <c r="DS144" s="229">
        <v>1.18E-2</v>
      </c>
      <c r="DT144" s="228">
        <v>335</v>
      </c>
      <c r="DU144" s="228">
        <v>380</v>
      </c>
      <c r="DV144" s="228">
        <v>0.48</v>
      </c>
      <c r="DW144" s="228">
        <v>0.48</v>
      </c>
      <c r="DX144" s="228">
        <v>0</v>
      </c>
      <c r="DY144" s="229">
        <v>0</v>
      </c>
      <c r="DZ144" s="229">
        <v>8.1199999999999994E-2</v>
      </c>
      <c r="EA144" s="230">
        <v>5991000</v>
      </c>
      <c r="EB144" s="229">
        <v>-5.9999999999999995E-4</v>
      </c>
      <c r="EC144" s="229">
        <v>8.1199999999999994E-2</v>
      </c>
      <c r="ED144" s="228">
        <v>-0.24</v>
      </c>
      <c r="EE144" s="229">
        <v>-6.9999999999999999E-4</v>
      </c>
      <c r="EF144" s="230">
        <v>5886006</v>
      </c>
      <c r="EG144" s="230">
        <v>5617475</v>
      </c>
      <c r="EH144" s="229">
        <v>4.7800000000000002E-2</v>
      </c>
      <c r="EI144" s="229">
        <v>0.5575</v>
      </c>
      <c r="EJ144" s="231">
        <v>160870.20000000001</v>
      </c>
      <c r="EK144" s="231">
        <v>73727.149999999994</v>
      </c>
      <c r="EL144" s="231">
        <v>41794.620000000003</v>
      </c>
      <c r="EM144" s="231">
        <v>25407</v>
      </c>
      <c r="EN144" s="231">
        <v>276391.96999999997</v>
      </c>
      <c r="EO144" s="231">
        <v>214235.25</v>
      </c>
      <c r="EP144" s="231">
        <v>62156.72</v>
      </c>
      <c r="EQ144" s="229">
        <v>0.29010000000000002</v>
      </c>
      <c r="ER144" s="231">
        <v>75916</v>
      </c>
      <c r="ES144" s="231">
        <v>63148</v>
      </c>
      <c r="ET144" s="231">
        <v>295251</v>
      </c>
      <c r="EU144" s="231">
        <v>474131988</v>
      </c>
      <c r="EV144" s="231">
        <v>434315</v>
      </c>
      <c r="EW144" s="231">
        <v>407022</v>
      </c>
      <c r="EX144" s="231">
        <v>27293</v>
      </c>
      <c r="EY144" s="229">
        <v>6.7100000000000007E-2</v>
      </c>
      <c r="EZ144" s="229">
        <v>0.27200000000000002</v>
      </c>
      <c r="FA144" s="227" t="s">
        <v>237</v>
      </c>
      <c r="FB144" s="161">
        <f t="shared" si="3"/>
        <v>0</v>
      </c>
    </row>
    <row r="145" spans="1:158" ht="17.25" hidden="1" thickBot="1" x14ac:dyDescent="0.3">
      <c r="A145" s="226">
        <v>46023</v>
      </c>
      <c r="B145" s="227" t="s">
        <v>175</v>
      </c>
      <c r="C145" s="227" t="s">
        <v>685</v>
      </c>
      <c r="D145" s="228">
        <v>500</v>
      </c>
      <c r="E145" s="231">
        <v>1465</v>
      </c>
      <c r="F145" s="231">
        <v>1486.5</v>
      </c>
      <c r="G145" s="228">
        <v>-21.5</v>
      </c>
      <c r="H145" s="229">
        <v>-1.4500000000000001E-2</v>
      </c>
      <c r="I145" s="231">
        <v>1458.5</v>
      </c>
      <c r="J145" s="231">
        <v>1480.5</v>
      </c>
      <c r="K145" s="228">
        <v>-22</v>
      </c>
      <c r="L145" s="229">
        <v>-1.49E-2</v>
      </c>
      <c r="M145" s="231">
        <v>1465</v>
      </c>
      <c r="N145" s="231">
        <v>1486.5</v>
      </c>
      <c r="O145" s="228">
        <v>-21.5</v>
      </c>
      <c r="P145" s="229">
        <v>-1.4500000000000001E-2</v>
      </c>
      <c r="Q145" s="231">
        <v>1471.9</v>
      </c>
      <c r="R145" s="231">
        <v>1491</v>
      </c>
      <c r="S145" s="228">
        <v>-19.100000000000001</v>
      </c>
      <c r="T145" s="229">
        <v>-1.2800000000000001E-2</v>
      </c>
      <c r="U145" s="231">
        <v>1474.8</v>
      </c>
      <c r="V145" s="228">
        <v>0</v>
      </c>
      <c r="W145" s="231">
        <v>1474.8</v>
      </c>
      <c r="X145" s="229">
        <v>0</v>
      </c>
      <c r="Y145" s="228">
        <v>6.5</v>
      </c>
      <c r="Z145" s="228">
        <v>6</v>
      </c>
      <c r="AA145" s="228">
        <v>0.5</v>
      </c>
      <c r="AB145" s="229">
        <v>4.4999999999999997E-3</v>
      </c>
      <c r="AC145" s="228">
        <v>6.5</v>
      </c>
      <c r="AD145" s="228">
        <v>6</v>
      </c>
      <c r="AE145" s="228">
        <v>0.5</v>
      </c>
      <c r="AF145" s="229">
        <v>4.4999999999999997E-3</v>
      </c>
      <c r="AG145" s="228">
        <v>13.4</v>
      </c>
      <c r="AH145" s="228">
        <v>10.5</v>
      </c>
      <c r="AI145" s="228">
        <v>2.9</v>
      </c>
      <c r="AJ145" s="229">
        <v>9.1999999999999998E-3</v>
      </c>
      <c r="AK145" s="228">
        <v>16.3</v>
      </c>
      <c r="AL145" s="228">
        <v>0</v>
      </c>
      <c r="AM145" s="228">
        <v>16.3</v>
      </c>
      <c r="AN145" s="229">
        <v>1.12E-2</v>
      </c>
      <c r="AO145" s="231">
        <v>1464.11</v>
      </c>
      <c r="AP145" s="231">
        <v>1470.45</v>
      </c>
      <c r="AQ145" s="228">
        <v>0</v>
      </c>
      <c r="AR145" s="230">
        <v>358000</v>
      </c>
      <c r="AS145" s="230">
        <v>473000</v>
      </c>
      <c r="AT145" s="230">
        <v>-115000</v>
      </c>
      <c r="AU145" s="229">
        <v>-0.24310000000000001</v>
      </c>
      <c r="AV145" s="230">
        <v>345500</v>
      </c>
      <c r="AW145" s="230">
        <v>459500</v>
      </c>
      <c r="AX145" s="230">
        <v>-114000</v>
      </c>
      <c r="AY145" s="229">
        <v>-0.24809999999999999</v>
      </c>
      <c r="AZ145" s="230">
        <v>11000</v>
      </c>
      <c r="BA145" s="230">
        <v>13500</v>
      </c>
      <c r="BB145" s="230">
        <v>-2500</v>
      </c>
      <c r="BC145" s="229">
        <v>-0.1852</v>
      </c>
      <c r="BD145" s="230">
        <v>1500</v>
      </c>
      <c r="BE145" s="228">
        <v>0</v>
      </c>
      <c r="BF145" s="230">
        <v>1500</v>
      </c>
      <c r="BG145" s="229">
        <v>0</v>
      </c>
      <c r="BH145" s="230">
        <v>693000</v>
      </c>
      <c r="BI145" s="230">
        <v>1400500</v>
      </c>
      <c r="BJ145" s="230">
        <v>-707500</v>
      </c>
      <c r="BK145" s="229">
        <v>-0.50519999999999998</v>
      </c>
      <c r="BL145" s="230">
        <v>419500</v>
      </c>
      <c r="BM145" s="230">
        <v>556500</v>
      </c>
      <c r="BN145" s="230">
        <v>-137000</v>
      </c>
      <c r="BO145" s="229">
        <v>-0.2462</v>
      </c>
      <c r="BP145" s="230">
        <v>1470500</v>
      </c>
      <c r="BQ145" s="230">
        <v>2430000</v>
      </c>
      <c r="BR145" s="230">
        <v>-959500</v>
      </c>
      <c r="BS145" s="229">
        <v>-0.39489999999999997</v>
      </c>
      <c r="BT145" s="230">
        <v>237911</v>
      </c>
      <c r="BU145" s="230">
        <v>386110</v>
      </c>
      <c r="BV145" s="230">
        <v>-148199</v>
      </c>
      <c r="BW145" s="229">
        <v>-0.38379999999999997</v>
      </c>
      <c r="BX145" s="230">
        <v>2353000</v>
      </c>
      <c r="BY145" s="230">
        <v>2379000</v>
      </c>
      <c r="BZ145" s="230">
        <v>-26000</v>
      </c>
      <c r="CA145" s="229">
        <v>-1.09E-2</v>
      </c>
      <c r="CB145" s="230">
        <v>2323000</v>
      </c>
      <c r="CC145" s="230">
        <v>2351000</v>
      </c>
      <c r="CD145" s="230">
        <v>-28000</v>
      </c>
      <c r="CE145" s="229">
        <v>-1.1900000000000001E-2</v>
      </c>
      <c r="CF145" s="230">
        <v>29500</v>
      </c>
      <c r="CG145" s="230">
        <v>28000</v>
      </c>
      <c r="CH145" s="230">
        <v>1500</v>
      </c>
      <c r="CI145" s="229">
        <v>5.3600000000000002E-2</v>
      </c>
      <c r="CJ145" s="228">
        <v>500</v>
      </c>
      <c r="CK145" s="228">
        <v>0</v>
      </c>
      <c r="CL145" s="228">
        <v>500</v>
      </c>
      <c r="CM145" s="229">
        <v>0</v>
      </c>
      <c r="CN145" s="230">
        <v>1201000</v>
      </c>
      <c r="CO145" s="230">
        <v>1084500</v>
      </c>
      <c r="CP145" s="230">
        <v>116500</v>
      </c>
      <c r="CQ145" s="229">
        <v>0.1074</v>
      </c>
      <c r="CR145" s="230">
        <v>616500</v>
      </c>
      <c r="CS145" s="230">
        <v>598000</v>
      </c>
      <c r="CT145" s="230">
        <v>18500</v>
      </c>
      <c r="CU145" s="229">
        <v>3.09E-2</v>
      </c>
      <c r="CV145" s="230">
        <v>4170500</v>
      </c>
      <c r="CW145" s="230">
        <v>4061500</v>
      </c>
      <c r="CX145" s="230">
        <v>109000</v>
      </c>
      <c r="CY145" s="229">
        <v>2.6800000000000001E-2</v>
      </c>
      <c r="CZ145" s="228">
        <v>30.76</v>
      </c>
      <c r="DA145" s="228">
        <v>30.87</v>
      </c>
      <c r="DB145" s="228">
        <v>-0.11</v>
      </c>
      <c r="DC145" s="228">
        <v>-0.11</v>
      </c>
      <c r="DD145" s="228">
        <v>48.53</v>
      </c>
      <c r="DE145" s="228">
        <v>48.61</v>
      </c>
      <c r="DF145" s="228">
        <v>-17.77</v>
      </c>
      <c r="DG145" s="228">
        <v>-0.08</v>
      </c>
      <c r="DH145" s="228">
        <v>30.67</v>
      </c>
      <c r="DI145" s="228">
        <v>30.17</v>
      </c>
      <c r="DJ145" s="228">
        <v>0.5</v>
      </c>
      <c r="DK145" s="228">
        <v>0.5</v>
      </c>
      <c r="DL145" s="228">
        <v>30.91</v>
      </c>
      <c r="DM145" s="228">
        <v>32.64</v>
      </c>
      <c r="DN145" s="228">
        <v>-1.73</v>
      </c>
      <c r="DO145" s="228">
        <v>-1.73</v>
      </c>
      <c r="DP145" s="228">
        <v>0.51</v>
      </c>
      <c r="DQ145" s="228">
        <v>0.55000000000000004</v>
      </c>
      <c r="DR145" s="228">
        <v>-0.04</v>
      </c>
      <c r="DS145" s="229">
        <v>-7.2700000000000001E-2</v>
      </c>
      <c r="DT145" s="231">
        <v>1500</v>
      </c>
      <c r="DU145" s="231">
        <v>1400</v>
      </c>
      <c r="DV145" s="228">
        <v>0.61</v>
      </c>
      <c r="DW145" s="228">
        <v>0.4</v>
      </c>
      <c r="DX145" s="228">
        <v>0.21</v>
      </c>
      <c r="DY145" s="229">
        <v>0.52500000000000002</v>
      </c>
      <c r="DZ145" s="229">
        <v>1.2699999999999999E-2</v>
      </c>
      <c r="EA145" s="230">
        <v>28000</v>
      </c>
      <c r="EB145" s="229">
        <v>4.7000000000000002E-3</v>
      </c>
      <c r="EC145" s="229">
        <v>1.2699999999999999E-2</v>
      </c>
      <c r="ED145" s="228">
        <v>6.34</v>
      </c>
      <c r="EE145" s="229">
        <v>4.3E-3</v>
      </c>
      <c r="EF145" s="230">
        <v>90577</v>
      </c>
      <c r="EG145" s="230">
        <v>202413</v>
      </c>
      <c r="EH145" s="229">
        <v>-0.55249999999999999</v>
      </c>
      <c r="EI145" s="229">
        <v>0.38069999999999998</v>
      </c>
      <c r="EJ145" s="231">
        <v>10762.24</v>
      </c>
      <c r="EK145" s="231">
        <v>6045.83</v>
      </c>
      <c r="EL145" s="231">
        <v>5242.3100000000004</v>
      </c>
      <c r="EM145" s="231">
        <v>4121</v>
      </c>
      <c r="EN145" s="231">
        <v>22050.38</v>
      </c>
      <c r="EO145" s="231">
        <v>36903.33</v>
      </c>
      <c r="EP145" s="231">
        <v>-14852.95</v>
      </c>
      <c r="EQ145" s="229">
        <v>-0.40250000000000002</v>
      </c>
      <c r="ER145" s="231">
        <v>18375</v>
      </c>
      <c r="ES145" s="231">
        <v>8717</v>
      </c>
      <c r="ET145" s="231">
        <v>34474</v>
      </c>
      <c r="EU145" s="231">
        <v>12267678</v>
      </c>
      <c r="EV145" s="231">
        <v>61565</v>
      </c>
      <c r="EW145" s="231">
        <v>60466</v>
      </c>
      <c r="EX145" s="231">
        <v>1099</v>
      </c>
      <c r="EY145" s="229">
        <v>1.8200000000000001E-2</v>
      </c>
      <c r="EZ145" s="229">
        <v>0.34</v>
      </c>
      <c r="FA145" s="227" t="s">
        <v>568</v>
      </c>
      <c r="FB145" s="161">
        <f t="shared" si="3"/>
        <v>0</v>
      </c>
    </row>
    <row r="146" spans="1:158" ht="17.25" hidden="1" thickBot="1" x14ac:dyDescent="0.3">
      <c r="A146" s="226">
        <v>46023</v>
      </c>
      <c r="B146" s="227" t="s">
        <v>615</v>
      </c>
      <c r="C146" s="227" t="s">
        <v>613</v>
      </c>
      <c r="D146" s="228">
        <v>3125</v>
      </c>
      <c r="E146" s="228">
        <v>266.5</v>
      </c>
      <c r="F146" s="228">
        <v>265.60000000000002</v>
      </c>
      <c r="G146" s="228">
        <v>0.9</v>
      </c>
      <c r="H146" s="229">
        <v>3.3999999999999998E-3</v>
      </c>
      <c r="I146" s="228">
        <v>265.75</v>
      </c>
      <c r="J146" s="228">
        <v>265.14999999999998</v>
      </c>
      <c r="K146" s="228">
        <v>0.6</v>
      </c>
      <c r="L146" s="229">
        <v>2.3E-3</v>
      </c>
      <c r="M146" s="228">
        <v>266.5</v>
      </c>
      <c r="N146" s="228">
        <v>265.60000000000002</v>
      </c>
      <c r="O146" s="228">
        <v>0.9</v>
      </c>
      <c r="P146" s="229">
        <v>3.3999999999999998E-3</v>
      </c>
      <c r="Q146" s="228">
        <v>265.95</v>
      </c>
      <c r="R146" s="228">
        <v>265</v>
      </c>
      <c r="S146" s="228">
        <v>0.95</v>
      </c>
      <c r="T146" s="229">
        <v>3.5999999999999999E-3</v>
      </c>
      <c r="U146" s="228">
        <v>265</v>
      </c>
      <c r="V146" s="228">
        <v>264.39999999999998</v>
      </c>
      <c r="W146" s="228">
        <v>0.6</v>
      </c>
      <c r="X146" s="229">
        <v>2.3E-3</v>
      </c>
      <c r="Y146" s="228">
        <v>0.75</v>
      </c>
      <c r="Z146" s="228">
        <v>0.45</v>
      </c>
      <c r="AA146" s="228">
        <v>0.3</v>
      </c>
      <c r="AB146" s="229">
        <v>2.8E-3</v>
      </c>
      <c r="AC146" s="228">
        <v>0.75</v>
      </c>
      <c r="AD146" s="228">
        <v>0.45</v>
      </c>
      <c r="AE146" s="228">
        <v>0.3</v>
      </c>
      <c r="AF146" s="229">
        <v>2.8E-3</v>
      </c>
      <c r="AG146" s="228">
        <v>0.2</v>
      </c>
      <c r="AH146" s="228">
        <v>-0.15</v>
      </c>
      <c r="AI146" s="228">
        <v>0.35</v>
      </c>
      <c r="AJ146" s="229">
        <v>8.0000000000000004E-4</v>
      </c>
      <c r="AK146" s="228">
        <v>-0.75</v>
      </c>
      <c r="AL146" s="228">
        <v>-0.75</v>
      </c>
      <c r="AM146" s="228">
        <v>0</v>
      </c>
      <c r="AN146" s="229">
        <v>-2.8E-3</v>
      </c>
      <c r="AO146" s="228">
        <v>266.52999999999997</v>
      </c>
      <c r="AP146" s="228">
        <v>265.31</v>
      </c>
      <c r="AQ146" s="228">
        <v>0</v>
      </c>
      <c r="AR146" s="230">
        <v>3353125</v>
      </c>
      <c r="AS146" s="230">
        <v>7200000</v>
      </c>
      <c r="AT146" s="230">
        <v>-3846875</v>
      </c>
      <c r="AU146" s="229">
        <v>-0.5343</v>
      </c>
      <c r="AV146" s="230">
        <v>3128125</v>
      </c>
      <c r="AW146" s="230">
        <v>6884375</v>
      </c>
      <c r="AX146" s="230">
        <v>-3756250</v>
      </c>
      <c r="AY146" s="229">
        <v>-0.54559999999999997</v>
      </c>
      <c r="AZ146" s="230">
        <v>221875</v>
      </c>
      <c r="BA146" s="230">
        <v>309375</v>
      </c>
      <c r="BB146" s="230">
        <v>-87500</v>
      </c>
      <c r="BC146" s="229">
        <v>-0.2828</v>
      </c>
      <c r="BD146" s="230">
        <v>3125</v>
      </c>
      <c r="BE146" s="230">
        <v>6250</v>
      </c>
      <c r="BF146" s="230">
        <v>-3125</v>
      </c>
      <c r="BG146" s="229">
        <v>-0.5</v>
      </c>
      <c r="BH146" s="230">
        <v>6753125</v>
      </c>
      <c r="BI146" s="230">
        <v>14443750</v>
      </c>
      <c r="BJ146" s="230">
        <v>-7690625</v>
      </c>
      <c r="BK146" s="229">
        <v>-0.53249999999999997</v>
      </c>
      <c r="BL146" s="230">
        <v>2306250</v>
      </c>
      <c r="BM146" s="230">
        <v>4359375</v>
      </c>
      <c r="BN146" s="230">
        <v>-2053125</v>
      </c>
      <c r="BO146" s="229">
        <v>-0.47099999999999997</v>
      </c>
      <c r="BP146" s="230">
        <v>12412500</v>
      </c>
      <c r="BQ146" s="230">
        <v>26003125</v>
      </c>
      <c r="BR146" s="230">
        <v>-13590625</v>
      </c>
      <c r="BS146" s="229">
        <v>-0.52270000000000005</v>
      </c>
      <c r="BT146" s="230">
        <v>2804592</v>
      </c>
      <c r="BU146" s="230">
        <v>5444669</v>
      </c>
      <c r="BV146" s="230">
        <v>-2640077</v>
      </c>
      <c r="BW146" s="229">
        <v>-0.4849</v>
      </c>
      <c r="BX146" s="230">
        <v>47206250</v>
      </c>
      <c r="BY146" s="230">
        <v>47090625</v>
      </c>
      <c r="BZ146" s="230">
        <v>115625</v>
      </c>
      <c r="CA146" s="229">
        <v>2.5000000000000001E-3</v>
      </c>
      <c r="CB146" s="230">
        <v>46334375</v>
      </c>
      <c r="CC146" s="230">
        <v>46275000</v>
      </c>
      <c r="CD146" s="230">
        <v>59375</v>
      </c>
      <c r="CE146" s="229">
        <v>1.2999999999999999E-3</v>
      </c>
      <c r="CF146" s="230">
        <v>862500</v>
      </c>
      <c r="CG146" s="230">
        <v>809375</v>
      </c>
      <c r="CH146" s="230">
        <v>53125</v>
      </c>
      <c r="CI146" s="229">
        <v>6.5600000000000006E-2</v>
      </c>
      <c r="CJ146" s="230">
        <v>9375</v>
      </c>
      <c r="CK146" s="230">
        <v>6250</v>
      </c>
      <c r="CL146" s="230">
        <v>3125</v>
      </c>
      <c r="CM146" s="229">
        <v>0.5</v>
      </c>
      <c r="CN146" s="230">
        <v>8037500</v>
      </c>
      <c r="CO146" s="230">
        <v>8796875</v>
      </c>
      <c r="CP146" s="230">
        <v>-759375</v>
      </c>
      <c r="CQ146" s="229">
        <v>-8.6300000000000002E-2</v>
      </c>
      <c r="CR146" s="230">
        <v>5265625</v>
      </c>
      <c r="CS146" s="230">
        <v>5296875</v>
      </c>
      <c r="CT146" s="230">
        <v>-31250</v>
      </c>
      <c r="CU146" s="229">
        <v>-5.8999999999999999E-3</v>
      </c>
      <c r="CV146" s="230">
        <v>60509375</v>
      </c>
      <c r="CW146" s="230">
        <v>61184375</v>
      </c>
      <c r="CX146" s="230">
        <v>-675000</v>
      </c>
      <c r="CY146" s="229">
        <v>-1.0999999999999999E-2</v>
      </c>
      <c r="CZ146" s="228">
        <v>26.61</v>
      </c>
      <c r="DA146" s="228">
        <v>27.85</v>
      </c>
      <c r="DB146" s="228">
        <v>-1.24</v>
      </c>
      <c r="DC146" s="228">
        <v>-1.24</v>
      </c>
      <c r="DD146" s="228">
        <v>35.520000000000003</v>
      </c>
      <c r="DE146" s="228">
        <v>35.61</v>
      </c>
      <c r="DF146" s="228">
        <v>-8.91</v>
      </c>
      <c r="DG146" s="228">
        <v>-0.09</v>
      </c>
      <c r="DH146" s="228">
        <v>26.52</v>
      </c>
      <c r="DI146" s="228">
        <v>27.73</v>
      </c>
      <c r="DJ146" s="228">
        <v>-1.21</v>
      </c>
      <c r="DK146" s="228">
        <v>-1.21</v>
      </c>
      <c r="DL146" s="228">
        <v>26.89</v>
      </c>
      <c r="DM146" s="228">
        <v>28.25</v>
      </c>
      <c r="DN146" s="228">
        <v>-1.36</v>
      </c>
      <c r="DO146" s="228">
        <v>-1.36</v>
      </c>
      <c r="DP146" s="228">
        <v>0.66</v>
      </c>
      <c r="DQ146" s="228">
        <v>0.6</v>
      </c>
      <c r="DR146" s="228">
        <v>0.06</v>
      </c>
      <c r="DS146" s="229">
        <v>0.1</v>
      </c>
      <c r="DT146" s="228">
        <v>270</v>
      </c>
      <c r="DU146" s="228">
        <v>260</v>
      </c>
      <c r="DV146" s="228">
        <v>0.34</v>
      </c>
      <c r="DW146" s="228">
        <v>0.3</v>
      </c>
      <c r="DX146" s="228">
        <v>0.04</v>
      </c>
      <c r="DY146" s="229">
        <v>0.1333</v>
      </c>
      <c r="DZ146" s="229">
        <v>1.8499999999999999E-2</v>
      </c>
      <c r="EA146" s="230">
        <v>815625</v>
      </c>
      <c r="EB146" s="229">
        <v>-2.0999999999999999E-3</v>
      </c>
      <c r="EC146" s="229">
        <v>1.8499999999999999E-2</v>
      </c>
      <c r="ED146" s="228">
        <v>-1.22</v>
      </c>
      <c r="EE146" s="229">
        <v>-4.5999999999999999E-3</v>
      </c>
      <c r="EF146" s="230">
        <v>1317804</v>
      </c>
      <c r="EG146" s="230">
        <v>2281419</v>
      </c>
      <c r="EH146" s="229">
        <v>-0.4224</v>
      </c>
      <c r="EI146" s="229">
        <v>0.46989999999999998</v>
      </c>
      <c r="EJ146" s="231">
        <v>18749.04</v>
      </c>
      <c r="EK146" s="231">
        <v>6072.32</v>
      </c>
      <c r="EL146" s="231">
        <v>8934.2900000000009</v>
      </c>
      <c r="EM146" s="231">
        <v>9844</v>
      </c>
      <c r="EN146" s="231">
        <v>33755.65</v>
      </c>
      <c r="EO146" s="231">
        <v>70290.14</v>
      </c>
      <c r="EP146" s="231">
        <v>-36534.49</v>
      </c>
      <c r="EQ146" s="229">
        <v>-0.51980000000000004</v>
      </c>
      <c r="ER146" s="231">
        <v>21850</v>
      </c>
      <c r="ES146" s="231">
        <v>13455</v>
      </c>
      <c r="ET146" s="231">
        <v>125800</v>
      </c>
      <c r="EU146" s="231">
        <v>205483040</v>
      </c>
      <c r="EV146" s="231">
        <v>161105</v>
      </c>
      <c r="EW146" s="231">
        <v>162481</v>
      </c>
      <c r="EX146" s="231">
        <v>-1376</v>
      </c>
      <c r="EY146" s="229">
        <v>-8.5000000000000006E-3</v>
      </c>
      <c r="EZ146" s="229">
        <v>0.29449999999999998</v>
      </c>
      <c r="FA146" s="227" t="s">
        <v>555</v>
      </c>
      <c r="FB146" s="161">
        <f t="shared" si="3"/>
        <v>0</v>
      </c>
    </row>
    <row r="147" spans="1:158" ht="17.25" hidden="1" thickBot="1" x14ac:dyDescent="0.3">
      <c r="A147" s="226">
        <v>46023</v>
      </c>
      <c r="B147" s="227" t="s">
        <v>206</v>
      </c>
      <c r="C147" s="227" t="s">
        <v>528</v>
      </c>
      <c r="D147" s="228">
        <v>350</v>
      </c>
      <c r="E147" s="231">
        <v>1692.8</v>
      </c>
      <c r="F147" s="231">
        <v>1673.9</v>
      </c>
      <c r="G147" s="228">
        <v>18.899999999999999</v>
      </c>
      <c r="H147" s="229">
        <v>1.1299999999999999E-2</v>
      </c>
      <c r="I147" s="231">
        <v>1695.9</v>
      </c>
      <c r="J147" s="231">
        <v>1670.6</v>
      </c>
      <c r="K147" s="228">
        <v>25.3</v>
      </c>
      <c r="L147" s="229">
        <v>1.5100000000000001E-2</v>
      </c>
      <c r="M147" s="231">
        <v>1692.8</v>
      </c>
      <c r="N147" s="231">
        <v>1673.9</v>
      </c>
      <c r="O147" s="228">
        <v>18.899999999999999</v>
      </c>
      <c r="P147" s="229">
        <v>1.1299999999999999E-2</v>
      </c>
      <c r="Q147" s="231">
        <v>1689.8</v>
      </c>
      <c r="R147" s="231">
        <v>1673.1</v>
      </c>
      <c r="S147" s="228">
        <v>16.7</v>
      </c>
      <c r="T147" s="229">
        <v>0.01</v>
      </c>
      <c r="U147" s="228">
        <v>0</v>
      </c>
      <c r="V147" s="228">
        <v>0</v>
      </c>
      <c r="W147" s="228">
        <v>0</v>
      </c>
      <c r="X147" s="229">
        <v>0</v>
      </c>
      <c r="Y147" s="228">
        <v>-3.1</v>
      </c>
      <c r="Z147" s="228">
        <v>3.3</v>
      </c>
      <c r="AA147" s="228">
        <v>-6.4</v>
      </c>
      <c r="AB147" s="229">
        <v>-1.8E-3</v>
      </c>
      <c r="AC147" s="228">
        <v>-3.1</v>
      </c>
      <c r="AD147" s="228">
        <v>3.3</v>
      </c>
      <c r="AE147" s="228">
        <v>-6.4</v>
      </c>
      <c r="AF147" s="229">
        <v>-1.8E-3</v>
      </c>
      <c r="AG147" s="228">
        <v>-6.1</v>
      </c>
      <c r="AH147" s="228">
        <v>2.5</v>
      </c>
      <c r="AI147" s="228">
        <v>-8.6</v>
      </c>
      <c r="AJ147" s="229">
        <v>-3.5999999999999999E-3</v>
      </c>
      <c r="AK147" s="228">
        <v>0</v>
      </c>
      <c r="AL147" s="228">
        <v>0</v>
      </c>
      <c r="AM147" s="228">
        <v>0</v>
      </c>
      <c r="AN147" s="229">
        <v>0</v>
      </c>
      <c r="AO147" s="231">
        <v>1677.98</v>
      </c>
      <c r="AP147" s="231">
        <v>1675.42</v>
      </c>
      <c r="AQ147" s="228">
        <v>0</v>
      </c>
      <c r="AR147" s="230">
        <v>437850</v>
      </c>
      <c r="AS147" s="230">
        <v>397250</v>
      </c>
      <c r="AT147" s="230">
        <v>40600</v>
      </c>
      <c r="AU147" s="229">
        <v>0.1022</v>
      </c>
      <c r="AV147" s="230">
        <v>419300</v>
      </c>
      <c r="AW147" s="230">
        <v>382900</v>
      </c>
      <c r="AX147" s="230">
        <v>36400</v>
      </c>
      <c r="AY147" s="229">
        <v>9.5100000000000004E-2</v>
      </c>
      <c r="AZ147" s="230">
        <v>18550</v>
      </c>
      <c r="BA147" s="230">
        <v>14350</v>
      </c>
      <c r="BB147" s="230">
        <v>4200</v>
      </c>
      <c r="BC147" s="229">
        <v>0.29270000000000002</v>
      </c>
      <c r="BD147" s="228">
        <v>0</v>
      </c>
      <c r="BE147" s="228">
        <v>0</v>
      </c>
      <c r="BF147" s="228">
        <v>0</v>
      </c>
      <c r="BG147" s="229">
        <v>0</v>
      </c>
      <c r="BH147" s="230">
        <v>598150</v>
      </c>
      <c r="BI147" s="230">
        <v>523250</v>
      </c>
      <c r="BJ147" s="230">
        <v>74900</v>
      </c>
      <c r="BK147" s="229">
        <v>0.1431</v>
      </c>
      <c r="BL147" s="230">
        <v>186550</v>
      </c>
      <c r="BM147" s="230">
        <v>281050</v>
      </c>
      <c r="BN147" s="230">
        <v>-94500</v>
      </c>
      <c r="BO147" s="229">
        <v>-0.3362</v>
      </c>
      <c r="BP147" s="230">
        <v>1222550</v>
      </c>
      <c r="BQ147" s="230">
        <v>1201550</v>
      </c>
      <c r="BR147" s="230">
        <v>21000</v>
      </c>
      <c r="BS147" s="229">
        <v>1.7500000000000002E-2</v>
      </c>
      <c r="BT147" s="230">
        <v>119860</v>
      </c>
      <c r="BU147" s="230">
        <v>170611</v>
      </c>
      <c r="BV147" s="230">
        <v>-50751</v>
      </c>
      <c r="BW147" s="229">
        <v>-0.29749999999999999</v>
      </c>
      <c r="BX147" s="230">
        <v>4047750</v>
      </c>
      <c r="BY147" s="230">
        <v>4073650</v>
      </c>
      <c r="BZ147" s="230">
        <v>-25900</v>
      </c>
      <c r="CA147" s="229">
        <v>-6.4000000000000003E-3</v>
      </c>
      <c r="CB147" s="230">
        <v>3995250</v>
      </c>
      <c r="CC147" s="230">
        <v>4028850</v>
      </c>
      <c r="CD147" s="230">
        <v>-33600</v>
      </c>
      <c r="CE147" s="229">
        <v>-8.3000000000000001E-3</v>
      </c>
      <c r="CF147" s="230">
        <v>52500</v>
      </c>
      <c r="CG147" s="230">
        <v>44800</v>
      </c>
      <c r="CH147" s="230">
        <v>7700</v>
      </c>
      <c r="CI147" s="229">
        <v>0.1719</v>
      </c>
      <c r="CJ147" s="228">
        <v>0</v>
      </c>
      <c r="CK147" s="228">
        <v>0</v>
      </c>
      <c r="CL147" s="228">
        <v>0</v>
      </c>
      <c r="CM147" s="229">
        <v>0</v>
      </c>
      <c r="CN147" s="230">
        <v>620900</v>
      </c>
      <c r="CO147" s="230">
        <v>522900</v>
      </c>
      <c r="CP147" s="230">
        <v>98000</v>
      </c>
      <c r="CQ147" s="229">
        <v>0.18740000000000001</v>
      </c>
      <c r="CR147" s="230">
        <v>573650</v>
      </c>
      <c r="CS147" s="230">
        <v>540400</v>
      </c>
      <c r="CT147" s="230">
        <v>33250</v>
      </c>
      <c r="CU147" s="229">
        <v>6.1499999999999999E-2</v>
      </c>
      <c r="CV147" s="230">
        <v>5242300</v>
      </c>
      <c r="CW147" s="230">
        <v>5136950</v>
      </c>
      <c r="CX147" s="230">
        <v>105350</v>
      </c>
      <c r="CY147" s="229">
        <v>2.0500000000000001E-2</v>
      </c>
      <c r="CZ147" s="228">
        <v>27.29</v>
      </c>
      <c r="DA147" s="228">
        <v>26.79</v>
      </c>
      <c r="DB147" s="228">
        <v>0.5</v>
      </c>
      <c r="DC147" s="228">
        <v>0.5</v>
      </c>
      <c r="DD147" s="228">
        <v>36.32</v>
      </c>
      <c r="DE147" s="228">
        <v>36.35</v>
      </c>
      <c r="DF147" s="228">
        <v>-9.0299999999999994</v>
      </c>
      <c r="DG147" s="228">
        <v>-0.03</v>
      </c>
      <c r="DH147" s="228">
        <v>27.3</v>
      </c>
      <c r="DI147" s="228">
        <v>26.91</v>
      </c>
      <c r="DJ147" s="228">
        <v>0.39</v>
      </c>
      <c r="DK147" s="228">
        <v>0.39</v>
      </c>
      <c r="DL147" s="228">
        <v>27.26</v>
      </c>
      <c r="DM147" s="228">
        <v>26.57</v>
      </c>
      <c r="DN147" s="228">
        <v>0.69</v>
      </c>
      <c r="DO147" s="228">
        <v>0.69</v>
      </c>
      <c r="DP147" s="228">
        <v>0.92</v>
      </c>
      <c r="DQ147" s="228">
        <v>1.03</v>
      </c>
      <c r="DR147" s="228">
        <v>-0.11</v>
      </c>
      <c r="DS147" s="229">
        <v>-0.10680000000000001</v>
      </c>
      <c r="DT147" s="231">
        <v>1700</v>
      </c>
      <c r="DU147" s="231">
        <v>1680</v>
      </c>
      <c r="DV147" s="228">
        <v>0.31</v>
      </c>
      <c r="DW147" s="228">
        <v>0.54</v>
      </c>
      <c r="DX147" s="228">
        <v>-0.23</v>
      </c>
      <c r="DY147" s="229">
        <v>-0.4259</v>
      </c>
      <c r="DZ147" s="229">
        <v>1.2999999999999999E-2</v>
      </c>
      <c r="EA147" s="230">
        <v>44800</v>
      </c>
      <c r="EB147" s="229">
        <v>-1.8E-3</v>
      </c>
      <c r="EC147" s="229">
        <v>1.2999999999999999E-2</v>
      </c>
      <c r="ED147" s="228">
        <v>-2.56</v>
      </c>
      <c r="EE147" s="229">
        <v>-1.5E-3</v>
      </c>
      <c r="EF147" s="230">
        <v>53279</v>
      </c>
      <c r="EG147" s="230">
        <v>96979</v>
      </c>
      <c r="EH147" s="229">
        <v>-0.4506</v>
      </c>
      <c r="EI147" s="229">
        <v>0.44450000000000001</v>
      </c>
      <c r="EJ147" s="231">
        <v>10504.63</v>
      </c>
      <c r="EK147" s="231">
        <v>3066.47</v>
      </c>
      <c r="EL147" s="231">
        <v>7346.55</v>
      </c>
      <c r="EM147" s="231">
        <v>6016</v>
      </c>
      <c r="EN147" s="231">
        <v>20917.650000000001</v>
      </c>
      <c r="EO147" s="231">
        <v>20550.79</v>
      </c>
      <c r="EP147" s="228">
        <v>366.86</v>
      </c>
      <c r="EQ147" s="229">
        <v>1.7899999999999999E-2</v>
      </c>
      <c r="ER147" s="231">
        <v>10795</v>
      </c>
      <c r="ES147" s="231">
        <v>9339</v>
      </c>
      <c r="ET147" s="231">
        <v>68519</v>
      </c>
      <c r="EU147" s="231">
        <v>17614093</v>
      </c>
      <c r="EV147" s="231">
        <v>88653</v>
      </c>
      <c r="EW147" s="231">
        <v>86073</v>
      </c>
      <c r="EX147" s="231">
        <v>2580</v>
      </c>
      <c r="EY147" s="229">
        <v>0.03</v>
      </c>
      <c r="EZ147" s="229">
        <v>0.29759999999999998</v>
      </c>
      <c r="FA147" s="227" t="s">
        <v>556</v>
      </c>
      <c r="FB147" s="161">
        <f t="shared" si="3"/>
        <v>0</v>
      </c>
    </row>
    <row r="148" spans="1:158" ht="17.25" hidden="1" thickBot="1" x14ac:dyDescent="0.3">
      <c r="A148" s="226">
        <v>46023</v>
      </c>
      <c r="B148" s="227" t="s">
        <v>221</v>
      </c>
      <c r="C148" s="227" t="s">
        <v>518</v>
      </c>
      <c r="D148" s="228">
        <v>75</v>
      </c>
      <c r="E148" s="231">
        <v>7730</v>
      </c>
      <c r="F148" s="231">
        <v>7717</v>
      </c>
      <c r="G148" s="228">
        <v>13</v>
      </c>
      <c r="H148" s="229">
        <v>1.6999999999999999E-3</v>
      </c>
      <c r="I148" s="231">
        <v>7687.5</v>
      </c>
      <c r="J148" s="231">
        <v>7687</v>
      </c>
      <c r="K148" s="228">
        <v>0.5</v>
      </c>
      <c r="L148" s="229">
        <v>1E-4</v>
      </c>
      <c r="M148" s="231">
        <v>7730</v>
      </c>
      <c r="N148" s="231">
        <v>7717</v>
      </c>
      <c r="O148" s="228">
        <v>13</v>
      </c>
      <c r="P148" s="229">
        <v>1.6999999999999999E-3</v>
      </c>
      <c r="Q148" s="231">
        <v>7769.5</v>
      </c>
      <c r="R148" s="231">
        <v>7755</v>
      </c>
      <c r="S148" s="228">
        <v>14.5</v>
      </c>
      <c r="T148" s="229">
        <v>1.9E-3</v>
      </c>
      <c r="U148" s="231">
        <v>7804</v>
      </c>
      <c r="V148" s="231">
        <v>7795.5</v>
      </c>
      <c r="W148" s="228">
        <v>8.5</v>
      </c>
      <c r="X148" s="229">
        <v>1.1000000000000001E-3</v>
      </c>
      <c r="Y148" s="228">
        <v>42.5</v>
      </c>
      <c r="Z148" s="228">
        <v>30</v>
      </c>
      <c r="AA148" s="228">
        <v>12.5</v>
      </c>
      <c r="AB148" s="229">
        <v>5.4999999999999997E-3</v>
      </c>
      <c r="AC148" s="228">
        <v>42.5</v>
      </c>
      <c r="AD148" s="228">
        <v>30</v>
      </c>
      <c r="AE148" s="228">
        <v>12.5</v>
      </c>
      <c r="AF148" s="229">
        <v>5.4999999999999997E-3</v>
      </c>
      <c r="AG148" s="228">
        <v>82</v>
      </c>
      <c r="AH148" s="228">
        <v>68</v>
      </c>
      <c r="AI148" s="228">
        <v>14</v>
      </c>
      <c r="AJ148" s="229">
        <v>1.0699999999999999E-2</v>
      </c>
      <c r="AK148" s="228">
        <v>116.5</v>
      </c>
      <c r="AL148" s="228">
        <v>108.5</v>
      </c>
      <c r="AM148" s="228">
        <v>8</v>
      </c>
      <c r="AN148" s="229">
        <v>1.52E-2</v>
      </c>
      <c r="AO148" s="231">
        <v>7708.6</v>
      </c>
      <c r="AP148" s="231">
        <v>7751.75</v>
      </c>
      <c r="AQ148" s="228">
        <v>0</v>
      </c>
      <c r="AR148" s="230">
        <v>73125</v>
      </c>
      <c r="AS148" s="230">
        <v>110400</v>
      </c>
      <c r="AT148" s="230">
        <v>-37275</v>
      </c>
      <c r="AU148" s="229">
        <v>-0.33760000000000001</v>
      </c>
      <c r="AV148" s="230">
        <v>68250</v>
      </c>
      <c r="AW148" s="230">
        <v>104400</v>
      </c>
      <c r="AX148" s="230">
        <v>-36150</v>
      </c>
      <c r="AY148" s="229">
        <v>-0.3463</v>
      </c>
      <c r="AZ148" s="230">
        <v>3150</v>
      </c>
      <c r="BA148" s="230">
        <v>4125</v>
      </c>
      <c r="BB148" s="228">
        <v>-975</v>
      </c>
      <c r="BC148" s="229">
        <v>-0.2364</v>
      </c>
      <c r="BD148" s="230">
        <v>1725</v>
      </c>
      <c r="BE148" s="230">
        <v>1875</v>
      </c>
      <c r="BF148" s="228">
        <v>-150</v>
      </c>
      <c r="BG148" s="229">
        <v>-0.08</v>
      </c>
      <c r="BH148" s="230">
        <v>223575</v>
      </c>
      <c r="BI148" s="230">
        <v>269400</v>
      </c>
      <c r="BJ148" s="230">
        <v>-45825</v>
      </c>
      <c r="BK148" s="229">
        <v>-0.1701</v>
      </c>
      <c r="BL148" s="230">
        <v>180225</v>
      </c>
      <c r="BM148" s="230">
        <v>225225</v>
      </c>
      <c r="BN148" s="230">
        <v>-45000</v>
      </c>
      <c r="BO148" s="229">
        <v>-0.19980000000000001</v>
      </c>
      <c r="BP148" s="230">
        <v>476925</v>
      </c>
      <c r="BQ148" s="230">
        <v>605025</v>
      </c>
      <c r="BR148" s="230">
        <v>-128100</v>
      </c>
      <c r="BS148" s="229">
        <v>-0.2117</v>
      </c>
      <c r="BT148" s="230">
        <v>51170</v>
      </c>
      <c r="BU148" s="230">
        <v>55092</v>
      </c>
      <c r="BV148" s="230">
        <v>-3922</v>
      </c>
      <c r="BW148" s="229">
        <v>-7.1199999999999999E-2</v>
      </c>
      <c r="BX148" s="230">
        <v>1348575</v>
      </c>
      <c r="BY148" s="230">
        <v>1341150</v>
      </c>
      <c r="BZ148" s="230">
        <v>7425</v>
      </c>
      <c r="CA148" s="229">
        <v>5.4999999999999997E-3</v>
      </c>
      <c r="CB148" s="230">
        <v>1317675</v>
      </c>
      <c r="CC148" s="230">
        <v>1311750</v>
      </c>
      <c r="CD148" s="230">
        <v>5925</v>
      </c>
      <c r="CE148" s="229">
        <v>4.4999999999999997E-3</v>
      </c>
      <c r="CF148" s="230">
        <v>27750</v>
      </c>
      <c r="CG148" s="230">
        <v>27600</v>
      </c>
      <c r="CH148" s="228">
        <v>150</v>
      </c>
      <c r="CI148" s="229">
        <v>5.4000000000000003E-3</v>
      </c>
      <c r="CJ148" s="230">
        <v>3150</v>
      </c>
      <c r="CK148" s="230">
        <v>1800</v>
      </c>
      <c r="CL148" s="230">
        <v>1350</v>
      </c>
      <c r="CM148" s="229">
        <v>0.75</v>
      </c>
      <c r="CN148" s="230">
        <v>312375</v>
      </c>
      <c r="CO148" s="230">
        <v>274350</v>
      </c>
      <c r="CP148" s="230">
        <v>38025</v>
      </c>
      <c r="CQ148" s="229">
        <v>0.1386</v>
      </c>
      <c r="CR148" s="230">
        <v>267000</v>
      </c>
      <c r="CS148" s="230">
        <v>252000</v>
      </c>
      <c r="CT148" s="230">
        <v>15000</v>
      </c>
      <c r="CU148" s="229">
        <v>5.9499999999999997E-2</v>
      </c>
      <c r="CV148" s="230">
        <v>1927950</v>
      </c>
      <c r="CW148" s="230">
        <v>1867500</v>
      </c>
      <c r="CX148" s="230">
        <v>60450</v>
      </c>
      <c r="CY148" s="229">
        <v>3.2399999999999998E-2</v>
      </c>
      <c r="CZ148" s="228">
        <v>29.12</v>
      </c>
      <c r="DA148" s="228">
        <v>29.43</v>
      </c>
      <c r="DB148" s="228">
        <v>-0.31</v>
      </c>
      <c r="DC148" s="228">
        <v>-0.31</v>
      </c>
      <c r="DD148" s="228">
        <v>38.229999999999997</v>
      </c>
      <c r="DE148" s="228">
        <v>38.33</v>
      </c>
      <c r="DF148" s="228">
        <v>-9.11</v>
      </c>
      <c r="DG148" s="228">
        <v>-0.1</v>
      </c>
      <c r="DH148" s="228">
        <v>27.77</v>
      </c>
      <c r="DI148" s="228">
        <v>28.29</v>
      </c>
      <c r="DJ148" s="228">
        <v>-0.52</v>
      </c>
      <c r="DK148" s="228">
        <v>-0.52</v>
      </c>
      <c r="DL148" s="228">
        <v>30.78</v>
      </c>
      <c r="DM148" s="228">
        <v>30.79</v>
      </c>
      <c r="DN148" s="228">
        <v>-0.01</v>
      </c>
      <c r="DO148" s="228">
        <v>-0.01</v>
      </c>
      <c r="DP148" s="228">
        <v>0.85</v>
      </c>
      <c r="DQ148" s="228">
        <v>0.92</v>
      </c>
      <c r="DR148" s="228">
        <v>-7.0000000000000007E-2</v>
      </c>
      <c r="DS148" s="229">
        <v>-7.6100000000000001E-2</v>
      </c>
      <c r="DT148" s="231">
        <v>8000</v>
      </c>
      <c r="DU148" s="231">
        <v>7700</v>
      </c>
      <c r="DV148" s="228">
        <v>0.81</v>
      </c>
      <c r="DW148" s="228">
        <v>0.84</v>
      </c>
      <c r="DX148" s="228">
        <v>-0.03</v>
      </c>
      <c r="DY148" s="229">
        <v>-3.5700000000000003E-2</v>
      </c>
      <c r="DZ148" s="229">
        <v>2.29E-2</v>
      </c>
      <c r="EA148" s="230">
        <v>29400</v>
      </c>
      <c r="EB148" s="229">
        <v>5.1000000000000004E-3</v>
      </c>
      <c r="EC148" s="229">
        <v>2.29E-2</v>
      </c>
      <c r="ED148" s="228">
        <v>43.15</v>
      </c>
      <c r="EE148" s="229">
        <v>5.5999999999999999E-3</v>
      </c>
      <c r="EF148" s="230">
        <v>27339</v>
      </c>
      <c r="EG148" s="230">
        <v>26511</v>
      </c>
      <c r="EH148" s="229">
        <v>3.1199999999999999E-2</v>
      </c>
      <c r="EI148" s="229">
        <v>0.5343</v>
      </c>
      <c r="EJ148" s="231">
        <v>18036.900000000001</v>
      </c>
      <c r="EK148" s="231">
        <v>12896.07</v>
      </c>
      <c r="EL148" s="231">
        <v>5639.65</v>
      </c>
      <c r="EM148" s="231">
        <v>8943</v>
      </c>
      <c r="EN148" s="231">
        <v>36572.620000000003</v>
      </c>
      <c r="EO148" s="231">
        <v>46495.38</v>
      </c>
      <c r="EP148" s="231">
        <v>-9922.76</v>
      </c>
      <c r="EQ148" s="229">
        <v>-0.21340000000000001</v>
      </c>
      <c r="ER148" s="231">
        <v>25117</v>
      </c>
      <c r="ES148" s="231">
        <v>20277</v>
      </c>
      <c r="ET148" s="231">
        <v>104258</v>
      </c>
      <c r="EU148" s="231">
        <v>3582756</v>
      </c>
      <c r="EV148" s="231">
        <v>149652</v>
      </c>
      <c r="EW148" s="231">
        <v>144840</v>
      </c>
      <c r="EX148" s="231">
        <v>4812</v>
      </c>
      <c r="EY148" s="229">
        <v>3.32E-2</v>
      </c>
      <c r="EZ148" s="229">
        <v>0.53810000000000002</v>
      </c>
      <c r="FA148" s="227" t="s">
        <v>555</v>
      </c>
      <c r="FB148" s="161">
        <f t="shared" si="3"/>
        <v>0</v>
      </c>
    </row>
    <row r="149" spans="1:158" ht="17.25" hidden="1" thickBot="1" x14ac:dyDescent="0.3">
      <c r="A149" s="226">
        <v>46023</v>
      </c>
      <c r="B149" s="227" t="s">
        <v>193</v>
      </c>
      <c r="C149" s="227" t="s">
        <v>587</v>
      </c>
      <c r="D149" s="228">
        <v>1400</v>
      </c>
      <c r="E149" s="228">
        <v>429.05</v>
      </c>
      <c r="F149" s="228">
        <v>426.6</v>
      </c>
      <c r="G149" s="228">
        <v>2.4500000000000002</v>
      </c>
      <c r="H149" s="229">
        <v>5.7000000000000002E-3</v>
      </c>
      <c r="I149" s="228">
        <v>427.55</v>
      </c>
      <c r="J149" s="228">
        <v>424.35</v>
      </c>
      <c r="K149" s="228">
        <v>3.2</v>
      </c>
      <c r="L149" s="229">
        <v>7.4999999999999997E-3</v>
      </c>
      <c r="M149" s="228">
        <v>429.05</v>
      </c>
      <c r="N149" s="228">
        <v>426.6</v>
      </c>
      <c r="O149" s="228">
        <v>2.4500000000000002</v>
      </c>
      <c r="P149" s="229">
        <v>5.7000000000000002E-3</v>
      </c>
      <c r="Q149" s="228">
        <v>426.8</v>
      </c>
      <c r="R149" s="228">
        <v>424.55</v>
      </c>
      <c r="S149" s="228">
        <v>2.25</v>
      </c>
      <c r="T149" s="229">
        <v>5.3E-3</v>
      </c>
      <c r="U149" s="228">
        <v>424.45</v>
      </c>
      <c r="V149" s="228">
        <v>424.5</v>
      </c>
      <c r="W149" s="228">
        <v>-0.05</v>
      </c>
      <c r="X149" s="229">
        <v>-1E-4</v>
      </c>
      <c r="Y149" s="228">
        <v>1.5</v>
      </c>
      <c r="Z149" s="228">
        <v>2.25</v>
      </c>
      <c r="AA149" s="228">
        <v>-0.75</v>
      </c>
      <c r="AB149" s="229">
        <v>3.5000000000000001E-3</v>
      </c>
      <c r="AC149" s="228">
        <v>1.5</v>
      </c>
      <c r="AD149" s="228">
        <v>2.25</v>
      </c>
      <c r="AE149" s="228">
        <v>-0.75</v>
      </c>
      <c r="AF149" s="229">
        <v>3.5000000000000001E-3</v>
      </c>
      <c r="AG149" s="228">
        <v>-0.75</v>
      </c>
      <c r="AH149" s="228">
        <v>0.2</v>
      </c>
      <c r="AI149" s="228">
        <v>-0.95</v>
      </c>
      <c r="AJ149" s="229">
        <v>-1.8E-3</v>
      </c>
      <c r="AK149" s="228">
        <v>-3.1</v>
      </c>
      <c r="AL149" s="228">
        <v>0.15</v>
      </c>
      <c r="AM149" s="228">
        <v>-3.25</v>
      </c>
      <c r="AN149" s="229">
        <v>-7.3000000000000001E-3</v>
      </c>
      <c r="AO149" s="228">
        <v>425.98</v>
      </c>
      <c r="AP149" s="228">
        <v>424.41</v>
      </c>
      <c r="AQ149" s="228">
        <v>0</v>
      </c>
      <c r="AR149" s="230">
        <v>1583400</v>
      </c>
      <c r="AS149" s="230">
        <v>3680600</v>
      </c>
      <c r="AT149" s="230">
        <v>-2097200</v>
      </c>
      <c r="AU149" s="229">
        <v>-0.56979999999999997</v>
      </c>
      <c r="AV149" s="230">
        <v>1521800</v>
      </c>
      <c r="AW149" s="230">
        <v>3416000</v>
      </c>
      <c r="AX149" s="230">
        <v>-1894200</v>
      </c>
      <c r="AY149" s="229">
        <v>-0.55449999999999999</v>
      </c>
      <c r="AZ149" s="230">
        <v>57400</v>
      </c>
      <c r="BA149" s="230">
        <v>253400</v>
      </c>
      <c r="BB149" s="230">
        <v>-196000</v>
      </c>
      <c r="BC149" s="229">
        <v>-0.77349999999999997</v>
      </c>
      <c r="BD149" s="230">
        <v>4200</v>
      </c>
      <c r="BE149" s="230">
        <v>11200</v>
      </c>
      <c r="BF149" s="230">
        <v>-7000</v>
      </c>
      <c r="BG149" s="229">
        <v>-0.625</v>
      </c>
      <c r="BH149" s="230">
        <v>4754400</v>
      </c>
      <c r="BI149" s="230">
        <v>17084200</v>
      </c>
      <c r="BJ149" s="230">
        <v>-12329800</v>
      </c>
      <c r="BK149" s="229">
        <v>-0.72170000000000001</v>
      </c>
      <c r="BL149" s="230">
        <v>2195200</v>
      </c>
      <c r="BM149" s="230">
        <v>4936400</v>
      </c>
      <c r="BN149" s="230">
        <v>-2741200</v>
      </c>
      <c r="BO149" s="229">
        <v>-0.55530000000000002</v>
      </c>
      <c r="BP149" s="230">
        <v>8533000</v>
      </c>
      <c r="BQ149" s="230">
        <v>25701200</v>
      </c>
      <c r="BR149" s="230">
        <v>-17168200</v>
      </c>
      <c r="BS149" s="229">
        <v>-0.66800000000000004</v>
      </c>
      <c r="BT149" s="230">
        <v>1870609</v>
      </c>
      <c r="BU149" s="230">
        <v>2921923</v>
      </c>
      <c r="BV149" s="230">
        <v>-1051314</v>
      </c>
      <c r="BW149" s="229">
        <v>-0.35980000000000001</v>
      </c>
      <c r="BX149" s="230">
        <v>11838400</v>
      </c>
      <c r="BY149" s="230">
        <v>11807600</v>
      </c>
      <c r="BZ149" s="230">
        <v>30800</v>
      </c>
      <c r="CA149" s="229">
        <v>2.5999999999999999E-3</v>
      </c>
      <c r="CB149" s="230">
        <v>11466000</v>
      </c>
      <c r="CC149" s="230">
        <v>11432400</v>
      </c>
      <c r="CD149" s="230">
        <v>33600</v>
      </c>
      <c r="CE149" s="229">
        <v>2.8999999999999998E-3</v>
      </c>
      <c r="CF149" s="230">
        <v>365400</v>
      </c>
      <c r="CG149" s="230">
        <v>369600</v>
      </c>
      <c r="CH149" s="230">
        <v>-4200</v>
      </c>
      <c r="CI149" s="229">
        <v>-1.14E-2</v>
      </c>
      <c r="CJ149" s="230">
        <v>7000</v>
      </c>
      <c r="CK149" s="230">
        <v>5600</v>
      </c>
      <c r="CL149" s="230">
        <v>1400</v>
      </c>
      <c r="CM149" s="229">
        <v>0.25</v>
      </c>
      <c r="CN149" s="230">
        <v>4055800</v>
      </c>
      <c r="CO149" s="230">
        <v>3889200</v>
      </c>
      <c r="CP149" s="230">
        <v>166600</v>
      </c>
      <c r="CQ149" s="229">
        <v>4.2799999999999998E-2</v>
      </c>
      <c r="CR149" s="230">
        <v>2149000</v>
      </c>
      <c r="CS149" s="230">
        <v>2032800</v>
      </c>
      <c r="CT149" s="230">
        <v>116200</v>
      </c>
      <c r="CU149" s="229">
        <v>5.7200000000000001E-2</v>
      </c>
      <c r="CV149" s="230">
        <v>18043200</v>
      </c>
      <c r="CW149" s="230">
        <v>17729600</v>
      </c>
      <c r="CX149" s="230">
        <v>313600</v>
      </c>
      <c r="CY149" s="229">
        <v>1.77E-2</v>
      </c>
      <c r="CZ149" s="228">
        <v>25.09</v>
      </c>
      <c r="DA149" s="228">
        <v>24.65</v>
      </c>
      <c r="DB149" s="228">
        <v>0.44</v>
      </c>
      <c r="DC149" s="228">
        <v>0.44</v>
      </c>
      <c r="DD149" s="228">
        <v>40.659999999999997</v>
      </c>
      <c r="DE149" s="228">
        <v>40.75</v>
      </c>
      <c r="DF149" s="228">
        <v>-15.57</v>
      </c>
      <c r="DG149" s="228">
        <v>-0.09</v>
      </c>
      <c r="DH149" s="228">
        <v>25.29</v>
      </c>
      <c r="DI149" s="228">
        <v>24.85</v>
      </c>
      <c r="DJ149" s="228">
        <v>0.44</v>
      </c>
      <c r="DK149" s="228">
        <v>0.44</v>
      </c>
      <c r="DL149" s="228">
        <v>24.63</v>
      </c>
      <c r="DM149" s="228">
        <v>23.93</v>
      </c>
      <c r="DN149" s="228">
        <v>0.7</v>
      </c>
      <c r="DO149" s="228">
        <v>0.7</v>
      </c>
      <c r="DP149" s="228">
        <v>0.53</v>
      </c>
      <c r="DQ149" s="228">
        <v>0.52</v>
      </c>
      <c r="DR149" s="228">
        <v>0.01</v>
      </c>
      <c r="DS149" s="229">
        <v>1.9199999999999998E-2</v>
      </c>
      <c r="DT149" s="228">
        <v>480</v>
      </c>
      <c r="DU149" s="228">
        <v>420</v>
      </c>
      <c r="DV149" s="228">
        <v>0.46</v>
      </c>
      <c r="DW149" s="228">
        <v>0.28999999999999998</v>
      </c>
      <c r="DX149" s="228">
        <v>0.17</v>
      </c>
      <c r="DY149" s="229">
        <v>0.58620000000000005</v>
      </c>
      <c r="DZ149" s="229">
        <v>3.15E-2</v>
      </c>
      <c r="EA149" s="230">
        <v>375200</v>
      </c>
      <c r="EB149" s="229">
        <v>-5.1999999999999998E-3</v>
      </c>
      <c r="EC149" s="229">
        <v>3.15E-2</v>
      </c>
      <c r="ED149" s="228">
        <v>-1.57</v>
      </c>
      <c r="EE149" s="229">
        <v>-3.7000000000000002E-3</v>
      </c>
      <c r="EF149" s="230">
        <v>857153</v>
      </c>
      <c r="EG149" s="230">
        <v>921023</v>
      </c>
      <c r="EH149" s="229">
        <v>-6.93E-2</v>
      </c>
      <c r="EI149" s="229">
        <v>0.4582</v>
      </c>
      <c r="EJ149" s="231">
        <v>21546.57</v>
      </c>
      <c r="EK149" s="231">
        <v>9180.74</v>
      </c>
      <c r="EL149" s="231">
        <v>6743.94</v>
      </c>
      <c r="EM149" s="231">
        <v>4104</v>
      </c>
      <c r="EN149" s="231">
        <v>37471.25</v>
      </c>
      <c r="EO149" s="231">
        <v>113137.13</v>
      </c>
      <c r="EP149" s="231">
        <v>-75665.88</v>
      </c>
      <c r="EQ149" s="229">
        <v>-0.66879999999999995</v>
      </c>
      <c r="ER149" s="231">
        <v>18288</v>
      </c>
      <c r="ES149" s="231">
        <v>8870</v>
      </c>
      <c r="ET149" s="231">
        <v>50784</v>
      </c>
      <c r="EU149" s="231">
        <v>102006452</v>
      </c>
      <c r="EV149" s="231">
        <v>77942</v>
      </c>
      <c r="EW149" s="231">
        <v>76218</v>
      </c>
      <c r="EX149" s="231">
        <v>1724</v>
      </c>
      <c r="EY149" s="229">
        <v>2.2599999999999999E-2</v>
      </c>
      <c r="EZ149" s="229">
        <v>0.1769</v>
      </c>
      <c r="FA149" s="227" t="s">
        <v>555</v>
      </c>
      <c r="FB149" s="161">
        <f t="shared" si="3"/>
        <v>0</v>
      </c>
    </row>
    <row r="150" spans="1:158" ht="17.25" thickBot="1" x14ac:dyDescent="0.3">
      <c r="A150" s="226">
        <v>46023</v>
      </c>
      <c r="B150" s="227" t="s">
        <v>193</v>
      </c>
      <c r="C150" s="227" t="s">
        <v>269</v>
      </c>
      <c r="D150" s="228">
        <v>2250</v>
      </c>
      <c r="E150" s="228">
        <v>239.46</v>
      </c>
      <c r="F150" s="228">
        <v>242.08</v>
      </c>
      <c r="G150" s="228">
        <v>-2.62</v>
      </c>
      <c r="H150" s="229">
        <v>-1.0800000000000001E-2</v>
      </c>
      <c r="I150" s="228">
        <v>237.94</v>
      </c>
      <c r="J150" s="228">
        <v>240.38</v>
      </c>
      <c r="K150" s="228">
        <v>-2.44</v>
      </c>
      <c r="L150" s="229">
        <v>-1.0200000000000001E-2</v>
      </c>
      <c r="M150" s="228">
        <v>239.46</v>
      </c>
      <c r="N150" s="228">
        <v>242.08</v>
      </c>
      <c r="O150" s="228">
        <v>-2.62</v>
      </c>
      <c r="P150" s="229">
        <v>-1.0800000000000001E-2</v>
      </c>
      <c r="Q150" s="228">
        <v>239.92</v>
      </c>
      <c r="R150" s="228">
        <v>242.02</v>
      </c>
      <c r="S150" s="228">
        <v>-2.1</v>
      </c>
      <c r="T150" s="229">
        <v>-8.6999999999999994E-3</v>
      </c>
      <c r="U150" s="228">
        <v>241.56</v>
      </c>
      <c r="V150" s="228">
        <v>243.31</v>
      </c>
      <c r="W150" s="228">
        <v>-1.75</v>
      </c>
      <c r="X150" s="229">
        <v>-7.1999999999999998E-3</v>
      </c>
      <c r="Y150" s="228">
        <v>1.52</v>
      </c>
      <c r="Z150" s="228">
        <v>1.7</v>
      </c>
      <c r="AA150" s="228">
        <v>-0.18</v>
      </c>
      <c r="AB150" s="229">
        <v>6.4000000000000003E-3</v>
      </c>
      <c r="AC150" s="228">
        <v>1.52</v>
      </c>
      <c r="AD150" s="228">
        <v>1.7</v>
      </c>
      <c r="AE150" s="228">
        <v>-0.18</v>
      </c>
      <c r="AF150" s="229">
        <v>6.4000000000000003E-3</v>
      </c>
      <c r="AG150" s="228">
        <v>1.98</v>
      </c>
      <c r="AH150" s="228">
        <v>1.64</v>
      </c>
      <c r="AI150" s="228">
        <v>0.34</v>
      </c>
      <c r="AJ150" s="229">
        <v>8.3000000000000001E-3</v>
      </c>
      <c r="AK150" s="228">
        <v>3.62</v>
      </c>
      <c r="AL150" s="228">
        <v>2.93</v>
      </c>
      <c r="AM150" s="228">
        <v>0.69</v>
      </c>
      <c r="AN150" s="229">
        <v>1.52E-2</v>
      </c>
      <c r="AO150" s="228">
        <v>240.69</v>
      </c>
      <c r="AP150" s="228">
        <v>240.85</v>
      </c>
      <c r="AQ150" s="228">
        <v>0</v>
      </c>
      <c r="AR150" s="230">
        <v>10174500</v>
      </c>
      <c r="AS150" s="230">
        <v>16670250</v>
      </c>
      <c r="AT150" s="230">
        <v>-6495750</v>
      </c>
      <c r="AU150" s="229">
        <v>-0.38969999999999999</v>
      </c>
      <c r="AV150" s="230">
        <v>9681750</v>
      </c>
      <c r="AW150" s="230">
        <v>15824250</v>
      </c>
      <c r="AX150" s="230">
        <v>-6142500</v>
      </c>
      <c r="AY150" s="229">
        <v>-0.38819999999999999</v>
      </c>
      <c r="AZ150" s="230">
        <v>414000</v>
      </c>
      <c r="BA150" s="230">
        <v>769500</v>
      </c>
      <c r="BB150" s="230">
        <v>-355500</v>
      </c>
      <c r="BC150" s="229">
        <v>-0.46200000000000002</v>
      </c>
      <c r="BD150" s="230">
        <v>78750</v>
      </c>
      <c r="BE150" s="230">
        <v>76500</v>
      </c>
      <c r="BF150" s="230">
        <v>2250</v>
      </c>
      <c r="BG150" s="229">
        <v>2.9399999999999999E-2</v>
      </c>
      <c r="BH150" s="230">
        <v>48687750</v>
      </c>
      <c r="BI150" s="230">
        <v>49241250</v>
      </c>
      <c r="BJ150" s="230">
        <v>-553500</v>
      </c>
      <c r="BK150" s="229">
        <v>-1.12E-2</v>
      </c>
      <c r="BL150" s="230">
        <v>18803250</v>
      </c>
      <c r="BM150" s="230">
        <v>24455250</v>
      </c>
      <c r="BN150" s="230">
        <v>-5652000</v>
      </c>
      <c r="BO150" s="229">
        <v>-0.2311</v>
      </c>
      <c r="BP150" s="230">
        <v>77665500</v>
      </c>
      <c r="BQ150" s="230">
        <v>90366750</v>
      </c>
      <c r="BR150" s="230">
        <v>-12701250</v>
      </c>
      <c r="BS150" s="229">
        <v>-0.1406</v>
      </c>
      <c r="BT150" s="230">
        <v>5985964</v>
      </c>
      <c r="BU150" s="230">
        <v>12072627</v>
      </c>
      <c r="BV150" s="230">
        <v>-6086663</v>
      </c>
      <c r="BW150" s="229">
        <v>-0.50419999999999998</v>
      </c>
      <c r="BX150" s="230">
        <v>115958250</v>
      </c>
      <c r="BY150" s="230">
        <v>113949000</v>
      </c>
      <c r="BZ150" s="230">
        <v>2009250</v>
      </c>
      <c r="CA150" s="229">
        <v>1.7600000000000001E-2</v>
      </c>
      <c r="CB150" s="230">
        <v>113672250</v>
      </c>
      <c r="CC150" s="230">
        <v>111786750</v>
      </c>
      <c r="CD150" s="230">
        <v>1885500</v>
      </c>
      <c r="CE150" s="229">
        <v>1.6899999999999998E-2</v>
      </c>
      <c r="CF150" s="230">
        <v>2164500</v>
      </c>
      <c r="CG150" s="230">
        <v>2110500</v>
      </c>
      <c r="CH150" s="230">
        <v>54000</v>
      </c>
      <c r="CI150" s="229">
        <v>2.5600000000000001E-2</v>
      </c>
      <c r="CJ150" s="230">
        <v>121500</v>
      </c>
      <c r="CK150" s="230">
        <v>51750</v>
      </c>
      <c r="CL150" s="230">
        <v>69750</v>
      </c>
      <c r="CM150" s="229">
        <v>1.3478000000000001</v>
      </c>
      <c r="CN150" s="230">
        <v>34200000</v>
      </c>
      <c r="CO150" s="230">
        <v>22779000</v>
      </c>
      <c r="CP150" s="230">
        <v>11421000</v>
      </c>
      <c r="CQ150" s="229">
        <v>0.50139999999999996</v>
      </c>
      <c r="CR150" s="230">
        <v>19003500</v>
      </c>
      <c r="CS150" s="230">
        <v>18072000</v>
      </c>
      <c r="CT150" s="230">
        <v>931500</v>
      </c>
      <c r="CU150" s="229">
        <v>5.1499999999999997E-2</v>
      </c>
      <c r="CV150" s="230">
        <v>169161750</v>
      </c>
      <c r="CW150" s="230">
        <v>154800000</v>
      </c>
      <c r="CX150" s="230">
        <v>14361750</v>
      </c>
      <c r="CY150" s="229">
        <v>9.2799999999999994E-2</v>
      </c>
      <c r="CZ150" s="228">
        <v>15.76</v>
      </c>
      <c r="DA150" s="228">
        <v>17.690000000000001</v>
      </c>
      <c r="DB150" s="228">
        <v>-1.93</v>
      </c>
      <c r="DC150" s="228">
        <v>-1.93</v>
      </c>
      <c r="DD150" s="228">
        <v>29.51</v>
      </c>
      <c r="DE150" s="228">
        <v>29.55</v>
      </c>
      <c r="DF150" s="228">
        <v>-13.75</v>
      </c>
      <c r="DG150" s="228">
        <v>-0.04</v>
      </c>
      <c r="DH150" s="228">
        <v>15.61</v>
      </c>
      <c r="DI150" s="228">
        <v>17.3</v>
      </c>
      <c r="DJ150" s="228">
        <v>-1.69</v>
      </c>
      <c r="DK150" s="228">
        <v>-1.69</v>
      </c>
      <c r="DL150" s="228">
        <v>16.149999999999999</v>
      </c>
      <c r="DM150" s="228">
        <v>18.47</v>
      </c>
      <c r="DN150" s="228">
        <v>-2.3199999999999998</v>
      </c>
      <c r="DO150" s="228">
        <v>-2.3199999999999998</v>
      </c>
      <c r="DP150" s="228">
        <v>0.56000000000000005</v>
      </c>
      <c r="DQ150" s="228">
        <v>0.79</v>
      </c>
      <c r="DR150" s="228">
        <v>-0.23</v>
      </c>
      <c r="DS150" s="229">
        <v>-0.29110000000000003</v>
      </c>
      <c r="DT150" s="228">
        <v>240</v>
      </c>
      <c r="DU150" s="228">
        <v>235</v>
      </c>
      <c r="DV150" s="228">
        <v>0.39</v>
      </c>
      <c r="DW150" s="228">
        <v>0.5</v>
      </c>
      <c r="DX150" s="228">
        <v>-0.11</v>
      </c>
      <c r="DY150" s="229">
        <v>-0.22</v>
      </c>
      <c r="DZ150" s="229">
        <v>1.9699999999999999E-2</v>
      </c>
      <c r="EA150" s="230">
        <v>2162250</v>
      </c>
      <c r="EB150" s="229">
        <v>1.9E-3</v>
      </c>
      <c r="EC150" s="229">
        <v>1.9699999999999999E-2</v>
      </c>
      <c r="ED150" s="228">
        <v>0.16</v>
      </c>
      <c r="EE150" s="229">
        <v>6.9999999999999999E-4</v>
      </c>
      <c r="EF150" s="230">
        <v>3148632</v>
      </c>
      <c r="EG150" s="230">
        <v>5407912</v>
      </c>
      <c r="EH150" s="229">
        <v>-0.4178</v>
      </c>
      <c r="EI150" s="229">
        <v>0.52600000000000002</v>
      </c>
      <c r="EJ150" s="231">
        <v>121050.26</v>
      </c>
      <c r="EK150" s="231">
        <v>44808.39</v>
      </c>
      <c r="EL150" s="231">
        <v>24491.33</v>
      </c>
      <c r="EM150" s="231">
        <v>19827</v>
      </c>
      <c r="EN150" s="231">
        <v>190349.98</v>
      </c>
      <c r="EO150" s="231">
        <v>220019.52</v>
      </c>
      <c r="EP150" s="231">
        <v>-29669.54</v>
      </c>
      <c r="EQ150" s="229">
        <v>-0.1348</v>
      </c>
      <c r="ER150" s="231">
        <v>83806</v>
      </c>
      <c r="ES150" s="231">
        <v>45037</v>
      </c>
      <c r="ET150" s="231">
        <v>277686</v>
      </c>
      <c r="EU150" s="231">
        <v>517141211</v>
      </c>
      <c r="EV150" s="231">
        <v>406530</v>
      </c>
      <c r="EW150" s="231">
        <v>374472</v>
      </c>
      <c r="EX150" s="231">
        <v>32058</v>
      </c>
      <c r="EY150" s="229">
        <v>8.5599999999999996E-2</v>
      </c>
      <c r="EZ150" s="229">
        <v>0.3271</v>
      </c>
      <c r="FA150" s="227" t="s">
        <v>567</v>
      </c>
      <c r="FB150" s="161">
        <f t="shared" si="3"/>
        <v>0</v>
      </c>
    </row>
    <row r="151" spans="1:158" ht="17.25" thickBot="1" x14ac:dyDescent="0.3">
      <c r="A151" s="226">
        <v>46023</v>
      </c>
      <c r="B151" s="227" t="s">
        <v>197</v>
      </c>
      <c r="C151" s="227" t="s">
        <v>270</v>
      </c>
      <c r="D151" s="228">
        <v>15</v>
      </c>
      <c r="E151" s="231">
        <v>35705</v>
      </c>
      <c r="F151" s="231">
        <v>36045</v>
      </c>
      <c r="G151" s="228">
        <v>-340</v>
      </c>
      <c r="H151" s="229">
        <v>-9.4000000000000004E-3</v>
      </c>
      <c r="I151" s="231">
        <v>35645</v>
      </c>
      <c r="J151" s="231">
        <v>36045</v>
      </c>
      <c r="K151" s="228">
        <v>-400</v>
      </c>
      <c r="L151" s="229">
        <v>-1.11E-2</v>
      </c>
      <c r="M151" s="231">
        <v>35705</v>
      </c>
      <c r="N151" s="231">
        <v>36045</v>
      </c>
      <c r="O151" s="228">
        <v>-340</v>
      </c>
      <c r="P151" s="229">
        <v>-9.4000000000000004E-3</v>
      </c>
      <c r="Q151" s="231">
        <v>35640</v>
      </c>
      <c r="R151" s="231">
        <v>35955</v>
      </c>
      <c r="S151" s="228">
        <v>-315</v>
      </c>
      <c r="T151" s="229">
        <v>-8.8000000000000005E-3</v>
      </c>
      <c r="U151" s="231">
        <v>35605</v>
      </c>
      <c r="V151" s="231">
        <v>36005</v>
      </c>
      <c r="W151" s="228">
        <v>-400</v>
      </c>
      <c r="X151" s="229">
        <v>-1.11E-2</v>
      </c>
      <c r="Y151" s="228">
        <v>60</v>
      </c>
      <c r="Z151" s="228">
        <v>0</v>
      </c>
      <c r="AA151" s="228">
        <v>60</v>
      </c>
      <c r="AB151" s="229">
        <v>1.6999999999999999E-3</v>
      </c>
      <c r="AC151" s="228">
        <v>60</v>
      </c>
      <c r="AD151" s="228">
        <v>0</v>
      </c>
      <c r="AE151" s="228">
        <v>60</v>
      </c>
      <c r="AF151" s="229">
        <v>1.6999999999999999E-3</v>
      </c>
      <c r="AG151" s="228">
        <v>-5</v>
      </c>
      <c r="AH151" s="228">
        <v>-90</v>
      </c>
      <c r="AI151" s="228">
        <v>85</v>
      </c>
      <c r="AJ151" s="229">
        <v>-1E-4</v>
      </c>
      <c r="AK151" s="228">
        <v>-40</v>
      </c>
      <c r="AL151" s="228">
        <v>-40</v>
      </c>
      <c r="AM151" s="228">
        <v>0</v>
      </c>
      <c r="AN151" s="229">
        <v>-1.1000000000000001E-3</v>
      </c>
      <c r="AO151" s="231">
        <v>35702.35</v>
      </c>
      <c r="AP151" s="231">
        <v>35627.35</v>
      </c>
      <c r="AQ151" s="228">
        <v>0</v>
      </c>
      <c r="AR151" s="230">
        <v>16935</v>
      </c>
      <c r="AS151" s="230">
        <v>18525</v>
      </c>
      <c r="AT151" s="230">
        <v>-1590</v>
      </c>
      <c r="AU151" s="229">
        <v>-8.5800000000000001E-2</v>
      </c>
      <c r="AV151" s="230">
        <v>15555</v>
      </c>
      <c r="AW151" s="230">
        <v>17160</v>
      </c>
      <c r="AX151" s="230">
        <v>-1605</v>
      </c>
      <c r="AY151" s="229">
        <v>-9.35E-2</v>
      </c>
      <c r="AZ151" s="230">
        <v>1170</v>
      </c>
      <c r="BA151" s="230">
        <v>1170</v>
      </c>
      <c r="BB151" s="228">
        <v>0</v>
      </c>
      <c r="BC151" s="229">
        <v>0</v>
      </c>
      <c r="BD151" s="228">
        <v>210</v>
      </c>
      <c r="BE151" s="228">
        <v>195</v>
      </c>
      <c r="BF151" s="228">
        <v>15</v>
      </c>
      <c r="BG151" s="229">
        <v>7.6899999999999996E-2</v>
      </c>
      <c r="BH151" s="230">
        <v>88305</v>
      </c>
      <c r="BI151" s="230">
        <v>52440</v>
      </c>
      <c r="BJ151" s="230">
        <v>35865</v>
      </c>
      <c r="BK151" s="229">
        <v>0.68389999999999995</v>
      </c>
      <c r="BL151" s="230">
        <v>36945</v>
      </c>
      <c r="BM151" s="230">
        <v>20880</v>
      </c>
      <c r="BN151" s="230">
        <v>16065</v>
      </c>
      <c r="BO151" s="229">
        <v>0.76939999999999997</v>
      </c>
      <c r="BP151" s="230">
        <v>142185</v>
      </c>
      <c r="BQ151" s="230">
        <v>91845</v>
      </c>
      <c r="BR151" s="230">
        <v>50340</v>
      </c>
      <c r="BS151" s="229">
        <v>0.54810000000000003</v>
      </c>
      <c r="BT151" s="230">
        <v>25697</v>
      </c>
      <c r="BU151" s="230">
        <v>10592</v>
      </c>
      <c r="BV151" s="230">
        <v>15105</v>
      </c>
      <c r="BW151" s="229">
        <v>1.4260999999999999</v>
      </c>
      <c r="BX151" s="230">
        <v>241125</v>
      </c>
      <c r="BY151" s="230">
        <v>239040</v>
      </c>
      <c r="BZ151" s="230">
        <v>2085</v>
      </c>
      <c r="CA151" s="229">
        <v>8.6999999999999994E-3</v>
      </c>
      <c r="CB151" s="230">
        <v>231810</v>
      </c>
      <c r="CC151" s="230">
        <v>230460</v>
      </c>
      <c r="CD151" s="230">
        <v>1350</v>
      </c>
      <c r="CE151" s="229">
        <v>5.8999999999999999E-3</v>
      </c>
      <c r="CF151" s="230">
        <v>8940</v>
      </c>
      <c r="CG151" s="230">
        <v>8385</v>
      </c>
      <c r="CH151" s="228">
        <v>555</v>
      </c>
      <c r="CI151" s="229">
        <v>6.6199999999999995E-2</v>
      </c>
      <c r="CJ151" s="228">
        <v>375</v>
      </c>
      <c r="CK151" s="228">
        <v>195</v>
      </c>
      <c r="CL151" s="228">
        <v>180</v>
      </c>
      <c r="CM151" s="229">
        <v>0.92310000000000003</v>
      </c>
      <c r="CN151" s="230">
        <v>43095</v>
      </c>
      <c r="CO151" s="230">
        <v>31905</v>
      </c>
      <c r="CP151" s="230">
        <v>11190</v>
      </c>
      <c r="CQ151" s="229">
        <v>0.35070000000000001</v>
      </c>
      <c r="CR151" s="230">
        <v>26340</v>
      </c>
      <c r="CS151" s="230">
        <v>25050</v>
      </c>
      <c r="CT151" s="230">
        <v>1290</v>
      </c>
      <c r="CU151" s="229">
        <v>5.1499999999999997E-2</v>
      </c>
      <c r="CV151" s="230">
        <v>310560</v>
      </c>
      <c r="CW151" s="230">
        <v>295995</v>
      </c>
      <c r="CX151" s="230">
        <v>14565</v>
      </c>
      <c r="CY151" s="229">
        <v>4.9200000000000001E-2</v>
      </c>
      <c r="CZ151" s="228">
        <v>23.18</v>
      </c>
      <c r="DA151" s="228">
        <v>21.08</v>
      </c>
      <c r="DB151" s="228">
        <v>2.1</v>
      </c>
      <c r="DC151" s="228">
        <v>2.1</v>
      </c>
      <c r="DD151" s="228">
        <v>27.67</v>
      </c>
      <c r="DE151" s="228">
        <v>27.7</v>
      </c>
      <c r="DF151" s="228">
        <v>-4.49</v>
      </c>
      <c r="DG151" s="228">
        <v>-0.03</v>
      </c>
      <c r="DH151" s="228">
        <v>23.84</v>
      </c>
      <c r="DI151" s="228">
        <v>21.03</v>
      </c>
      <c r="DJ151" s="228">
        <v>2.81</v>
      </c>
      <c r="DK151" s="228">
        <v>2.81</v>
      </c>
      <c r="DL151" s="228">
        <v>21.58</v>
      </c>
      <c r="DM151" s="228">
        <v>21.2</v>
      </c>
      <c r="DN151" s="228">
        <v>0.38</v>
      </c>
      <c r="DO151" s="228">
        <v>0.38</v>
      </c>
      <c r="DP151" s="228">
        <v>0.61</v>
      </c>
      <c r="DQ151" s="228">
        <v>0.79</v>
      </c>
      <c r="DR151" s="228">
        <v>-0.18</v>
      </c>
      <c r="DS151" s="229">
        <v>-0.2278</v>
      </c>
      <c r="DT151" s="231">
        <v>36000</v>
      </c>
      <c r="DU151" s="231">
        <v>35000</v>
      </c>
      <c r="DV151" s="228">
        <v>0.42</v>
      </c>
      <c r="DW151" s="228">
        <v>0.4</v>
      </c>
      <c r="DX151" s="228">
        <v>0.02</v>
      </c>
      <c r="DY151" s="229">
        <v>0.05</v>
      </c>
      <c r="DZ151" s="229">
        <v>3.8600000000000002E-2</v>
      </c>
      <c r="EA151" s="230">
        <v>8580</v>
      </c>
      <c r="EB151" s="229">
        <v>-1.8E-3</v>
      </c>
      <c r="EC151" s="229">
        <v>3.8600000000000002E-2</v>
      </c>
      <c r="ED151" s="228">
        <v>-75</v>
      </c>
      <c r="EE151" s="229">
        <v>-2.0999999999999999E-3</v>
      </c>
      <c r="EF151" s="230">
        <v>19758</v>
      </c>
      <c r="EG151" s="230">
        <v>4711</v>
      </c>
      <c r="EH151" s="229">
        <v>3.194</v>
      </c>
      <c r="EI151" s="229">
        <v>0.76890000000000003</v>
      </c>
      <c r="EJ151" s="231">
        <v>34624.019999999997</v>
      </c>
      <c r="EK151" s="231">
        <v>12809.14</v>
      </c>
      <c r="EL151" s="231">
        <v>6045.18</v>
      </c>
      <c r="EM151" s="231">
        <v>8475</v>
      </c>
      <c r="EN151" s="231">
        <v>53478.34</v>
      </c>
      <c r="EO151" s="231">
        <v>33813.03</v>
      </c>
      <c r="EP151" s="231">
        <v>19665.310000000001</v>
      </c>
      <c r="EQ151" s="229">
        <v>0.58160000000000001</v>
      </c>
      <c r="ER151" s="231">
        <v>16262</v>
      </c>
      <c r="ES151" s="231">
        <v>9355</v>
      </c>
      <c r="ET151" s="231">
        <v>86087</v>
      </c>
      <c r="EU151" s="231">
        <v>955549</v>
      </c>
      <c r="EV151" s="231">
        <v>111705</v>
      </c>
      <c r="EW151" s="231">
        <v>107079</v>
      </c>
      <c r="EX151" s="231">
        <v>4626</v>
      </c>
      <c r="EY151" s="229">
        <v>4.3200000000000002E-2</v>
      </c>
      <c r="EZ151" s="229">
        <v>0.32500000000000001</v>
      </c>
      <c r="FA151" s="227" t="s">
        <v>567</v>
      </c>
      <c r="FB151" s="161">
        <f t="shared" si="3"/>
        <v>0</v>
      </c>
    </row>
    <row r="152" spans="1:158" ht="17.25" thickBot="1" x14ac:dyDescent="0.3">
      <c r="A152" s="226">
        <v>46023</v>
      </c>
      <c r="B152" s="227" t="s">
        <v>168</v>
      </c>
      <c r="C152" s="227" t="s">
        <v>665</v>
      </c>
      <c r="D152" s="228">
        <v>900</v>
      </c>
      <c r="E152" s="228">
        <v>554.29999999999995</v>
      </c>
      <c r="F152" s="228">
        <v>549</v>
      </c>
      <c r="G152" s="228">
        <v>5.3</v>
      </c>
      <c r="H152" s="229">
        <v>9.7000000000000003E-3</v>
      </c>
      <c r="I152" s="228">
        <v>552.54999999999995</v>
      </c>
      <c r="J152" s="228">
        <v>545.5</v>
      </c>
      <c r="K152" s="228">
        <v>7.05</v>
      </c>
      <c r="L152" s="229">
        <v>1.29E-2</v>
      </c>
      <c r="M152" s="228">
        <v>554.29999999999995</v>
      </c>
      <c r="N152" s="228">
        <v>549</v>
      </c>
      <c r="O152" s="228">
        <v>5.3</v>
      </c>
      <c r="P152" s="229">
        <v>9.7000000000000003E-3</v>
      </c>
      <c r="Q152" s="228">
        <v>557.29999999999995</v>
      </c>
      <c r="R152" s="228">
        <v>552.04999999999995</v>
      </c>
      <c r="S152" s="228">
        <v>5.25</v>
      </c>
      <c r="T152" s="229">
        <v>9.4999999999999998E-3</v>
      </c>
      <c r="U152" s="228">
        <v>559</v>
      </c>
      <c r="V152" s="228">
        <v>552.9</v>
      </c>
      <c r="W152" s="228">
        <v>6.1</v>
      </c>
      <c r="X152" s="229">
        <v>1.0999999999999999E-2</v>
      </c>
      <c r="Y152" s="228">
        <v>1.75</v>
      </c>
      <c r="Z152" s="228">
        <v>3.5</v>
      </c>
      <c r="AA152" s="228">
        <v>-1.75</v>
      </c>
      <c r="AB152" s="229">
        <v>3.2000000000000002E-3</v>
      </c>
      <c r="AC152" s="228">
        <v>1.75</v>
      </c>
      <c r="AD152" s="228">
        <v>3.5</v>
      </c>
      <c r="AE152" s="228">
        <v>-1.75</v>
      </c>
      <c r="AF152" s="229">
        <v>3.2000000000000002E-3</v>
      </c>
      <c r="AG152" s="228">
        <v>4.75</v>
      </c>
      <c r="AH152" s="228">
        <v>6.55</v>
      </c>
      <c r="AI152" s="228">
        <v>-1.8</v>
      </c>
      <c r="AJ152" s="229">
        <v>8.6E-3</v>
      </c>
      <c r="AK152" s="228">
        <v>6.45</v>
      </c>
      <c r="AL152" s="228">
        <v>7.4</v>
      </c>
      <c r="AM152" s="228">
        <v>-0.95</v>
      </c>
      <c r="AN152" s="229">
        <v>1.17E-2</v>
      </c>
      <c r="AO152" s="228">
        <v>553.07000000000005</v>
      </c>
      <c r="AP152" s="228">
        <v>555.65</v>
      </c>
      <c r="AQ152" s="228">
        <v>0</v>
      </c>
      <c r="AR152" s="230">
        <v>3559500</v>
      </c>
      <c r="AS152" s="230">
        <v>5172300</v>
      </c>
      <c r="AT152" s="230">
        <v>-1612800</v>
      </c>
      <c r="AU152" s="229">
        <v>-0.31180000000000002</v>
      </c>
      <c r="AV152" s="230">
        <v>3510000</v>
      </c>
      <c r="AW152" s="230">
        <v>5046300</v>
      </c>
      <c r="AX152" s="230">
        <v>-1536300</v>
      </c>
      <c r="AY152" s="229">
        <v>-0.3044</v>
      </c>
      <c r="AZ152" s="230">
        <v>43200</v>
      </c>
      <c r="BA152" s="230">
        <v>119700</v>
      </c>
      <c r="BB152" s="230">
        <v>-76500</v>
      </c>
      <c r="BC152" s="229">
        <v>-0.6391</v>
      </c>
      <c r="BD152" s="230">
        <v>6300</v>
      </c>
      <c r="BE152" s="230">
        <v>6300</v>
      </c>
      <c r="BF152" s="228">
        <v>0</v>
      </c>
      <c r="BG152" s="229">
        <v>0</v>
      </c>
      <c r="BH152" s="230">
        <v>1684800</v>
      </c>
      <c r="BI152" s="230">
        <v>5208300</v>
      </c>
      <c r="BJ152" s="230">
        <v>-3523500</v>
      </c>
      <c r="BK152" s="229">
        <v>-0.67649999999999999</v>
      </c>
      <c r="BL152" s="230">
        <v>738900</v>
      </c>
      <c r="BM152" s="230">
        <v>3219300</v>
      </c>
      <c r="BN152" s="230">
        <v>-2480400</v>
      </c>
      <c r="BO152" s="229">
        <v>-0.77049999999999996</v>
      </c>
      <c r="BP152" s="230">
        <v>5983200</v>
      </c>
      <c r="BQ152" s="230">
        <v>13599900</v>
      </c>
      <c r="BR152" s="230">
        <v>-7616700</v>
      </c>
      <c r="BS152" s="229">
        <v>-0.56010000000000004</v>
      </c>
      <c r="BT152" s="230">
        <v>648654</v>
      </c>
      <c r="BU152" s="230">
        <v>1303939</v>
      </c>
      <c r="BV152" s="230">
        <v>-655285</v>
      </c>
      <c r="BW152" s="229">
        <v>-0.50249999999999995</v>
      </c>
      <c r="BX152" s="230">
        <v>38465100</v>
      </c>
      <c r="BY152" s="230">
        <v>38391300</v>
      </c>
      <c r="BZ152" s="230">
        <v>73800</v>
      </c>
      <c r="CA152" s="229">
        <v>1.9E-3</v>
      </c>
      <c r="CB152" s="230">
        <v>38265300</v>
      </c>
      <c r="CC152" s="230">
        <v>38205000</v>
      </c>
      <c r="CD152" s="230">
        <v>60300</v>
      </c>
      <c r="CE152" s="229">
        <v>1.6000000000000001E-3</v>
      </c>
      <c r="CF152" s="230">
        <v>189900</v>
      </c>
      <c r="CG152" s="230">
        <v>181800</v>
      </c>
      <c r="CH152" s="230">
        <v>8100</v>
      </c>
      <c r="CI152" s="229">
        <v>4.4600000000000001E-2</v>
      </c>
      <c r="CJ152" s="230">
        <v>9900</v>
      </c>
      <c r="CK152" s="230">
        <v>4500</v>
      </c>
      <c r="CL152" s="230">
        <v>5400</v>
      </c>
      <c r="CM152" s="229">
        <v>1.2</v>
      </c>
      <c r="CN152" s="230">
        <v>2516400</v>
      </c>
      <c r="CO152" s="230">
        <v>2543400</v>
      </c>
      <c r="CP152" s="230">
        <v>-27000</v>
      </c>
      <c r="CQ152" s="229">
        <v>-1.06E-2</v>
      </c>
      <c r="CR152" s="230">
        <v>1847700</v>
      </c>
      <c r="CS152" s="230">
        <v>1832400</v>
      </c>
      <c r="CT152" s="230">
        <v>15300</v>
      </c>
      <c r="CU152" s="229">
        <v>8.3000000000000001E-3</v>
      </c>
      <c r="CV152" s="230">
        <v>42829200</v>
      </c>
      <c r="CW152" s="230">
        <v>42767100</v>
      </c>
      <c r="CX152" s="230">
        <v>62100</v>
      </c>
      <c r="CY152" s="229">
        <v>1.5E-3</v>
      </c>
      <c r="CZ152" s="228">
        <v>25.87</v>
      </c>
      <c r="DA152" s="228">
        <v>25.73</v>
      </c>
      <c r="DB152" s="228">
        <v>0.14000000000000001</v>
      </c>
      <c r="DC152" s="228">
        <v>0.14000000000000001</v>
      </c>
      <c r="DD152" s="228">
        <v>32.94</v>
      </c>
      <c r="DE152" s="228">
        <v>33</v>
      </c>
      <c r="DF152" s="228">
        <v>-7.07</v>
      </c>
      <c r="DG152" s="228">
        <v>-0.06</v>
      </c>
      <c r="DH152" s="228">
        <v>25.67</v>
      </c>
      <c r="DI152" s="228">
        <v>25.44</v>
      </c>
      <c r="DJ152" s="228">
        <v>0.23</v>
      </c>
      <c r="DK152" s="228">
        <v>0.23</v>
      </c>
      <c r="DL152" s="228">
        <v>26.31</v>
      </c>
      <c r="DM152" s="228">
        <v>26.19</v>
      </c>
      <c r="DN152" s="228">
        <v>0.12</v>
      </c>
      <c r="DO152" s="228">
        <v>0.12</v>
      </c>
      <c r="DP152" s="228">
        <v>0.73</v>
      </c>
      <c r="DQ152" s="228">
        <v>0.72</v>
      </c>
      <c r="DR152" s="228">
        <v>0.01</v>
      </c>
      <c r="DS152" s="229">
        <v>1.3899999999999999E-2</v>
      </c>
      <c r="DT152" s="228">
        <v>550</v>
      </c>
      <c r="DU152" s="228">
        <v>600</v>
      </c>
      <c r="DV152" s="228">
        <v>0.44</v>
      </c>
      <c r="DW152" s="228">
        <v>0.62</v>
      </c>
      <c r="DX152" s="228">
        <v>-0.18</v>
      </c>
      <c r="DY152" s="229">
        <v>-0.2903</v>
      </c>
      <c r="DZ152" s="229">
        <v>5.1999999999999998E-3</v>
      </c>
      <c r="EA152" s="230">
        <v>186300</v>
      </c>
      <c r="EB152" s="229">
        <v>5.4000000000000003E-3</v>
      </c>
      <c r="EC152" s="229">
        <v>5.1999999999999998E-3</v>
      </c>
      <c r="ED152" s="228">
        <v>2.58</v>
      </c>
      <c r="EE152" s="229">
        <v>4.7000000000000002E-3</v>
      </c>
      <c r="EF152" s="230">
        <v>340760</v>
      </c>
      <c r="EG152" s="230">
        <v>337595</v>
      </c>
      <c r="EH152" s="229">
        <v>9.4000000000000004E-3</v>
      </c>
      <c r="EI152" s="229">
        <v>0.52529999999999999</v>
      </c>
      <c r="EJ152" s="231">
        <v>9681.3700000000008</v>
      </c>
      <c r="EK152" s="231">
        <v>4043.35</v>
      </c>
      <c r="EL152" s="231">
        <v>19688</v>
      </c>
      <c r="EM152" s="231">
        <v>17282</v>
      </c>
      <c r="EN152" s="231">
        <v>33412.720000000001</v>
      </c>
      <c r="EO152" s="231">
        <v>75200.19</v>
      </c>
      <c r="EP152" s="231">
        <v>-41787.47</v>
      </c>
      <c r="EQ152" s="229">
        <v>-0.55569999999999997</v>
      </c>
      <c r="ER152" s="231">
        <v>14261</v>
      </c>
      <c r="ES152" s="231">
        <v>10192</v>
      </c>
      <c r="ET152" s="231">
        <v>213218</v>
      </c>
      <c r="EU152" s="231">
        <v>50886533</v>
      </c>
      <c r="EV152" s="231">
        <v>237671</v>
      </c>
      <c r="EW152" s="231">
        <v>235280</v>
      </c>
      <c r="EX152" s="231">
        <v>2391</v>
      </c>
      <c r="EY152" s="229">
        <v>1.0200000000000001E-2</v>
      </c>
      <c r="EZ152" s="229">
        <v>0.8417</v>
      </c>
      <c r="FA152" s="227" t="s">
        <v>555</v>
      </c>
      <c r="FB152" s="161">
        <f t="shared" si="3"/>
        <v>0</v>
      </c>
    </row>
    <row r="153" spans="1:158" ht="17.25" thickBot="1" x14ac:dyDescent="0.3">
      <c r="A153" s="226">
        <v>46023</v>
      </c>
      <c r="B153" s="227" t="s">
        <v>615</v>
      </c>
      <c r="C153" s="227" t="s">
        <v>575</v>
      </c>
      <c r="D153" s="228">
        <v>725</v>
      </c>
      <c r="E153" s="231">
        <v>1300.7</v>
      </c>
      <c r="F153" s="231">
        <v>1305.0999999999999</v>
      </c>
      <c r="G153" s="228">
        <v>-4.4000000000000004</v>
      </c>
      <c r="H153" s="229">
        <v>-3.3999999999999998E-3</v>
      </c>
      <c r="I153" s="231">
        <v>1291.7</v>
      </c>
      <c r="J153" s="231">
        <v>1298.9000000000001</v>
      </c>
      <c r="K153" s="228">
        <v>-7.2</v>
      </c>
      <c r="L153" s="229">
        <v>-5.4999999999999997E-3</v>
      </c>
      <c r="M153" s="231">
        <v>1300.7</v>
      </c>
      <c r="N153" s="231">
        <v>1305.0999999999999</v>
      </c>
      <c r="O153" s="228">
        <v>-4.4000000000000004</v>
      </c>
      <c r="P153" s="229">
        <v>-3.3999999999999998E-3</v>
      </c>
      <c r="Q153" s="231">
        <v>1307.5999999999999</v>
      </c>
      <c r="R153" s="231">
        <v>1312.2</v>
      </c>
      <c r="S153" s="228">
        <v>-4.5999999999999996</v>
      </c>
      <c r="T153" s="229">
        <v>-3.5000000000000001E-3</v>
      </c>
      <c r="U153" s="231">
        <v>1324.8</v>
      </c>
      <c r="V153" s="231">
        <v>1322.6</v>
      </c>
      <c r="W153" s="228">
        <v>2.2000000000000002</v>
      </c>
      <c r="X153" s="229">
        <v>1.6999999999999999E-3</v>
      </c>
      <c r="Y153" s="228">
        <v>9</v>
      </c>
      <c r="Z153" s="228">
        <v>6.2</v>
      </c>
      <c r="AA153" s="228">
        <v>2.8</v>
      </c>
      <c r="AB153" s="229">
        <v>7.0000000000000001E-3</v>
      </c>
      <c r="AC153" s="228">
        <v>9</v>
      </c>
      <c r="AD153" s="228">
        <v>6.2</v>
      </c>
      <c r="AE153" s="228">
        <v>2.8</v>
      </c>
      <c r="AF153" s="229">
        <v>7.0000000000000001E-3</v>
      </c>
      <c r="AG153" s="228">
        <v>15.9</v>
      </c>
      <c r="AH153" s="228">
        <v>13.3</v>
      </c>
      <c r="AI153" s="228">
        <v>2.6</v>
      </c>
      <c r="AJ153" s="229">
        <v>1.23E-2</v>
      </c>
      <c r="AK153" s="228">
        <v>33.1</v>
      </c>
      <c r="AL153" s="228">
        <v>23.7</v>
      </c>
      <c r="AM153" s="228">
        <v>9.4</v>
      </c>
      <c r="AN153" s="229">
        <v>2.5600000000000001E-2</v>
      </c>
      <c r="AO153" s="231">
        <v>1302.4000000000001</v>
      </c>
      <c r="AP153" s="231">
        <v>1310.78</v>
      </c>
      <c r="AQ153" s="228">
        <v>0</v>
      </c>
      <c r="AR153" s="230">
        <v>1265850</v>
      </c>
      <c r="AS153" s="230">
        <v>1942275</v>
      </c>
      <c r="AT153" s="230">
        <v>-676425</v>
      </c>
      <c r="AU153" s="229">
        <v>-0.3483</v>
      </c>
      <c r="AV153" s="230">
        <v>1214375</v>
      </c>
      <c r="AW153" s="230">
        <v>1860350</v>
      </c>
      <c r="AX153" s="230">
        <v>-645975</v>
      </c>
      <c r="AY153" s="229">
        <v>-0.34720000000000001</v>
      </c>
      <c r="AZ153" s="230">
        <v>50750</v>
      </c>
      <c r="BA153" s="230">
        <v>68150</v>
      </c>
      <c r="BB153" s="230">
        <v>-17400</v>
      </c>
      <c r="BC153" s="229">
        <v>-0.25530000000000003</v>
      </c>
      <c r="BD153" s="228">
        <v>725</v>
      </c>
      <c r="BE153" s="230">
        <v>13775</v>
      </c>
      <c r="BF153" s="230">
        <v>-13050</v>
      </c>
      <c r="BG153" s="229">
        <v>-0.94740000000000002</v>
      </c>
      <c r="BH153" s="230">
        <v>3477100</v>
      </c>
      <c r="BI153" s="230">
        <v>4601575</v>
      </c>
      <c r="BJ153" s="230">
        <v>-1124475</v>
      </c>
      <c r="BK153" s="229">
        <v>-0.24440000000000001</v>
      </c>
      <c r="BL153" s="230">
        <v>1339800</v>
      </c>
      <c r="BM153" s="230">
        <v>1706650</v>
      </c>
      <c r="BN153" s="230">
        <v>-366850</v>
      </c>
      <c r="BO153" s="229">
        <v>-0.215</v>
      </c>
      <c r="BP153" s="230">
        <v>6082750</v>
      </c>
      <c r="BQ153" s="230">
        <v>8250500</v>
      </c>
      <c r="BR153" s="230">
        <v>-2167750</v>
      </c>
      <c r="BS153" s="229">
        <v>-0.26269999999999999</v>
      </c>
      <c r="BT153" s="230">
        <v>1119281</v>
      </c>
      <c r="BU153" s="230">
        <v>1278768</v>
      </c>
      <c r="BV153" s="230">
        <v>-159487</v>
      </c>
      <c r="BW153" s="229">
        <v>-0.12470000000000001</v>
      </c>
      <c r="BX153" s="230">
        <v>17332575</v>
      </c>
      <c r="BY153" s="230">
        <v>17189750</v>
      </c>
      <c r="BZ153" s="230">
        <v>142825</v>
      </c>
      <c r="CA153" s="229">
        <v>8.3000000000000001E-3</v>
      </c>
      <c r="CB153" s="230">
        <v>17118700</v>
      </c>
      <c r="CC153" s="230">
        <v>16986025</v>
      </c>
      <c r="CD153" s="230">
        <v>132675</v>
      </c>
      <c r="CE153" s="229">
        <v>7.7999999999999996E-3</v>
      </c>
      <c r="CF153" s="230">
        <v>202275</v>
      </c>
      <c r="CG153" s="230">
        <v>192850</v>
      </c>
      <c r="CH153" s="230">
        <v>9425</v>
      </c>
      <c r="CI153" s="229">
        <v>4.8899999999999999E-2</v>
      </c>
      <c r="CJ153" s="230">
        <v>11600</v>
      </c>
      <c r="CK153" s="230">
        <v>10875</v>
      </c>
      <c r="CL153" s="228">
        <v>725</v>
      </c>
      <c r="CM153" s="229">
        <v>6.6699999999999995E-2</v>
      </c>
      <c r="CN153" s="230">
        <v>3275550</v>
      </c>
      <c r="CO153" s="230">
        <v>3017450</v>
      </c>
      <c r="CP153" s="230">
        <v>258100</v>
      </c>
      <c r="CQ153" s="229">
        <v>8.5500000000000007E-2</v>
      </c>
      <c r="CR153" s="230">
        <v>2371475</v>
      </c>
      <c r="CS153" s="230">
        <v>2069150</v>
      </c>
      <c r="CT153" s="230">
        <v>302325</v>
      </c>
      <c r="CU153" s="229">
        <v>0.14610000000000001</v>
      </c>
      <c r="CV153" s="230">
        <v>22979600</v>
      </c>
      <c r="CW153" s="230">
        <v>22276350</v>
      </c>
      <c r="CX153" s="230">
        <v>703250</v>
      </c>
      <c r="CY153" s="229">
        <v>3.1600000000000003E-2</v>
      </c>
      <c r="CZ153" s="228">
        <v>29.19</v>
      </c>
      <c r="DA153" s="228">
        <v>29.64</v>
      </c>
      <c r="DB153" s="228">
        <v>-0.45</v>
      </c>
      <c r="DC153" s="228">
        <v>-0.45</v>
      </c>
      <c r="DD153" s="228">
        <v>51.39</v>
      </c>
      <c r="DE153" s="228">
        <v>51.51</v>
      </c>
      <c r="DF153" s="228">
        <v>-22.2</v>
      </c>
      <c r="DG153" s="228">
        <v>-0.12</v>
      </c>
      <c r="DH153" s="228">
        <v>29.27</v>
      </c>
      <c r="DI153" s="228">
        <v>29.57</v>
      </c>
      <c r="DJ153" s="228">
        <v>-0.3</v>
      </c>
      <c r="DK153" s="228">
        <v>-0.3</v>
      </c>
      <c r="DL153" s="228">
        <v>28.97</v>
      </c>
      <c r="DM153" s="228">
        <v>29.84</v>
      </c>
      <c r="DN153" s="228">
        <v>-0.87</v>
      </c>
      <c r="DO153" s="228">
        <v>-0.87</v>
      </c>
      <c r="DP153" s="228">
        <v>0.72</v>
      </c>
      <c r="DQ153" s="228">
        <v>0.69</v>
      </c>
      <c r="DR153" s="228">
        <v>0.03</v>
      </c>
      <c r="DS153" s="229">
        <v>4.3499999999999997E-2</v>
      </c>
      <c r="DT153" s="231">
        <v>1400</v>
      </c>
      <c r="DU153" s="231">
        <v>1300</v>
      </c>
      <c r="DV153" s="228">
        <v>0.39</v>
      </c>
      <c r="DW153" s="228">
        <v>0.37</v>
      </c>
      <c r="DX153" s="228">
        <v>0.02</v>
      </c>
      <c r="DY153" s="229">
        <v>5.4100000000000002E-2</v>
      </c>
      <c r="DZ153" s="229">
        <v>1.23E-2</v>
      </c>
      <c r="EA153" s="230">
        <v>203725</v>
      </c>
      <c r="EB153" s="229">
        <v>5.3E-3</v>
      </c>
      <c r="EC153" s="229">
        <v>1.23E-2</v>
      </c>
      <c r="ED153" s="228">
        <v>8.3800000000000008</v>
      </c>
      <c r="EE153" s="229">
        <v>6.4000000000000003E-3</v>
      </c>
      <c r="EF153" s="230">
        <v>409591</v>
      </c>
      <c r="EG153" s="230">
        <v>550445</v>
      </c>
      <c r="EH153" s="229">
        <v>-0.25590000000000002</v>
      </c>
      <c r="EI153" s="229">
        <v>0.3659</v>
      </c>
      <c r="EJ153" s="231">
        <v>47842.49</v>
      </c>
      <c r="EK153" s="231">
        <v>17488.080000000002</v>
      </c>
      <c r="EL153" s="231">
        <v>16490.82</v>
      </c>
      <c r="EM153" s="231">
        <v>11400</v>
      </c>
      <c r="EN153" s="231">
        <v>81821.39</v>
      </c>
      <c r="EO153" s="231">
        <v>110756.64</v>
      </c>
      <c r="EP153" s="231">
        <v>-28935.25</v>
      </c>
      <c r="EQ153" s="229">
        <v>-0.26129999999999998</v>
      </c>
      <c r="ER153" s="231">
        <v>44649</v>
      </c>
      <c r="ES153" s="231">
        <v>29934</v>
      </c>
      <c r="ET153" s="231">
        <v>225462</v>
      </c>
      <c r="EU153" s="231">
        <v>95799519</v>
      </c>
      <c r="EV153" s="231">
        <v>300045</v>
      </c>
      <c r="EW153" s="231">
        <v>291656</v>
      </c>
      <c r="EX153" s="231">
        <v>8389</v>
      </c>
      <c r="EY153" s="229">
        <v>2.8799999999999999E-2</v>
      </c>
      <c r="EZ153" s="229">
        <v>0.2399</v>
      </c>
      <c r="FA153" s="227" t="s">
        <v>567</v>
      </c>
      <c r="FB153" s="161">
        <f>BX227-CB227</f>
        <v>0</v>
      </c>
    </row>
    <row r="154" spans="1:158" ht="17.25" thickBot="1" x14ac:dyDescent="0.3">
      <c r="A154" s="226">
        <v>46023</v>
      </c>
      <c r="B154" s="227" t="s">
        <v>221</v>
      </c>
      <c r="C154" s="227" t="s">
        <v>529</v>
      </c>
      <c r="D154" s="228">
        <v>100</v>
      </c>
      <c r="E154" s="231">
        <v>6309</v>
      </c>
      <c r="F154" s="231">
        <v>6295.5</v>
      </c>
      <c r="G154" s="228">
        <v>13.5</v>
      </c>
      <c r="H154" s="229">
        <v>2.0999999999999999E-3</v>
      </c>
      <c r="I154" s="231">
        <v>6282.5</v>
      </c>
      <c r="J154" s="231">
        <v>6272</v>
      </c>
      <c r="K154" s="228">
        <v>10.5</v>
      </c>
      <c r="L154" s="229">
        <v>1.6999999999999999E-3</v>
      </c>
      <c r="M154" s="231">
        <v>6309</v>
      </c>
      <c r="N154" s="231">
        <v>6295.5</v>
      </c>
      <c r="O154" s="228">
        <v>13.5</v>
      </c>
      <c r="P154" s="229">
        <v>2.0999999999999999E-3</v>
      </c>
      <c r="Q154" s="231">
        <v>6329</v>
      </c>
      <c r="R154" s="231">
        <v>6307</v>
      </c>
      <c r="S154" s="228">
        <v>22</v>
      </c>
      <c r="T154" s="229">
        <v>3.5000000000000001E-3</v>
      </c>
      <c r="U154" s="231">
        <v>6356</v>
      </c>
      <c r="V154" s="231">
        <v>6333</v>
      </c>
      <c r="W154" s="228">
        <v>23</v>
      </c>
      <c r="X154" s="229">
        <v>3.5999999999999999E-3</v>
      </c>
      <c r="Y154" s="228">
        <v>26.5</v>
      </c>
      <c r="Z154" s="228">
        <v>23.5</v>
      </c>
      <c r="AA154" s="228">
        <v>3</v>
      </c>
      <c r="AB154" s="229">
        <v>4.1999999999999997E-3</v>
      </c>
      <c r="AC154" s="228">
        <v>26.5</v>
      </c>
      <c r="AD154" s="228">
        <v>23.5</v>
      </c>
      <c r="AE154" s="228">
        <v>3</v>
      </c>
      <c r="AF154" s="229">
        <v>4.1999999999999997E-3</v>
      </c>
      <c r="AG154" s="228">
        <v>46.5</v>
      </c>
      <c r="AH154" s="228">
        <v>35</v>
      </c>
      <c r="AI154" s="228">
        <v>11.5</v>
      </c>
      <c r="AJ154" s="229">
        <v>7.4000000000000003E-3</v>
      </c>
      <c r="AK154" s="228">
        <v>73.5</v>
      </c>
      <c r="AL154" s="228">
        <v>61</v>
      </c>
      <c r="AM154" s="228">
        <v>12.5</v>
      </c>
      <c r="AN154" s="229">
        <v>1.17E-2</v>
      </c>
      <c r="AO154" s="231">
        <v>6279.58</v>
      </c>
      <c r="AP154" s="231">
        <v>6297.18</v>
      </c>
      <c r="AQ154" s="228">
        <v>0</v>
      </c>
      <c r="AR154" s="230">
        <v>197700</v>
      </c>
      <c r="AS154" s="230">
        <v>399900</v>
      </c>
      <c r="AT154" s="230">
        <v>-202200</v>
      </c>
      <c r="AU154" s="229">
        <v>-0.50560000000000005</v>
      </c>
      <c r="AV154" s="230">
        <v>182900</v>
      </c>
      <c r="AW154" s="230">
        <v>391000</v>
      </c>
      <c r="AX154" s="230">
        <v>-208100</v>
      </c>
      <c r="AY154" s="229">
        <v>-0.53220000000000001</v>
      </c>
      <c r="AZ154" s="230">
        <v>14200</v>
      </c>
      <c r="BA154" s="230">
        <v>8800</v>
      </c>
      <c r="BB154" s="230">
        <v>5400</v>
      </c>
      <c r="BC154" s="229">
        <v>0.61360000000000003</v>
      </c>
      <c r="BD154" s="228">
        <v>600</v>
      </c>
      <c r="BE154" s="228">
        <v>100</v>
      </c>
      <c r="BF154" s="228">
        <v>500</v>
      </c>
      <c r="BG154" s="229">
        <v>5</v>
      </c>
      <c r="BH154" s="230">
        <v>454100</v>
      </c>
      <c r="BI154" s="230">
        <v>730800</v>
      </c>
      <c r="BJ154" s="230">
        <v>-276700</v>
      </c>
      <c r="BK154" s="229">
        <v>-0.37859999999999999</v>
      </c>
      <c r="BL154" s="230">
        <v>217200</v>
      </c>
      <c r="BM154" s="230">
        <v>405900</v>
      </c>
      <c r="BN154" s="230">
        <v>-188700</v>
      </c>
      <c r="BO154" s="229">
        <v>-0.46489999999999998</v>
      </c>
      <c r="BP154" s="230">
        <v>869000</v>
      </c>
      <c r="BQ154" s="230">
        <v>1536600</v>
      </c>
      <c r="BR154" s="230">
        <v>-667600</v>
      </c>
      <c r="BS154" s="229">
        <v>-0.4345</v>
      </c>
      <c r="BT154" s="230">
        <v>118242</v>
      </c>
      <c r="BU154" s="230">
        <v>238904</v>
      </c>
      <c r="BV154" s="230">
        <v>-120662</v>
      </c>
      <c r="BW154" s="229">
        <v>-0.50509999999999999</v>
      </c>
      <c r="BX154" s="230">
        <v>2292400</v>
      </c>
      <c r="BY154" s="230">
        <v>2303300</v>
      </c>
      <c r="BZ154" s="230">
        <v>-10900</v>
      </c>
      <c r="CA154" s="229">
        <v>-4.7000000000000002E-3</v>
      </c>
      <c r="CB154" s="230">
        <v>2155800</v>
      </c>
      <c r="CC154" s="230">
        <v>2167700</v>
      </c>
      <c r="CD154" s="230">
        <v>-11900</v>
      </c>
      <c r="CE154" s="229">
        <v>-5.4999999999999997E-3</v>
      </c>
      <c r="CF154" s="230">
        <v>136000</v>
      </c>
      <c r="CG154" s="230">
        <v>135500</v>
      </c>
      <c r="CH154" s="228">
        <v>500</v>
      </c>
      <c r="CI154" s="229">
        <v>3.7000000000000002E-3</v>
      </c>
      <c r="CJ154" s="228">
        <v>600</v>
      </c>
      <c r="CK154" s="228">
        <v>100</v>
      </c>
      <c r="CL154" s="228">
        <v>500</v>
      </c>
      <c r="CM154" s="229">
        <v>5</v>
      </c>
      <c r="CN154" s="230">
        <v>457200</v>
      </c>
      <c r="CO154" s="230">
        <v>407700</v>
      </c>
      <c r="CP154" s="230">
        <v>49500</v>
      </c>
      <c r="CQ154" s="229">
        <v>0.12139999999999999</v>
      </c>
      <c r="CR154" s="230">
        <v>329300</v>
      </c>
      <c r="CS154" s="230">
        <v>286400</v>
      </c>
      <c r="CT154" s="230">
        <v>42900</v>
      </c>
      <c r="CU154" s="229">
        <v>0.14979999999999999</v>
      </c>
      <c r="CV154" s="230">
        <v>3078900</v>
      </c>
      <c r="CW154" s="230">
        <v>2997400</v>
      </c>
      <c r="CX154" s="230">
        <v>81500</v>
      </c>
      <c r="CY154" s="229">
        <v>2.7199999999999998E-2</v>
      </c>
      <c r="CZ154" s="228">
        <v>31.23</v>
      </c>
      <c r="DA154" s="228">
        <v>31.26</v>
      </c>
      <c r="DB154" s="228">
        <v>-0.03</v>
      </c>
      <c r="DC154" s="228">
        <v>-0.03</v>
      </c>
      <c r="DD154" s="228">
        <v>39.68</v>
      </c>
      <c r="DE154" s="228">
        <v>39.78</v>
      </c>
      <c r="DF154" s="228">
        <v>-8.4499999999999993</v>
      </c>
      <c r="DG154" s="228">
        <v>-0.1</v>
      </c>
      <c r="DH154" s="228">
        <v>31.07</v>
      </c>
      <c r="DI154" s="228">
        <v>31.04</v>
      </c>
      <c r="DJ154" s="228">
        <v>0.03</v>
      </c>
      <c r="DK154" s="228">
        <v>0.03</v>
      </c>
      <c r="DL154" s="228">
        <v>31.55</v>
      </c>
      <c r="DM154" s="228">
        <v>31.65</v>
      </c>
      <c r="DN154" s="228">
        <v>-0.1</v>
      </c>
      <c r="DO154" s="228">
        <v>-0.1</v>
      </c>
      <c r="DP154" s="228">
        <v>0.72</v>
      </c>
      <c r="DQ154" s="228">
        <v>0.7</v>
      </c>
      <c r="DR154" s="228">
        <v>0.02</v>
      </c>
      <c r="DS154" s="229">
        <v>2.86E-2</v>
      </c>
      <c r="DT154" s="231">
        <v>6300</v>
      </c>
      <c r="DU154" s="231">
        <v>6200</v>
      </c>
      <c r="DV154" s="228">
        <v>0.48</v>
      </c>
      <c r="DW154" s="228">
        <v>0.56000000000000005</v>
      </c>
      <c r="DX154" s="228">
        <v>-0.08</v>
      </c>
      <c r="DY154" s="229">
        <v>-0.1429</v>
      </c>
      <c r="DZ154" s="229">
        <v>5.96E-2</v>
      </c>
      <c r="EA154" s="230">
        <v>135600</v>
      </c>
      <c r="EB154" s="229">
        <v>3.2000000000000002E-3</v>
      </c>
      <c r="EC154" s="229">
        <v>5.96E-2</v>
      </c>
      <c r="ED154" s="228">
        <v>17.600000000000001</v>
      </c>
      <c r="EE154" s="229">
        <v>2.8E-3</v>
      </c>
      <c r="EF154" s="230">
        <v>35489</v>
      </c>
      <c r="EG154" s="230">
        <v>131307</v>
      </c>
      <c r="EH154" s="229">
        <v>-0.72970000000000002</v>
      </c>
      <c r="EI154" s="229">
        <v>0.30009999999999998</v>
      </c>
      <c r="EJ154" s="231">
        <v>30022.52</v>
      </c>
      <c r="EK154" s="231">
        <v>13470.72</v>
      </c>
      <c r="EL154" s="231">
        <v>12417.54</v>
      </c>
      <c r="EM154" s="231">
        <v>13993</v>
      </c>
      <c r="EN154" s="231">
        <v>55910.78</v>
      </c>
      <c r="EO154" s="231">
        <v>98531.74</v>
      </c>
      <c r="EP154" s="231">
        <v>-42620.959999999999</v>
      </c>
      <c r="EQ154" s="229">
        <v>-0.43259999999999998</v>
      </c>
      <c r="ER154" s="231">
        <v>29895</v>
      </c>
      <c r="ES154" s="231">
        <v>19974</v>
      </c>
      <c r="ET154" s="231">
        <v>144655</v>
      </c>
      <c r="EU154" s="231">
        <v>15732422</v>
      </c>
      <c r="EV154" s="231">
        <v>194524</v>
      </c>
      <c r="EW154" s="231">
        <v>189065</v>
      </c>
      <c r="EX154" s="231">
        <v>5459</v>
      </c>
      <c r="EY154" s="229">
        <v>2.8899999999999999E-2</v>
      </c>
      <c r="EZ154" s="229">
        <v>0.19570000000000001</v>
      </c>
      <c r="FA154" s="227" t="s">
        <v>556</v>
      </c>
      <c r="FB154" s="161">
        <f t="shared" si="3"/>
        <v>0</v>
      </c>
    </row>
    <row r="155" spans="1:158" ht="17.25" thickBot="1" x14ac:dyDescent="0.3">
      <c r="A155" s="226">
        <v>46023</v>
      </c>
      <c r="B155" s="227" t="s">
        <v>193</v>
      </c>
      <c r="C155" s="227" t="s">
        <v>272</v>
      </c>
      <c r="D155" s="228">
        <v>1900</v>
      </c>
      <c r="E155" s="228">
        <v>289.5</v>
      </c>
      <c r="F155" s="228">
        <v>285.5</v>
      </c>
      <c r="G155" s="228">
        <v>4</v>
      </c>
      <c r="H155" s="229">
        <v>1.4E-2</v>
      </c>
      <c r="I155" s="228">
        <v>288.10000000000002</v>
      </c>
      <c r="J155" s="228">
        <v>284.10000000000002</v>
      </c>
      <c r="K155" s="228">
        <v>4</v>
      </c>
      <c r="L155" s="229">
        <v>1.41E-2</v>
      </c>
      <c r="M155" s="228">
        <v>289.5</v>
      </c>
      <c r="N155" s="228">
        <v>285.5</v>
      </c>
      <c r="O155" s="228">
        <v>4</v>
      </c>
      <c r="P155" s="229">
        <v>1.4E-2</v>
      </c>
      <c r="Q155" s="228">
        <v>291.14999999999998</v>
      </c>
      <c r="R155" s="228">
        <v>287.14999999999998</v>
      </c>
      <c r="S155" s="228">
        <v>4</v>
      </c>
      <c r="T155" s="229">
        <v>1.3899999999999999E-2</v>
      </c>
      <c r="U155" s="228">
        <v>290</v>
      </c>
      <c r="V155" s="228">
        <v>288.7</v>
      </c>
      <c r="W155" s="228">
        <v>1.3</v>
      </c>
      <c r="X155" s="229">
        <v>4.4999999999999997E-3</v>
      </c>
      <c r="Y155" s="228">
        <v>1.4</v>
      </c>
      <c r="Z155" s="228">
        <v>1.4</v>
      </c>
      <c r="AA155" s="228">
        <v>0</v>
      </c>
      <c r="AB155" s="229">
        <v>4.8999999999999998E-3</v>
      </c>
      <c r="AC155" s="228">
        <v>1.4</v>
      </c>
      <c r="AD155" s="228">
        <v>1.4</v>
      </c>
      <c r="AE155" s="228">
        <v>0</v>
      </c>
      <c r="AF155" s="229">
        <v>4.8999999999999998E-3</v>
      </c>
      <c r="AG155" s="228">
        <v>3.05</v>
      </c>
      <c r="AH155" s="228">
        <v>3.05</v>
      </c>
      <c r="AI155" s="228">
        <v>0</v>
      </c>
      <c r="AJ155" s="229">
        <v>1.06E-2</v>
      </c>
      <c r="AK155" s="228">
        <v>1.9</v>
      </c>
      <c r="AL155" s="228">
        <v>4.5999999999999996</v>
      </c>
      <c r="AM155" s="228">
        <v>-2.7</v>
      </c>
      <c r="AN155" s="229">
        <v>6.6E-3</v>
      </c>
      <c r="AO155" s="228">
        <v>287.74</v>
      </c>
      <c r="AP155" s="228">
        <v>289.63</v>
      </c>
      <c r="AQ155" s="228">
        <v>0</v>
      </c>
      <c r="AR155" s="230">
        <v>3678400</v>
      </c>
      <c r="AS155" s="230">
        <v>9344200</v>
      </c>
      <c r="AT155" s="230">
        <v>-5665800</v>
      </c>
      <c r="AU155" s="229">
        <v>-0.60629999999999995</v>
      </c>
      <c r="AV155" s="230">
        <v>3471300</v>
      </c>
      <c r="AW155" s="230">
        <v>7736800</v>
      </c>
      <c r="AX155" s="230">
        <v>-4265500</v>
      </c>
      <c r="AY155" s="229">
        <v>-0.55130000000000001</v>
      </c>
      <c r="AZ155" s="230">
        <v>197600</v>
      </c>
      <c r="BA155" s="230">
        <v>1599800</v>
      </c>
      <c r="BB155" s="230">
        <v>-1402200</v>
      </c>
      <c r="BC155" s="229">
        <v>-0.87649999999999995</v>
      </c>
      <c r="BD155" s="230">
        <v>9500</v>
      </c>
      <c r="BE155" s="230">
        <v>7600</v>
      </c>
      <c r="BF155" s="230">
        <v>1900</v>
      </c>
      <c r="BG155" s="229">
        <v>0.25</v>
      </c>
      <c r="BH155" s="230">
        <v>12669200</v>
      </c>
      <c r="BI155" s="230">
        <v>18515500</v>
      </c>
      <c r="BJ155" s="230">
        <v>-5846300</v>
      </c>
      <c r="BK155" s="229">
        <v>-0.31580000000000003</v>
      </c>
      <c r="BL155" s="230">
        <v>5519500</v>
      </c>
      <c r="BM155" s="230">
        <v>15101200</v>
      </c>
      <c r="BN155" s="230">
        <v>-9581700</v>
      </c>
      <c r="BO155" s="229">
        <v>-0.63449999999999995</v>
      </c>
      <c r="BP155" s="230">
        <v>21867100</v>
      </c>
      <c r="BQ155" s="230">
        <v>42960900</v>
      </c>
      <c r="BR155" s="230">
        <v>-21093800</v>
      </c>
      <c r="BS155" s="229">
        <v>-0.49099999999999999</v>
      </c>
      <c r="BT155" s="230">
        <v>1725888</v>
      </c>
      <c r="BU155" s="230">
        <v>1855466</v>
      </c>
      <c r="BV155" s="230">
        <v>-129578</v>
      </c>
      <c r="BW155" s="229">
        <v>-6.9800000000000001E-2</v>
      </c>
      <c r="BX155" s="230">
        <v>45043300</v>
      </c>
      <c r="BY155" s="230">
        <v>44826700</v>
      </c>
      <c r="BZ155" s="230">
        <v>216600</v>
      </c>
      <c r="CA155" s="229">
        <v>4.7999999999999996E-3</v>
      </c>
      <c r="CB155" s="230">
        <v>43297200</v>
      </c>
      <c r="CC155" s="230">
        <v>43073000</v>
      </c>
      <c r="CD155" s="230">
        <v>224200</v>
      </c>
      <c r="CE155" s="229">
        <v>5.1999999999999998E-3</v>
      </c>
      <c r="CF155" s="230">
        <v>1734700</v>
      </c>
      <c r="CG155" s="230">
        <v>1751800</v>
      </c>
      <c r="CH155" s="230">
        <v>-17100</v>
      </c>
      <c r="CI155" s="229">
        <v>-9.7999999999999997E-3</v>
      </c>
      <c r="CJ155" s="230">
        <v>11400</v>
      </c>
      <c r="CK155" s="230">
        <v>1900</v>
      </c>
      <c r="CL155" s="230">
        <v>9500</v>
      </c>
      <c r="CM155" s="229">
        <v>5</v>
      </c>
      <c r="CN155" s="230">
        <v>11360100</v>
      </c>
      <c r="CO155" s="230">
        <v>11960500</v>
      </c>
      <c r="CP155" s="230">
        <v>-600400</v>
      </c>
      <c r="CQ155" s="229">
        <v>-5.0200000000000002E-2</v>
      </c>
      <c r="CR155" s="230">
        <v>18141200</v>
      </c>
      <c r="CS155" s="230">
        <v>17635800</v>
      </c>
      <c r="CT155" s="230">
        <v>505400</v>
      </c>
      <c r="CU155" s="229">
        <v>2.87E-2</v>
      </c>
      <c r="CV155" s="230">
        <v>74544600</v>
      </c>
      <c r="CW155" s="230">
        <v>74423000</v>
      </c>
      <c r="CX155" s="230">
        <v>121600</v>
      </c>
      <c r="CY155" s="229">
        <v>1.6000000000000001E-3</v>
      </c>
      <c r="CZ155" s="228">
        <v>19.059999999999999</v>
      </c>
      <c r="DA155" s="228">
        <v>20.79</v>
      </c>
      <c r="DB155" s="228">
        <v>-1.73</v>
      </c>
      <c r="DC155" s="228">
        <v>-1.73</v>
      </c>
      <c r="DD155" s="228">
        <v>30.79</v>
      </c>
      <c r="DE155" s="228">
        <v>30.81</v>
      </c>
      <c r="DF155" s="228">
        <v>-11.73</v>
      </c>
      <c r="DG155" s="228">
        <v>-0.02</v>
      </c>
      <c r="DH155" s="228">
        <v>17.95</v>
      </c>
      <c r="DI155" s="228">
        <v>18.670000000000002</v>
      </c>
      <c r="DJ155" s="228">
        <v>-0.72</v>
      </c>
      <c r="DK155" s="228">
        <v>-0.72</v>
      </c>
      <c r="DL155" s="228">
        <v>21.61</v>
      </c>
      <c r="DM155" s="228">
        <v>23.38</v>
      </c>
      <c r="DN155" s="228">
        <v>-1.77</v>
      </c>
      <c r="DO155" s="228">
        <v>-1.77</v>
      </c>
      <c r="DP155" s="228">
        <v>1.6</v>
      </c>
      <c r="DQ155" s="228">
        <v>1.47</v>
      </c>
      <c r="DR155" s="228">
        <v>0.13</v>
      </c>
      <c r="DS155" s="229">
        <v>8.8400000000000006E-2</v>
      </c>
      <c r="DT155" s="228">
        <v>300</v>
      </c>
      <c r="DU155" s="228">
        <v>265</v>
      </c>
      <c r="DV155" s="228">
        <v>0.44</v>
      </c>
      <c r="DW155" s="228">
        <v>0.82</v>
      </c>
      <c r="DX155" s="228">
        <v>-0.38</v>
      </c>
      <c r="DY155" s="229">
        <v>-0.46339999999999998</v>
      </c>
      <c r="DZ155" s="229">
        <v>3.8800000000000001E-2</v>
      </c>
      <c r="EA155" s="230">
        <v>1753700</v>
      </c>
      <c r="EB155" s="229">
        <v>5.7000000000000002E-3</v>
      </c>
      <c r="EC155" s="229">
        <v>3.8800000000000001E-2</v>
      </c>
      <c r="ED155" s="228">
        <v>1.89</v>
      </c>
      <c r="EE155" s="229">
        <v>6.6E-3</v>
      </c>
      <c r="EF155" s="230">
        <v>909954</v>
      </c>
      <c r="EG155" s="230">
        <v>1041761</v>
      </c>
      <c r="EH155" s="229">
        <v>-0.1265</v>
      </c>
      <c r="EI155" s="229">
        <v>0.5272</v>
      </c>
      <c r="EJ155" s="231">
        <v>37381.99</v>
      </c>
      <c r="EK155" s="231">
        <v>15340.9</v>
      </c>
      <c r="EL155" s="231">
        <v>10588.22</v>
      </c>
      <c r="EM155" s="231">
        <v>11607</v>
      </c>
      <c r="EN155" s="231">
        <v>63311.11</v>
      </c>
      <c r="EO155" s="231">
        <v>122077.68</v>
      </c>
      <c r="EP155" s="231">
        <v>-58766.57</v>
      </c>
      <c r="EQ155" s="229">
        <v>-0.48139999999999999</v>
      </c>
      <c r="ER155" s="231">
        <v>33088</v>
      </c>
      <c r="ES155" s="231">
        <v>49823</v>
      </c>
      <c r="ET155" s="231">
        <v>130429</v>
      </c>
      <c r="EU155" s="231">
        <v>108255733</v>
      </c>
      <c r="EV155" s="231">
        <v>213340</v>
      </c>
      <c r="EW155" s="231">
        <v>211196</v>
      </c>
      <c r="EX155" s="231">
        <v>2144</v>
      </c>
      <c r="EY155" s="229">
        <v>1.0200000000000001E-2</v>
      </c>
      <c r="EZ155" s="229">
        <v>0.68859999999999999</v>
      </c>
      <c r="FA155" s="227" t="s">
        <v>555</v>
      </c>
      <c r="FB155" s="161">
        <f t="shared" si="3"/>
        <v>0</v>
      </c>
    </row>
    <row r="156" spans="1:158" ht="17.25" thickBot="1" x14ac:dyDescent="0.3">
      <c r="A156" s="226">
        <v>46023</v>
      </c>
      <c r="B156" s="227" t="s">
        <v>175</v>
      </c>
      <c r="C156" s="227" t="s">
        <v>273</v>
      </c>
      <c r="D156" s="228">
        <v>1300</v>
      </c>
      <c r="E156" s="228">
        <v>364.7</v>
      </c>
      <c r="F156" s="228">
        <v>357.1</v>
      </c>
      <c r="G156" s="228">
        <v>7.6</v>
      </c>
      <c r="H156" s="229">
        <v>2.1299999999999999E-2</v>
      </c>
      <c r="I156" s="228">
        <v>363.15</v>
      </c>
      <c r="J156" s="228">
        <v>355.4</v>
      </c>
      <c r="K156" s="228">
        <v>7.75</v>
      </c>
      <c r="L156" s="229">
        <v>2.18E-2</v>
      </c>
      <c r="M156" s="228">
        <v>364.7</v>
      </c>
      <c r="N156" s="228">
        <v>357.1</v>
      </c>
      <c r="O156" s="228">
        <v>7.6</v>
      </c>
      <c r="P156" s="229">
        <v>2.1299999999999999E-2</v>
      </c>
      <c r="Q156" s="228">
        <v>365.55</v>
      </c>
      <c r="R156" s="228">
        <v>358.4</v>
      </c>
      <c r="S156" s="228">
        <v>7.15</v>
      </c>
      <c r="T156" s="229">
        <v>1.9900000000000001E-2</v>
      </c>
      <c r="U156" s="228">
        <v>365</v>
      </c>
      <c r="V156" s="228">
        <v>357.8</v>
      </c>
      <c r="W156" s="228">
        <v>7.2</v>
      </c>
      <c r="X156" s="229">
        <v>2.01E-2</v>
      </c>
      <c r="Y156" s="228">
        <v>1.55</v>
      </c>
      <c r="Z156" s="228">
        <v>1.7</v>
      </c>
      <c r="AA156" s="228">
        <v>-0.15</v>
      </c>
      <c r="AB156" s="229">
        <v>4.3E-3</v>
      </c>
      <c r="AC156" s="228">
        <v>1.55</v>
      </c>
      <c r="AD156" s="228">
        <v>1.7</v>
      </c>
      <c r="AE156" s="228">
        <v>-0.15</v>
      </c>
      <c r="AF156" s="229">
        <v>4.3E-3</v>
      </c>
      <c r="AG156" s="228">
        <v>2.4</v>
      </c>
      <c r="AH156" s="228">
        <v>3</v>
      </c>
      <c r="AI156" s="228">
        <v>-0.6</v>
      </c>
      <c r="AJ156" s="229">
        <v>6.6E-3</v>
      </c>
      <c r="AK156" s="228">
        <v>1.85</v>
      </c>
      <c r="AL156" s="228">
        <v>2.4</v>
      </c>
      <c r="AM156" s="228">
        <v>-0.55000000000000004</v>
      </c>
      <c r="AN156" s="229">
        <v>5.1000000000000004E-3</v>
      </c>
      <c r="AO156" s="228">
        <v>361.72</v>
      </c>
      <c r="AP156" s="228">
        <v>362.86</v>
      </c>
      <c r="AQ156" s="228">
        <v>0</v>
      </c>
      <c r="AR156" s="230">
        <v>12643800</v>
      </c>
      <c r="AS156" s="230">
        <v>9783800</v>
      </c>
      <c r="AT156" s="230">
        <v>2860000</v>
      </c>
      <c r="AU156" s="229">
        <v>0.2923</v>
      </c>
      <c r="AV156" s="230">
        <v>11313900</v>
      </c>
      <c r="AW156" s="230">
        <v>8700900</v>
      </c>
      <c r="AX156" s="230">
        <v>2613000</v>
      </c>
      <c r="AY156" s="229">
        <v>0.30030000000000001</v>
      </c>
      <c r="AZ156" s="230">
        <v>1073800</v>
      </c>
      <c r="BA156" s="230">
        <v>841100</v>
      </c>
      <c r="BB156" s="230">
        <v>232700</v>
      </c>
      <c r="BC156" s="229">
        <v>0.2767</v>
      </c>
      <c r="BD156" s="230">
        <v>256100</v>
      </c>
      <c r="BE156" s="230">
        <v>241800</v>
      </c>
      <c r="BF156" s="230">
        <v>14300</v>
      </c>
      <c r="BG156" s="229">
        <v>5.91E-2</v>
      </c>
      <c r="BH156" s="230">
        <v>57053100</v>
      </c>
      <c r="BI156" s="230">
        <v>28935400</v>
      </c>
      <c r="BJ156" s="230">
        <v>28117700</v>
      </c>
      <c r="BK156" s="229">
        <v>0.97170000000000001</v>
      </c>
      <c r="BL156" s="230">
        <v>11817000</v>
      </c>
      <c r="BM156" s="230">
        <v>14255800</v>
      </c>
      <c r="BN156" s="230">
        <v>-2438800</v>
      </c>
      <c r="BO156" s="229">
        <v>-0.1711</v>
      </c>
      <c r="BP156" s="230">
        <v>81513900</v>
      </c>
      <c r="BQ156" s="230">
        <v>52975000</v>
      </c>
      <c r="BR156" s="230">
        <v>28538900</v>
      </c>
      <c r="BS156" s="229">
        <v>0.53869999999999996</v>
      </c>
      <c r="BT156" s="230">
        <v>7900944</v>
      </c>
      <c r="BU156" s="230">
        <v>5305533</v>
      </c>
      <c r="BV156" s="230">
        <v>2595411</v>
      </c>
      <c r="BW156" s="229">
        <v>0.48920000000000002</v>
      </c>
      <c r="BX156" s="230">
        <v>79613300</v>
      </c>
      <c r="BY156" s="230">
        <v>79843400</v>
      </c>
      <c r="BZ156" s="230">
        <v>-230100</v>
      </c>
      <c r="CA156" s="229">
        <v>-2.8999999999999998E-3</v>
      </c>
      <c r="CB156" s="230">
        <v>75622300</v>
      </c>
      <c r="CC156" s="230">
        <v>75851100</v>
      </c>
      <c r="CD156" s="230">
        <v>-228800</v>
      </c>
      <c r="CE156" s="229">
        <v>-3.0000000000000001E-3</v>
      </c>
      <c r="CF156" s="230">
        <v>3702400</v>
      </c>
      <c r="CG156" s="230">
        <v>3824600</v>
      </c>
      <c r="CH156" s="230">
        <v>-122200</v>
      </c>
      <c r="CI156" s="229">
        <v>-3.2000000000000001E-2</v>
      </c>
      <c r="CJ156" s="230">
        <v>288600</v>
      </c>
      <c r="CK156" s="230">
        <v>167700</v>
      </c>
      <c r="CL156" s="230">
        <v>120900</v>
      </c>
      <c r="CM156" s="229">
        <v>0.72089999999999999</v>
      </c>
      <c r="CN156" s="230">
        <v>28169700</v>
      </c>
      <c r="CO156" s="230">
        <v>24347700</v>
      </c>
      <c r="CP156" s="230">
        <v>3822000</v>
      </c>
      <c r="CQ156" s="229">
        <v>0.157</v>
      </c>
      <c r="CR156" s="230">
        <v>22170200</v>
      </c>
      <c r="CS156" s="230">
        <v>20460700</v>
      </c>
      <c r="CT156" s="230">
        <v>1709500</v>
      </c>
      <c r="CU156" s="229">
        <v>8.3599999999999994E-2</v>
      </c>
      <c r="CV156" s="230">
        <v>129953200</v>
      </c>
      <c r="CW156" s="230">
        <v>124651800</v>
      </c>
      <c r="CX156" s="230">
        <v>5301400</v>
      </c>
      <c r="CY156" s="229">
        <v>4.2500000000000003E-2</v>
      </c>
      <c r="CZ156" s="228">
        <v>22.82</v>
      </c>
      <c r="DA156" s="228">
        <v>22.55</v>
      </c>
      <c r="DB156" s="228">
        <v>0.27</v>
      </c>
      <c r="DC156" s="228">
        <v>0.27</v>
      </c>
      <c r="DD156" s="228">
        <v>40.89</v>
      </c>
      <c r="DE156" s="228">
        <v>40.9</v>
      </c>
      <c r="DF156" s="228">
        <v>-18.07</v>
      </c>
      <c r="DG156" s="228">
        <v>-0.01</v>
      </c>
      <c r="DH156" s="228">
        <v>22.75</v>
      </c>
      <c r="DI156" s="228">
        <v>22.52</v>
      </c>
      <c r="DJ156" s="228">
        <v>0.23</v>
      </c>
      <c r="DK156" s="228">
        <v>0.23</v>
      </c>
      <c r="DL156" s="228">
        <v>23.17</v>
      </c>
      <c r="DM156" s="228">
        <v>22.62</v>
      </c>
      <c r="DN156" s="228">
        <v>0.55000000000000004</v>
      </c>
      <c r="DO156" s="228">
        <v>0.55000000000000004</v>
      </c>
      <c r="DP156" s="228">
        <v>0.79</v>
      </c>
      <c r="DQ156" s="228">
        <v>0.84</v>
      </c>
      <c r="DR156" s="228">
        <v>-0.05</v>
      </c>
      <c r="DS156" s="229">
        <v>-5.9499999999999997E-2</v>
      </c>
      <c r="DT156" s="228">
        <v>400</v>
      </c>
      <c r="DU156" s="228">
        <v>350</v>
      </c>
      <c r="DV156" s="228">
        <v>0.21</v>
      </c>
      <c r="DW156" s="228">
        <v>0.49</v>
      </c>
      <c r="DX156" s="228">
        <v>-0.28000000000000003</v>
      </c>
      <c r="DY156" s="229">
        <v>-0.57140000000000002</v>
      </c>
      <c r="DZ156" s="229">
        <v>5.0099999999999999E-2</v>
      </c>
      <c r="EA156" s="230">
        <v>3992300</v>
      </c>
      <c r="EB156" s="229">
        <v>2.3E-3</v>
      </c>
      <c r="EC156" s="229">
        <v>5.0099999999999999E-2</v>
      </c>
      <c r="ED156" s="228">
        <v>1.1399999999999999</v>
      </c>
      <c r="EE156" s="229">
        <v>3.2000000000000002E-3</v>
      </c>
      <c r="EF156" s="230">
        <v>3018255</v>
      </c>
      <c r="EG156" s="230">
        <v>2564791</v>
      </c>
      <c r="EH156" s="229">
        <v>0.17680000000000001</v>
      </c>
      <c r="EI156" s="229">
        <v>0.38200000000000001</v>
      </c>
      <c r="EJ156" s="231">
        <v>214254.99</v>
      </c>
      <c r="EK156" s="231">
        <v>42459.32</v>
      </c>
      <c r="EL156" s="231">
        <v>45747.72</v>
      </c>
      <c r="EM156" s="231">
        <v>25042</v>
      </c>
      <c r="EN156" s="231">
        <v>302462.03000000003</v>
      </c>
      <c r="EO156" s="231">
        <v>193240.72</v>
      </c>
      <c r="EP156" s="231">
        <v>109221.31</v>
      </c>
      <c r="EQ156" s="229">
        <v>0.56520000000000004</v>
      </c>
      <c r="ER156" s="231">
        <v>104437</v>
      </c>
      <c r="ES156" s="231">
        <v>79769</v>
      </c>
      <c r="ET156" s="231">
        <v>290382</v>
      </c>
      <c r="EU156" s="231">
        <v>217835555</v>
      </c>
      <c r="EV156" s="231">
        <v>474588</v>
      </c>
      <c r="EW156" s="231">
        <v>448528</v>
      </c>
      <c r="EX156" s="231">
        <v>26060</v>
      </c>
      <c r="EY156" s="229">
        <v>5.8099999999999999E-2</v>
      </c>
      <c r="EZ156" s="229">
        <v>0.59660000000000002</v>
      </c>
      <c r="FA156" s="227" t="s">
        <v>556</v>
      </c>
      <c r="FB156" s="161">
        <f t="shared" si="3"/>
        <v>0</v>
      </c>
    </row>
    <row r="157" spans="1:158" ht="17.25" thickBot="1" x14ac:dyDescent="0.3">
      <c r="A157" s="226">
        <v>46023</v>
      </c>
      <c r="B157" s="227" t="s">
        <v>184</v>
      </c>
      <c r="C157" s="227" t="s">
        <v>680</v>
      </c>
      <c r="D157" s="228">
        <v>950</v>
      </c>
      <c r="E157" s="228">
        <v>582.20000000000005</v>
      </c>
      <c r="F157" s="228">
        <v>576.20000000000005</v>
      </c>
      <c r="G157" s="228">
        <v>6</v>
      </c>
      <c r="H157" s="229">
        <v>1.04E-2</v>
      </c>
      <c r="I157" s="228">
        <v>578.95000000000005</v>
      </c>
      <c r="J157" s="228">
        <v>575.29999999999995</v>
      </c>
      <c r="K157" s="228">
        <v>3.65</v>
      </c>
      <c r="L157" s="229">
        <v>6.3E-3</v>
      </c>
      <c r="M157" s="228">
        <v>582.20000000000005</v>
      </c>
      <c r="N157" s="228">
        <v>576.20000000000005</v>
      </c>
      <c r="O157" s="228">
        <v>6</v>
      </c>
      <c r="P157" s="229">
        <v>1.04E-2</v>
      </c>
      <c r="Q157" s="228">
        <v>584.29999999999995</v>
      </c>
      <c r="R157" s="228">
        <v>578.1</v>
      </c>
      <c r="S157" s="228">
        <v>6.2</v>
      </c>
      <c r="T157" s="229">
        <v>1.0699999999999999E-2</v>
      </c>
      <c r="U157" s="228">
        <v>581.65</v>
      </c>
      <c r="V157" s="228">
        <v>581.65</v>
      </c>
      <c r="W157" s="228">
        <v>0</v>
      </c>
      <c r="X157" s="229">
        <v>0</v>
      </c>
      <c r="Y157" s="228">
        <v>3.25</v>
      </c>
      <c r="Z157" s="228">
        <v>0.9</v>
      </c>
      <c r="AA157" s="228">
        <v>2.35</v>
      </c>
      <c r="AB157" s="229">
        <v>5.5999999999999999E-3</v>
      </c>
      <c r="AC157" s="228">
        <v>3.25</v>
      </c>
      <c r="AD157" s="228">
        <v>0.9</v>
      </c>
      <c r="AE157" s="228">
        <v>2.35</v>
      </c>
      <c r="AF157" s="229">
        <v>5.5999999999999999E-3</v>
      </c>
      <c r="AG157" s="228">
        <v>5.35</v>
      </c>
      <c r="AH157" s="228">
        <v>2.8</v>
      </c>
      <c r="AI157" s="228">
        <v>2.5499999999999998</v>
      </c>
      <c r="AJ157" s="229">
        <v>9.1999999999999998E-3</v>
      </c>
      <c r="AK157" s="228">
        <v>2.7</v>
      </c>
      <c r="AL157" s="228">
        <v>6.35</v>
      </c>
      <c r="AM157" s="228">
        <v>-3.65</v>
      </c>
      <c r="AN157" s="229">
        <v>4.7000000000000002E-3</v>
      </c>
      <c r="AO157" s="228">
        <v>578.95000000000005</v>
      </c>
      <c r="AP157" s="228">
        <v>582.66999999999996</v>
      </c>
      <c r="AQ157" s="228">
        <v>0</v>
      </c>
      <c r="AR157" s="230">
        <v>925300</v>
      </c>
      <c r="AS157" s="230">
        <v>3270850</v>
      </c>
      <c r="AT157" s="230">
        <v>-2345550</v>
      </c>
      <c r="AU157" s="229">
        <v>-0.71709999999999996</v>
      </c>
      <c r="AV157" s="230">
        <v>900600</v>
      </c>
      <c r="AW157" s="230">
        <v>3193900</v>
      </c>
      <c r="AX157" s="230">
        <v>-2293300</v>
      </c>
      <c r="AY157" s="229">
        <v>-0.71799999999999997</v>
      </c>
      <c r="AZ157" s="230">
        <v>24700</v>
      </c>
      <c r="BA157" s="230">
        <v>75050</v>
      </c>
      <c r="BB157" s="230">
        <v>-50350</v>
      </c>
      <c r="BC157" s="229">
        <v>-0.67090000000000005</v>
      </c>
      <c r="BD157" s="228">
        <v>0</v>
      </c>
      <c r="BE157" s="230">
        <v>1900</v>
      </c>
      <c r="BF157" s="230">
        <v>-1900</v>
      </c>
      <c r="BG157" s="229">
        <v>-1</v>
      </c>
      <c r="BH157" s="230">
        <v>1696700</v>
      </c>
      <c r="BI157" s="230">
        <v>6458100</v>
      </c>
      <c r="BJ157" s="230">
        <v>-4761400</v>
      </c>
      <c r="BK157" s="229">
        <v>-0.73729999999999996</v>
      </c>
      <c r="BL157" s="230">
        <v>760000</v>
      </c>
      <c r="BM157" s="230">
        <v>2976350</v>
      </c>
      <c r="BN157" s="230">
        <v>-2216350</v>
      </c>
      <c r="BO157" s="229">
        <v>-0.74470000000000003</v>
      </c>
      <c r="BP157" s="230">
        <v>3382000</v>
      </c>
      <c r="BQ157" s="230">
        <v>12705300</v>
      </c>
      <c r="BR157" s="230">
        <v>-9323300</v>
      </c>
      <c r="BS157" s="229">
        <v>-0.73380000000000001</v>
      </c>
      <c r="BT157" s="230">
        <v>614947</v>
      </c>
      <c r="BU157" s="230">
        <v>2142944</v>
      </c>
      <c r="BV157" s="230">
        <v>-1527997</v>
      </c>
      <c r="BW157" s="229">
        <v>-0.71299999999999997</v>
      </c>
      <c r="BX157" s="230">
        <v>10391100</v>
      </c>
      <c r="BY157" s="230">
        <v>10506050</v>
      </c>
      <c r="BZ157" s="230">
        <v>-114950</v>
      </c>
      <c r="CA157" s="229">
        <v>-1.09E-2</v>
      </c>
      <c r="CB157" s="230">
        <v>10095650</v>
      </c>
      <c r="CC157" s="230">
        <v>10213450</v>
      </c>
      <c r="CD157" s="230">
        <v>-117800</v>
      </c>
      <c r="CE157" s="229">
        <v>-1.15E-2</v>
      </c>
      <c r="CF157" s="230">
        <v>294500</v>
      </c>
      <c r="CG157" s="230">
        <v>291650</v>
      </c>
      <c r="CH157" s="230">
        <v>2850</v>
      </c>
      <c r="CI157" s="229">
        <v>9.7999999999999997E-3</v>
      </c>
      <c r="CJ157" s="228">
        <v>950</v>
      </c>
      <c r="CK157" s="228">
        <v>950</v>
      </c>
      <c r="CL157" s="228">
        <v>0</v>
      </c>
      <c r="CM157" s="229">
        <v>0</v>
      </c>
      <c r="CN157" s="230">
        <v>2713200</v>
      </c>
      <c r="CO157" s="230">
        <v>2587800</v>
      </c>
      <c r="CP157" s="230">
        <v>125400</v>
      </c>
      <c r="CQ157" s="229">
        <v>4.8500000000000001E-2</v>
      </c>
      <c r="CR157" s="230">
        <v>2591600</v>
      </c>
      <c r="CS157" s="230">
        <v>2450050</v>
      </c>
      <c r="CT157" s="230">
        <v>141550</v>
      </c>
      <c r="CU157" s="229">
        <v>5.7799999999999997E-2</v>
      </c>
      <c r="CV157" s="230">
        <v>15695900</v>
      </c>
      <c r="CW157" s="230">
        <v>15543900</v>
      </c>
      <c r="CX157" s="230">
        <v>152000</v>
      </c>
      <c r="CY157" s="229">
        <v>9.7999999999999997E-3</v>
      </c>
      <c r="CZ157" s="228">
        <v>33.26</v>
      </c>
      <c r="DA157" s="228">
        <v>34.49</v>
      </c>
      <c r="DB157" s="228">
        <v>-1.23</v>
      </c>
      <c r="DC157" s="228">
        <v>-1.23</v>
      </c>
      <c r="DD157" s="228">
        <v>64.900000000000006</v>
      </c>
      <c r="DE157" s="228">
        <v>65.05</v>
      </c>
      <c r="DF157" s="228">
        <v>-31.64</v>
      </c>
      <c r="DG157" s="228">
        <v>-0.15</v>
      </c>
      <c r="DH157" s="228">
        <v>33.03</v>
      </c>
      <c r="DI157" s="228">
        <v>34.6</v>
      </c>
      <c r="DJ157" s="228">
        <v>-1.57</v>
      </c>
      <c r="DK157" s="228">
        <v>-1.57</v>
      </c>
      <c r="DL157" s="228">
        <v>33.770000000000003</v>
      </c>
      <c r="DM157" s="228">
        <v>34.26</v>
      </c>
      <c r="DN157" s="228">
        <v>-0.49</v>
      </c>
      <c r="DO157" s="228">
        <v>-0.49</v>
      </c>
      <c r="DP157" s="228">
        <v>0.96</v>
      </c>
      <c r="DQ157" s="228">
        <v>0.95</v>
      </c>
      <c r="DR157" s="228">
        <v>0.01</v>
      </c>
      <c r="DS157" s="229">
        <v>1.0500000000000001E-2</v>
      </c>
      <c r="DT157" s="228">
        <v>600</v>
      </c>
      <c r="DU157" s="228">
        <v>540</v>
      </c>
      <c r="DV157" s="228">
        <v>0.45</v>
      </c>
      <c r="DW157" s="228">
        <v>0.46</v>
      </c>
      <c r="DX157" s="228">
        <v>-0.01</v>
      </c>
      <c r="DY157" s="229">
        <v>-2.1700000000000001E-2</v>
      </c>
      <c r="DZ157" s="229">
        <v>2.8400000000000002E-2</v>
      </c>
      <c r="EA157" s="230">
        <v>292600</v>
      </c>
      <c r="EB157" s="229">
        <v>3.5999999999999999E-3</v>
      </c>
      <c r="EC157" s="229">
        <v>2.8400000000000002E-2</v>
      </c>
      <c r="ED157" s="228">
        <v>3.72</v>
      </c>
      <c r="EE157" s="229">
        <v>6.4000000000000003E-3</v>
      </c>
      <c r="EF157" s="230">
        <v>202805</v>
      </c>
      <c r="EG157" s="230">
        <v>746862</v>
      </c>
      <c r="EH157" s="229">
        <v>-0.72850000000000004</v>
      </c>
      <c r="EI157" s="229">
        <v>0.32979999999999998</v>
      </c>
      <c r="EJ157" s="231">
        <v>10447.049999999999</v>
      </c>
      <c r="EK157" s="231">
        <v>4317.57</v>
      </c>
      <c r="EL157" s="231">
        <v>5357.92</v>
      </c>
      <c r="EM157" s="231">
        <v>8508</v>
      </c>
      <c r="EN157" s="231">
        <v>20122.54</v>
      </c>
      <c r="EO157" s="231">
        <v>75483.960000000006</v>
      </c>
      <c r="EP157" s="231">
        <v>-55361.42</v>
      </c>
      <c r="EQ157" s="229">
        <v>-0.73340000000000005</v>
      </c>
      <c r="ER157" s="231">
        <v>16590</v>
      </c>
      <c r="ES157" s="231">
        <v>14198</v>
      </c>
      <c r="ET157" s="231">
        <v>60503</v>
      </c>
      <c r="EU157" s="231">
        <v>24030912</v>
      </c>
      <c r="EV157" s="231">
        <v>91291</v>
      </c>
      <c r="EW157" s="231">
        <v>89793</v>
      </c>
      <c r="EX157" s="231">
        <v>1498</v>
      </c>
      <c r="EY157" s="229">
        <v>1.67E-2</v>
      </c>
      <c r="EZ157" s="229">
        <v>0.6532</v>
      </c>
      <c r="FA157" s="227" t="s">
        <v>556</v>
      </c>
      <c r="FB157" s="161">
        <f t="shared" si="3"/>
        <v>0</v>
      </c>
    </row>
    <row r="158" spans="1:158" ht="17.25" thickBot="1" x14ac:dyDescent="0.3">
      <c r="A158" s="226">
        <v>46023</v>
      </c>
      <c r="B158" s="227" t="s">
        <v>206</v>
      </c>
      <c r="C158" s="227" t="s">
        <v>645</v>
      </c>
      <c r="D158" s="228">
        <v>350</v>
      </c>
      <c r="E158" s="231">
        <v>1880.6</v>
      </c>
      <c r="F158" s="231">
        <v>1865.3</v>
      </c>
      <c r="G158" s="228">
        <v>15.3</v>
      </c>
      <c r="H158" s="229">
        <v>8.2000000000000007E-3</v>
      </c>
      <c r="I158" s="231">
        <v>1872.7</v>
      </c>
      <c r="J158" s="231">
        <v>1853.5</v>
      </c>
      <c r="K158" s="228">
        <v>19.2</v>
      </c>
      <c r="L158" s="229">
        <v>1.04E-2</v>
      </c>
      <c r="M158" s="231">
        <v>1880.6</v>
      </c>
      <c r="N158" s="231">
        <v>1865.3</v>
      </c>
      <c r="O158" s="228">
        <v>15.3</v>
      </c>
      <c r="P158" s="229">
        <v>8.2000000000000007E-3</v>
      </c>
      <c r="Q158" s="231">
        <v>1886.8</v>
      </c>
      <c r="R158" s="231">
        <v>1880</v>
      </c>
      <c r="S158" s="228">
        <v>6.8</v>
      </c>
      <c r="T158" s="229">
        <v>3.5999999999999999E-3</v>
      </c>
      <c r="U158" s="228">
        <v>0</v>
      </c>
      <c r="V158" s="228">
        <v>0</v>
      </c>
      <c r="W158" s="228">
        <v>0</v>
      </c>
      <c r="X158" s="229">
        <v>0</v>
      </c>
      <c r="Y158" s="228">
        <v>7.9</v>
      </c>
      <c r="Z158" s="228">
        <v>11.8</v>
      </c>
      <c r="AA158" s="228">
        <v>-3.9</v>
      </c>
      <c r="AB158" s="229">
        <v>4.1999999999999997E-3</v>
      </c>
      <c r="AC158" s="228">
        <v>7.9</v>
      </c>
      <c r="AD158" s="228">
        <v>11.8</v>
      </c>
      <c r="AE158" s="228">
        <v>-3.9</v>
      </c>
      <c r="AF158" s="229">
        <v>4.1999999999999997E-3</v>
      </c>
      <c r="AG158" s="228">
        <v>14.1</v>
      </c>
      <c r="AH158" s="228">
        <v>26.5</v>
      </c>
      <c r="AI158" s="228">
        <v>-12.4</v>
      </c>
      <c r="AJ158" s="229">
        <v>7.4999999999999997E-3</v>
      </c>
      <c r="AK158" s="228">
        <v>0</v>
      </c>
      <c r="AL158" s="228">
        <v>0</v>
      </c>
      <c r="AM158" s="228">
        <v>0</v>
      </c>
      <c r="AN158" s="229">
        <v>0</v>
      </c>
      <c r="AO158" s="231">
        <v>1874.58</v>
      </c>
      <c r="AP158" s="231">
        <v>1886.67</v>
      </c>
      <c r="AQ158" s="228">
        <v>0</v>
      </c>
      <c r="AR158" s="230">
        <v>356650</v>
      </c>
      <c r="AS158" s="230">
        <v>284550</v>
      </c>
      <c r="AT158" s="230">
        <v>72100</v>
      </c>
      <c r="AU158" s="229">
        <v>0.25340000000000001</v>
      </c>
      <c r="AV158" s="230">
        <v>350350</v>
      </c>
      <c r="AW158" s="230">
        <v>278250</v>
      </c>
      <c r="AX158" s="230">
        <v>72100</v>
      </c>
      <c r="AY158" s="229">
        <v>0.2591</v>
      </c>
      <c r="AZ158" s="230">
        <v>6300</v>
      </c>
      <c r="BA158" s="230">
        <v>6300</v>
      </c>
      <c r="BB158" s="228">
        <v>0</v>
      </c>
      <c r="BC158" s="229">
        <v>0</v>
      </c>
      <c r="BD158" s="228">
        <v>0</v>
      </c>
      <c r="BE158" s="228">
        <v>0</v>
      </c>
      <c r="BF158" s="228">
        <v>0</v>
      </c>
      <c r="BG158" s="229">
        <v>0</v>
      </c>
      <c r="BH158" s="230">
        <v>460950</v>
      </c>
      <c r="BI158" s="230">
        <v>204400</v>
      </c>
      <c r="BJ158" s="230">
        <v>256550</v>
      </c>
      <c r="BK158" s="229">
        <v>1.2551000000000001</v>
      </c>
      <c r="BL158" s="230">
        <v>144900</v>
      </c>
      <c r="BM158" s="230">
        <v>148750</v>
      </c>
      <c r="BN158" s="230">
        <v>-3850</v>
      </c>
      <c r="BO158" s="229">
        <v>-2.5899999999999999E-2</v>
      </c>
      <c r="BP158" s="230">
        <v>962500</v>
      </c>
      <c r="BQ158" s="230">
        <v>637700</v>
      </c>
      <c r="BR158" s="230">
        <v>324800</v>
      </c>
      <c r="BS158" s="229">
        <v>0.50929999999999997</v>
      </c>
      <c r="BT158" s="230">
        <v>324050</v>
      </c>
      <c r="BU158" s="230">
        <v>235665</v>
      </c>
      <c r="BV158" s="230">
        <v>88385</v>
      </c>
      <c r="BW158" s="229">
        <v>0.375</v>
      </c>
      <c r="BX158" s="230">
        <v>3032750</v>
      </c>
      <c r="BY158" s="230">
        <v>3115000</v>
      </c>
      <c r="BZ158" s="230">
        <v>-82250</v>
      </c>
      <c r="CA158" s="229">
        <v>-2.64E-2</v>
      </c>
      <c r="CB158" s="230">
        <v>3015600</v>
      </c>
      <c r="CC158" s="230">
        <v>3099250</v>
      </c>
      <c r="CD158" s="230">
        <v>-83650</v>
      </c>
      <c r="CE158" s="229">
        <v>-2.7E-2</v>
      </c>
      <c r="CF158" s="230">
        <v>17150</v>
      </c>
      <c r="CG158" s="230">
        <v>15750</v>
      </c>
      <c r="CH158" s="230">
        <v>1400</v>
      </c>
      <c r="CI158" s="229">
        <v>8.8900000000000007E-2</v>
      </c>
      <c r="CJ158" s="228">
        <v>0</v>
      </c>
      <c r="CK158" s="228">
        <v>0</v>
      </c>
      <c r="CL158" s="228">
        <v>0</v>
      </c>
      <c r="CM158" s="229">
        <v>0</v>
      </c>
      <c r="CN158" s="230">
        <v>417200</v>
      </c>
      <c r="CO158" s="230">
        <v>292950</v>
      </c>
      <c r="CP158" s="230">
        <v>124250</v>
      </c>
      <c r="CQ158" s="229">
        <v>0.42409999999999998</v>
      </c>
      <c r="CR158" s="230">
        <v>219450</v>
      </c>
      <c r="CS158" s="230">
        <v>230650</v>
      </c>
      <c r="CT158" s="230">
        <v>-11200</v>
      </c>
      <c r="CU158" s="229">
        <v>-4.8599999999999997E-2</v>
      </c>
      <c r="CV158" s="230">
        <v>3669400</v>
      </c>
      <c r="CW158" s="230">
        <v>3638600</v>
      </c>
      <c r="CX158" s="230">
        <v>30800</v>
      </c>
      <c r="CY158" s="229">
        <v>8.5000000000000006E-3</v>
      </c>
      <c r="CZ158" s="228">
        <v>22.44</v>
      </c>
      <c r="DA158" s="228">
        <v>23.01</v>
      </c>
      <c r="DB158" s="228">
        <v>-0.56999999999999995</v>
      </c>
      <c r="DC158" s="228">
        <v>-0.56999999999999995</v>
      </c>
      <c r="DD158" s="228">
        <v>40.340000000000003</v>
      </c>
      <c r="DE158" s="228">
        <v>40.42</v>
      </c>
      <c r="DF158" s="228">
        <v>-17.899999999999999</v>
      </c>
      <c r="DG158" s="228">
        <v>-0.08</v>
      </c>
      <c r="DH158" s="228">
        <v>22.37</v>
      </c>
      <c r="DI158" s="228">
        <v>23.24</v>
      </c>
      <c r="DJ158" s="228">
        <v>-0.87</v>
      </c>
      <c r="DK158" s="228">
        <v>-0.87</v>
      </c>
      <c r="DL158" s="228">
        <v>22.65</v>
      </c>
      <c r="DM158" s="228">
        <v>22.69</v>
      </c>
      <c r="DN158" s="228">
        <v>-0.04</v>
      </c>
      <c r="DO158" s="228">
        <v>-0.04</v>
      </c>
      <c r="DP158" s="228">
        <v>0.53</v>
      </c>
      <c r="DQ158" s="228">
        <v>0.79</v>
      </c>
      <c r="DR158" s="228">
        <v>-0.26</v>
      </c>
      <c r="DS158" s="229">
        <v>-0.3291</v>
      </c>
      <c r="DT158" s="231">
        <v>1880</v>
      </c>
      <c r="DU158" s="231">
        <v>1880</v>
      </c>
      <c r="DV158" s="228">
        <v>0.31</v>
      </c>
      <c r="DW158" s="228">
        <v>0.73</v>
      </c>
      <c r="DX158" s="228">
        <v>-0.42</v>
      </c>
      <c r="DY158" s="229">
        <v>-0.57530000000000003</v>
      </c>
      <c r="DZ158" s="229">
        <v>5.7000000000000002E-3</v>
      </c>
      <c r="EA158" s="230">
        <v>15750</v>
      </c>
      <c r="EB158" s="229">
        <v>3.3E-3</v>
      </c>
      <c r="EC158" s="229">
        <v>5.7000000000000002E-3</v>
      </c>
      <c r="ED158" s="228">
        <v>12.09</v>
      </c>
      <c r="EE158" s="229">
        <v>6.4000000000000003E-3</v>
      </c>
      <c r="EF158" s="230">
        <v>245465</v>
      </c>
      <c r="EG158" s="230">
        <v>157520</v>
      </c>
      <c r="EH158" s="229">
        <v>0.55830000000000002</v>
      </c>
      <c r="EI158" s="229">
        <v>0.75749999999999995</v>
      </c>
      <c r="EJ158" s="231">
        <v>8873.2800000000007</v>
      </c>
      <c r="EK158" s="231">
        <v>2727.99</v>
      </c>
      <c r="EL158" s="231">
        <v>6686.45</v>
      </c>
      <c r="EM158" s="231">
        <v>4239</v>
      </c>
      <c r="EN158" s="231">
        <v>18287.72</v>
      </c>
      <c r="EO158" s="231">
        <v>11990.72</v>
      </c>
      <c r="EP158" s="231">
        <v>6297</v>
      </c>
      <c r="EQ158" s="229">
        <v>0.5252</v>
      </c>
      <c r="ER158" s="231">
        <v>7707</v>
      </c>
      <c r="ES158" s="231">
        <v>3997</v>
      </c>
      <c r="ET158" s="231">
        <v>57035</v>
      </c>
      <c r="EU158" s="231">
        <v>19533471</v>
      </c>
      <c r="EV158" s="231">
        <v>68739</v>
      </c>
      <c r="EW158" s="231">
        <v>67675</v>
      </c>
      <c r="EX158" s="231">
        <v>1064</v>
      </c>
      <c r="EY158" s="229">
        <v>1.5699999999999999E-2</v>
      </c>
      <c r="EZ158" s="229">
        <v>0.18790000000000001</v>
      </c>
      <c r="FA158" s="227" t="s">
        <v>556</v>
      </c>
      <c r="FB158" s="161">
        <f t="shared" si="3"/>
        <v>0</v>
      </c>
    </row>
    <row r="159" spans="1:158" ht="17.25" thickBot="1" x14ac:dyDescent="0.3">
      <c r="A159" s="226">
        <v>46023</v>
      </c>
      <c r="B159" s="227" t="s">
        <v>168</v>
      </c>
      <c r="C159" s="227" t="s">
        <v>274</v>
      </c>
      <c r="D159" s="228">
        <v>500</v>
      </c>
      <c r="E159" s="231">
        <v>1477.5</v>
      </c>
      <c r="F159" s="231">
        <v>1490</v>
      </c>
      <c r="G159" s="228">
        <v>-12.5</v>
      </c>
      <c r="H159" s="229">
        <v>-8.3999999999999995E-3</v>
      </c>
      <c r="I159" s="231">
        <v>1469.3</v>
      </c>
      <c r="J159" s="231">
        <v>1482.4</v>
      </c>
      <c r="K159" s="228">
        <v>-13.1</v>
      </c>
      <c r="L159" s="229">
        <v>-8.8000000000000005E-3</v>
      </c>
      <c r="M159" s="231">
        <v>1477.5</v>
      </c>
      <c r="N159" s="231">
        <v>1490</v>
      </c>
      <c r="O159" s="228">
        <v>-12.5</v>
      </c>
      <c r="P159" s="229">
        <v>-8.3999999999999995E-3</v>
      </c>
      <c r="Q159" s="231">
        <v>1485.9</v>
      </c>
      <c r="R159" s="231">
        <v>1499.3</v>
      </c>
      <c r="S159" s="228">
        <v>-13.4</v>
      </c>
      <c r="T159" s="229">
        <v>-8.8999999999999999E-3</v>
      </c>
      <c r="U159" s="231">
        <v>1501.1</v>
      </c>
      <c r="V159" s="228">
        <v>0</v>
      </c>
      <c r="W159" s="231">
        <v>1501.1</v>
      </c>
      <c r="X159" s="229">
        <v>0</v>
      </c>
      <c r="Y159" s="228">
        <v>8.1999999999999993</v>
      </c>
      <c r="Z159" s="228">
        <v>7.6</v>
      </c>
      <c r="AA159" s="228">
        <v>0.6</v>
      </c>
      <c r="AB159" s="229">
        <v>5.5999999999999999E-3</v>
      </c>
      <c r="AC159" s="228">
        <v>8.1999999999999993</v>
      </c>
      <c r="AD159" s="228">
        <v>7.6</v>
      </c>
      <c r="AE159" s="228">
        <v>0.6</v>
      </c>
      <c r="AF159" s="229">
        <v>5.5999999999999999E-3</v>
      </c>
      <c r="AG159" s="228">
        <v>16.600000000000001</v>
      </c>
      <c r="AH159" s="228">
        <v>16.899999999999999</v>
      </c>
      <c r="AI159" s="228">
        <v>-0.3</v>
      </c>
      <c r="AJ159" s="229">
        <v>1.1299999999999999E-2</v>
      </c>
      <c r="AK159" s="228">
        <v>31.8</v>
      </c>
      <c r="AL159" s="228">
        <v>0</v>
      </c>
      <c r="AM159" s="228">
        <v>31.8</v>
      </c>
      <c r="AN159" s="229">
        <v>2.1600000000000001E-2</v>
      </c>
      <c r="AO159" s="231">
        <v>1481.22</v>
      </c>
      <c r="AP159" s="231">
        <v>1491.48</v>
      </c>
      <c r="AQ159" s="228">
        <v>0</v>
      </c>
      <c r="AR159" s="230">
        <v>409000</v>
      </c>
      <c r="AS159" s="230">
        <v>1274000</v>
      </c>
      <c r="AT159" s="230">
        <v>-865000</v>
      </c>
      <c r="AU159" s="229">
        <v>-0.67900000000000005</v>
      </c>
      <c r="AV159" s="230">
        <v>393000</v>
      </c>
      <c r="AW159" s="230">
        <v>1218000</v>
      </c>
      <c r="AX159" s="230">
        <v>-825000</v>
      </c>
      <c r="AY159" s="229">
        <v>-0.67730000000000001</v>
      </c>
      <c r="AZ159" s="230">
        <v>15500</v>
      </c>
      <c r="BA159" s="230">
        <v>56000</v>
      </c>
      <c r="BB159" s="230">
        <v>-40500</v>
      </c>
      <c r="BC159" s="229">
        <v>-0.72319999999999995</v>
      </c>
      <c r="BD159" s="228">
        <v>500</v>
      </c>
      <c r="BE159" s="228">
        <v>0</v>
      </c>
      <c r="BF159" s="228">
        <v>500</v>
      </c>
      <c r="BG159" s="229">
        <v>0</v>
      </c>
      <c r="BH159" s="230">
        <v>580000</v>
      </c>
      <c r="BI159" s="230">
        <v>1959500</v>
      </c>
      <c r="BJ159" s="230">
        <v>-1379500</v>
      </c>
      <c r="BK159" s="229">
        <v>-0.70399999999999996</v>
      </c>
      <c r="BL159" s="230">
        <v>277000</v>
      </c>
      <c r="BM159" s="230">
        <v>738000</v>
      </c>
      <c r="BN159" s="230">
        <v>-461000</v>
      </c>
      <c r="BO159" s="229">
        <v>-0.62470000000000003</v>
      </c>
      <c r="BP159" s="230">
        <v>1266000</v>
      </c>
      <c r="BQ159" s="230">
        <v>3971500</v>
      </c>
      <c r="BR159" s="230">
        <v>-2705500</v>
      </c>
      <c r="BS159" s="229">
        <v>-0.68120000000000003</v>
      </c>
      <c r="BT159" s="230">
        <v>112500</v>
      </c>
      <c r="BU159" s="230">
        <v>619991</v>
      </c>
      <c r="BV159" s="230">
        <v>-507491</v>
      </c>
      <c r="BW159" s="229">
        <v>-0.81850000000000001</v>
      </c>
      <c r="BX159" s="230">
        <v>7609000</v>
      </c>
      <c r="BY159" s="230">
        <v>7516000</v>
      </c>
      <c r="BZ159" s="230">
        <v>93000</v>
      </c>
      <c r="CA159" s="229">
        <v>1.24E-2</v>
      </c>
      <c r="CB159" s="230">
        <v>7529500</v>
      </c>
      <c r="CC159" s="230">
        <v>7439500</v>
      </c>
      <c r="CD159" s="230">
        <v>90000</v>
      </c>
      <c r="CE159" s="229">
        <v>1.21E-2</v>
      </c>
      <c r="CF159" s="230">
        <v>79000</v>
      </c>
      <c r="CG159" s="230">
        <v>76500</v>
      </c>
      <c r="CH159" s="230">
        <v>2500</v>
      </c>
      <c r="CI159" s="229">
        <v>3.27E-2</v>
      </c>
      <c r="CJ159" s="228">
        <v>500</v>
      </c>
      <c r="CK159" s="228">
        <v>0</v>
      </c>
      <c r="CL159" s="228">
        <v>500</v>
      </c>
      <c r="CM159" s="229">
        <v>0</v>
      </c>
      <c r="CN159" s="230">
        <v>759500</v>
      </c>
      <c r="CO159" s="230">
        <v>727500</v>
      </c>
      <c r="CP159" s="230">
        <v>32000</v>
      </c>
      <c r="CQ159" s="229">
        <v>4.3999999999999997E-2</v>
      </c>
      <c r="CR159" s="230">
        <v>675000</v>
      </c>
      <c r="CS159" s="230">
        <v>624500</v>
      </c>
      <c r="CT159" s="230">
        <v>50500</v>
      </c>
      <c r="CU159" s="229">
        <v>8.09E-2</v>
      </c>
      <c r="CV159" s="230">
        <v>9043500</v>
      </c>
      <c r="CW159" s="230">
        <v>8868000</v>
      </c>
      <c r="CX159" s="230">
        <v>175500</v>
      </c>
      <c r="CY159" s="229">
        <v>1.9800000000000002E-2</v>
      </c>
      <c r="CZ159" s="228">
        <v>17.07</v>
      </c>
      <c r="DA159" s="228">
        <v>17.59</v>
      </c>
      <c r="DB159" s="228">
        <v>-0.52</v>
      </c>
      <c r="DC159" s="228">
        <v>-0.52</v>
      </c>
      <c r="DD159" s="228">
        <v>21.17</v>
      </c>
      <c r="DE159" s="228">
        <v>21.19</v>
      </c>
      <c r="DF159" s="228">
        <v>-4.0999999999999996</v>
      </c>
      <c r="DG159" s="228">
        <v>-0.02</v>
      </c>
      <c r="DH159" s="228">
        <v>17.09</v>
      </c>
      <c r="DI159" s="228">
        <v>17.41</v>
      </c>
      <c r="DJ159" s="228">
        <v>-0.32</v>
      </c>
      <c r="DK159" s="228">
        <v>-0.32</v>
      </c>
      <c r="DL159" s="228">
        <v>17.03</v>
      </c>
      <c r="DM159" s="228">
        <v>18.079999999999998</v>
      </c>
      <c r="DN159" s="228">
        <v>-1.05</v>
      </c>
      <c r="DO159" s="228">
        <v>-1.05</v>
      </c>
      <c r="DP159" s="228">
        <v>0.89</v>
      </c>
      <c r="DQ159" s="228">
        <v>0.86</v>
      </c>
      <c r="DR159" s="228">
        <v>0.03</v>
      </c>
      <c r="DS159" s="229">
        <v>3.49E-2</v>
      </c>
      <c r="DT159" s="231">
        <v>1500</v>
      </c>
      <c r="DU159" s="231">
        <v>1400</v>
      </c>
      <c r="DV159" s="228">
        <v>0.48</v>
      </c>
      <c r="DW159" s="228">
        <v>0.38</v>
      </c>
      <c r="DX159" s="228">
        <v>0.1</v>
      </c>
      <c r="DY159" s="229">
        <v>0.26319999999999999</v>
      </c>
      <c r="DZ159" s="229">
        <v>1.04E-2</v>
      </c>
      <c r="EA159" s="230">
        <v>76500</v>
      </c>
      <c r="EB159" s="229">
        <v>5.7000000000000002E-3</v>
      </c>
      <c r="EC159" s="229">
        <v>1.04E-2</v>
      </c>
      <c r="ED159" s="228">
        <v>10.26</v>
      </c>
      <c r="EE159" s="229">
        <v>6.8999999999999999E-3</v>
      </c>
      <c r="EF159" s="230">
        <v>59818</v>
      </c>
      <c r="EG159" s="230">
        <v>417263</v>
      </c>
      <c r="EH159" s="229">
        <v>-0.85660000000000003</v>
      </c>
      <c r="EI159" s="229">
        <v>0.53169999999999995</v>
      </c>
      <c r="EJ159" s="231">
        <v>8881.48</v>
      </c>
      <c r="EK159" s="231">
        <v>4018.97</v>
      </c>
      <c r="EL159" s="231">
        <v>6059.88</v>
      </c>
      <c r="EM159" s="231">
        <v>6367</v>
      </c>
      <c r="EN159" s="231">
        <v>18960.330000000002</v>
      </c>
      <c r="EO159" s="231">
        <v>59382.06</v>
      </c>
      <c r="EP159" s="231">
        <v>-40421.730000000003</v>
      </c>
      <c r="EQ159" s="229">
        <v>-0.68069999999999997</v>
      </c>
      <c r="ER159" s="231">
        <v>11481</v>
      </c>
      <c r="ES159" s="231">
        <v>9722</v>
      </c>
      <c r="ET159" s="231">
        <v>112430</v>
      </c>
      <c r="EU159" s="231">
        <v>31214205</v>
      </c>
      <c r="EV159" s="231">
        <v>133633</v>
      </c>
      <c r="EW159" s="231">
        <v>131959</v>
      </c>
      <c r="EX159" s="231">
        <v>1674</v>
      </c>
      <c r="EY159" s="229">
        <v>1.2699999999999999E-2</v>
      </c>
      <c r="EZ159" s="229">
        <v>0.28970000000000001</v>
      </c>
      <c r="FA159" s="227" t="s">
        <v>567</v>
      </c>
      <c r="FB159" s="161">
        <f t="shared" si="3"/>
        <v>0</v>
      </c>
    </row>
    <row r="160" spans="1:158" ht="17.25" thickBot="1" x14ac:dyDescent="0.3">
      <c r="A160" s="226">
        <v>46023</v>
      </c>
      <c r="B160" s="227" t="s">
        <v>498</v>
      </c>
      <c r="C160" s="227" t="s">
        <v>483</v>
      </c>
      <c r="D160" s="228">
        <v>175</v>
      </c>
      <c r="E160" s="231">
        <v>3233.4</v>
      </c>
      <c r="F160" s="231">
        <v>3254.3</v>
      </c>
      <c r="G160" s="228">
        <v>-20.9</v>
      </c>
      <c r="H160" s="229">
        <v>-6.4000000000000003E-3</v>
      </c>
      <c r="I160" s="231">
        <v>3219.1</v>
      </c>
      <c r="J160" s="231">
        <v>3238.2</v>
      </c>
      <c r="K160" s="228">
        <v>-19.100000000000001</v>
      </c>
      <c r="L160" s="229">
        <v>-5.8999999999999999E-3</v>
      </c>
      <c r="M160" s="231">
        <v>3233.4</v>
      </c>
      <c r="N160" s="231">
        <v>3254.3</v>
      </c>
      <c r="O160" s="228">
        <v>-20.9</v>
      </c>
      <c r="P160" s="229">
        <v>-6.4000000000000003E-3</v>
      </c>
      <c r="Q160" s="231">
        <v>3227.9</v>
      </c>
      <c r="R160" s="231">
        <v>3248.2</v>
      </c>
      <c r="S160" s="228">
        <v>-20.3</v>
      </c>
      <c r="T160" s="229">
        <v>-6.1999999999999998E-3</v>
      </c>
      <c r="U160" s="231">
        <v>3230</v>
      </c>
      <c r="V160" s="228">
        <v>0</v>
      </c>
      <c r="W160" s="231">
        <v>3230</v>
      </c>
      <c r="X160" s="229">
        <v>0</v>
      </c>
      <c r="Y160" s="228">
        <v>14.3</v>
      </c>
      <c r="Z160" s="228">
        <v>16.100000000000001</v>
      </c>
      <c r="AA160" s="228">
        <v>-1.8</v>
      </c>
      <c r="AB160" s="229">
        <v>4.4000000000000003E-3</v>
      </c>
      <c r="AC160" s="228">
        <v>14.3</v>
      </c>
      <c r="AD160" s="228">
        <v>16.100000000000001</v>
      </c>
      <c r="AE160" s="228">
        <v>-1.8</v>
      </c>
      <c r="AF160" s="229">
        <v>4.4000000000000003E-3</v>
      </c>
      <c r="AG160" s="228">
        <v>8.8000000000000007</v>
      </c>
      <c r="AH160" s="228">
        <v>10</v>
      </c>
      <c r="AI160" s="228">
        <v>-1.2</v>
      </c>
      <c r="AJ160" s="229">
        <v>2.7000000000000001E-3</v>
      </c>
      <c r="AK160" s="228">
        <v>10.9</v>
      </c>
      <c r="AL160" s="228">
        <v>0</v>
      </c>
      <c r="AM160" s="228">
        <v>10.9</v>
      </c>
      <c r="AN160" s="229">
        <v>3.3999999999999998E-3</v>
      </c>
      <c r="AO160" s="231">
        <v>3230.56</v>
      </c>
      <c r="AP160" s="231">
        <v>3227.34</v>
      </c>
      <c r="AQ160" s="228">
        <v>0</v>
      </c>
      <c r="AR160" s="230">
        <v>213500</v>
      </c>
      <c r="AS160" s="230">
        <v>274400</v>
      </c>
      <c r="AT160" s="230">
        <v>-60900</v>
      </c>
      <c r="AU160" s="229">
        <v>-0.22189999999999999</v>
      </c>
      <c r="AV160" s="230">
        <v>188825</v>
      </c>
      <c r="AW160" s="230">
        <v>252525</v>
      </c>
      <c r="AX160" s="230">
        <v>-63700</v>
      </c>
      <c r="AY160" s="229">
        <v>-0.25230000000000002</v>
      </c>
      <c r="AZ160" s="230">
        <v>24325</v>
      </c>
      <c r="BA160" s="230">
        <v>21875</v>
      </c>
      <c r="BB160" s="230">
        <v>2450</v>
      </c>
      <c r="BC160" s="229">
        <v>0.112</v>
      </c>
      <c r="BD160" s="228">
        <v>350</v>
      </c>
      <c r="BE160" s="228">
        <v>0</v>
      </c>
      <c r="BF160" s="228">
        <v>350</v>
      </c>
      <c r="BG160" s="229">
        <v>0</v>
      </c>
      <c r="BH160" s="230">
        <v>225575</v>
      </c>
      <c r="BI160" s="230">
        <v>265475</v>
      </c>
      <c r="BJ160" s="230">
        <v>-39900</v>
      </c>
      <c r="BK160" s="229">
        <v>-0.15029999999999999</v>
      </c>
      <c r="BL160" s="230">
        <v>100450</v>
      </c>
      <c r="BM160" s="230">
        <v>119700</v>
      </c>
      <c r="BN160" s="230">
        <v>-19250</v>
      </c>
      <c r="BO160" s="229">
        <v>-0.1608</v>
      </c>
      <c r="BP160" s="230">
        <v>539525</v>
      </c>
      <c r="BQ160" s="230">
        <v>659575</v>
      </c>
      <c r="BR160" s="230">
        <v>-120050</v>
      </c>
      <c r="BS160" s="229">
        <v>-0.182</v>
      </c>
      <c r="BT160" s="230">
        <v>44022</v>
      </c>
      <c r="BU160" s="230">
        <v>125795</v>
      </c>
      <c r="BV160" s="230">
        <v>-81773</v>
      </c>
      <c r="BW160" s="229">
        <v>-0.65</v>
      </c>
      <c r="BX160" s="230">
        <v>2245775</v>
      </c>
      <c r="BY160" s="230">
        <v>2225825</v>
      </c>
      <c r="BZ160" s="230">
        <v>19950</v>
      </c>
      <c r="CA160" s="229">
        <v>8.9999999999999993E-3</v>
      </c>
      <c r="CB160" s="230">
        <v>2177000</v>
      </c>
      <c r="CC160" s="230">
        <v>2170350</v>
      </c>
      <c r="CD160" s="230">
        <v>6650</v>
      </c>
      <c r="CE160" s="229">
        <v>3.0999999999999999E-3</v>
      </c>
      <c r="CF160" s="230">
        <v>68425</v>
      </c>
      <c r="CG160" s="230">
        <v>55475</v>
      </c>
      <c r="CH160" s="230">
        <v>12950</v>
      </c>
      <c r="CI160" s="229">
        <v>0.2334</v>
      </c>
      <c r="CJ160" s="228">
        <v>350</v>
      </c>
      <c r="CK160" s="228">
        <v>0</v>
      </c>
      <c r="CL160" s="228">
        <v>350</v>
      </c>
      <c r="CM160" s="229">
        <v>0</v>
      </c>
      <c r="CN160" s="230">
        <v>324625</v>
      </c>
      <c r="CO160" s="230">
        <v>280525</v>
      </c>
      <c r="CP160" s="230">
        <v>44100</v>
      </c>
      <c r="CQ160" s="229">
        <v>0.15720000000000001</v>
      </c>
      <c r="CR160" s="230">
        <v>281925</v>
      </c>
      <c r="CS160" s="230">
        <v>265125</v>
      </c>
      <c r="CT160" s="230">
        <v>16800</v>
      </c>
      <c r="CU160" s="229">
        <v>6.3399999999999998E-2</v>
      </c>
      <c r="CV160" s="230">
        <v>2852325</v>
      </c>
      <c r="CW160" s="230">
        <v>2771475</v>
      </c>
      <c r="CX160" s="230">
        <v>80850</v>
      </c>
      <c r="CY160" s="229">
        <v>2.92E-2</v>
      </c>
      <c r="CZ160" s="228">
        <v>20.88</v>
      </c>
      <c r="DA160" s="228">
        <v>21.69</v>
      </c>
      <c r="DB160" s="228">
        <v>-0.81</v>
      </c>
      <c r="DC160" s="228">
        <v>-0.81</v>
      </c>
      <c r="DD160" s="228">
        <v>28.93</v>
      </c>
      <c r="DE160" s="228">
        <v>28.99</v>
      </c>
      <c r="DF160" s="228">
        <v>-8.0500000000000007</v>
      </c>
      <c r="DG160" s="228">
        <v>-0.06</v>
      </c>
      <c r="DH160" s="228">
        <v>20.85</v>
      </c>
      <c r="DI160" s="228">
        <v>21.64</v>
      </c>
      <c r="DJ160" s="228">
        <v>-0.79</v>
      </c>
      <c r="DK160" s="228">
        <v>-0.79</v>
      </c>
      <c r="DL160" s="228">
        <v>20.96</v>
      </c>
      <c r="DM160" s="228">
        <v>21.81</v>
      </c>
      <c r="DN160" s="228">
        <v>-0.85</v>
      </c>
      <c r="DO160" s="228">
        <v>-0.85</v>
      </c>
      <c r="DP160" s="228">
        <v>0.87</v>
      </c>
      <c r="DQ160" s="228">
        <v>0.95</v>
      </c>
      <c r="DR160" s="228">
        <v>-0.08</v>
      </c>
      <c r="DS160" s="229">
        <v>-8.4199999999999997E-2</v>
      </c>
      <c r="DT160" s="231">
        <v>3300</v>
      </c>
      <c r="DU160" s="231">
        <v>3200</v>
      </c>
      <c r="DV160" s="228">
        <v>0.45</v>
      </c>
      <c r="DW160" s="228">
        <v>0.45</v>
      </c>
      <c r="DX160" s="228">
        <v>0</v>
      </c>
      <c r="DY160" s="229">
        <v>0</v>
      </c>
      <c r="DZ160" s="229">
        <v>3.0599999999999999E-2</v>
      </c>
      <c r="EA160" s="230">
        <v>55475</v>
      </c>
      <c r="EB160" s="229">
        <v>-1.6999999999999999E-3</v>
      </c>
      <c r="EC160" s="229">
        <v>3.0599999999999999E-2</v>
      </c>
      <c r="ED160" s="228">
        <v>-3.22</v>
      </c>
      <c r="EE160" s="229">
        <v>-1E-3</v>
      </c>
      <c r="EF160" s="230">
        <v>19716</v>
      </c>
      <c r="EG160" s="230">
        <v>85377</v>
      </c>
      <c r="EH160" s="229">
        <v>-0.76910000000000001</v>
      </c>
      <c r="EI160" s="229">
        <v>0.44790000000000002</v>
      </c>
      <c r="EJ160" s="231">
        <v>7577.71</v>
      </c>
      <c r="EK160" s="231">
        <v>3219.38</v>
      </c>
      <c r="EL160" s="231">
        <v>6896.45</v>
      </c>
      <c r="EM160" s="231">
        <v>6438</v>
      </c>
      <c r="EN160" s="231">
        <v>17693.54</v>
      </c>
      <c r="EO160" s="231">
        <v>21704.36</v>
      </c>
      <c r="EP160" s="231">
        <v>-4010.82</v>
      </c>
      <c r="EQ160" s="229">
        <v>-0.18479999999999999</v>
      </c>
      <c r="ER160" s="231">
        <v>10899</v>
      </c>
      <c r="ES160" s="231">
        <v>9200</v>
      </c>
      <c r="ET160" s="231">
        <v>72611</v>
      </c>
      <c r="EU160" s="231">
        <v>10712372</v>
      </c>
      <c r="EV160" s="231">
        <v>92711</v>
      </c>
      <c r="EW160" s="231">
        <v>90557</v>
      </c>
      <c r="EX160" s="231">
        <v>2154</v>
      </c>
      <c r="EY160" s="229">
        <v>2.3800000000000002E-2</v>
      </c>
      <c r="EZ160" s="229">
        <v>0.26629999999999998</v>
      </c>
      <c r="FA160" s="227" t="s">
        <v>567</v>
      </c>
      <c r="FB160" s="161">
        <f t="shared" si="3"/>
        <v>0</v>
      </c>
    </row>
    <row r="161" spans="1:158" ht="17.25" thickBot="1" x14ac:dyDescent="0.3">
      <c r="A161" s="226">
        <v>46023</v>
      </c>
      <c r="B161" s="227" t="s">
        <v>172</v>
      </c>
      <c r="C161" s="227" t="s">
        <v>275</v>
      </c>
      <c r="D161" s="228">
        <v>8000</v>
      </c>
      <c r="E161" s="228">
        <v>124.65</v>
      </c>
      <c r="F161" s="228">
        <v>124.41</v>
      </c>
      <c r="G161" s="228">
        <v>0.24</v>
      </c>
      <c r="H161" s="229">
        <v>1.9E-3</v>
      </c>
      <c r="I161" s="228">
        <v>123.94</v>
      </c>
      <c r="J161" s="228">
        <v>123.58</v>
      </c>
      <c r="K161" s="228">
        <v>0.36</v>
      </c>
      <c r="L161" s="229">
        <v>2.8999999999999998E-3</v>
      </c>
      <c r="M161" s="228">
        <v>124.65</v>
      </c>
      <c r="N161" s="228">
        <v>124.41</v>
      </c>
      <c r="O161" s="228">
        <v>0.24</v>
      </c>
      <c r="P161" s="229">
        <v>1.9E-3</v>
      </c>
      <c r="Q161" s="228">
        <v>125.42</v>
      </c>
      <c r="R161" s="228">
        <v>125.15</v>
      </c>
      <c r="S161" s="228">
        <v>0.27</v>
      </c>
      <c r="T161" s="229">
        <v>2.2000000000000001E-3</v>
      </c>
      <c r="U161" s="228">
        <v>125.98</v>
      </c>
      <c r="V161" s="228">
        <v>125.65</v>
      </c>
      <c r="W161" s="228">
        <v>0.33</v>
      </c>
      <c r="X161" s="229">
        <v>2.5999999999999999E-3</v>
      </c>
      <c r="Y161" s="228">
        <v>0.71</v>
      </c>
      <c r="Z161" s="228">
        <v>0.83</v>
      </c>
      <c r="AA161" s="228">
        <v>-0.12</v>
      </c>
      <c r="AB161" s="229">
        <v>5.7000000000000002E-3</v>
      </c>
      <c r="AC161" s="228">
        <v>0.71</v>
      </c>
      <c r="AD161" s="228">
        <v>0.83</v>
      </c>
      <c r="AE161" s="228">
        <v>-0.12</v>
      </c>
      <c r="AF161" s="229">
        <v>5.7000000000000002E-3</v>
      </c>
      <c r="AG161" s="228">
        <v>1.48</v>
      </c>
      <c r="AH161" s="228">
        <v>1.57</v>
      </c>
      <c r="AI161" s="228">
        <v>-0.09</v>
      </c>
      <c r="AJ161" s="229">
        <v>1.1900000000000001E-2</v>
      </c>
      <c r="AK161" s="228">
        <v>2.04</v>
      </c>
      <c r="AL161" s="228">
        <v>2.0699999999999998</v>
      </c>
      <c r="AM161" s="228">
        <v>-0.03</v>
      </c>
      <c r="AN161" s="229">
        <v>1.6500000000000001E-2</v>
      </c>
      <c r="AO161" s="228">
        <v>124.67</v>
      </c>
      <c r="AP161" s="228">
        <v>125.33</v>
      </c>
      <c r="AQ161" s="228">
        <v>0</v>
      </c>
      <c r="AR161" s="230">
        <v>30888000</v>
      </c>
      <c r="AS161" s="230">
        <v>58616000</v>
      </c>
      <c r="AT161" s="230">
        <v>-27728000</v>
      </c>
      <c r="AU161" s="229">
        <v>-0.47299999999999998</v>
      </c>
      <c r="AV161" s="230">
        <v>29344000</v>
      </c>
      <c r="AW161" s="230">
        <v>54584000</v>
      </c>
      <c r="AX161" s="230">
        <v>-25240000</v>
      </c>
      <c r="AY161" s="229">
        <v>-0.46239999999999998</v>
      </c>
      <c r="AZ161" s="230">
        <v>1488000</v>
      </c>
      <c r="BA161" s="230">
        <v>3800000</v>
      </c>
      <c r="BB161" s="230">
        <v>-2312000</v>
      </c>
      <c r="BC161" s="229">
        <v>-0.60840000000000005</v>
      </c>
      <c r="BD161" s="230">
        <v>56000</v>
      </c>
      <c r="BE161" s="230">
        <v>232000</v>
      </c>
      <c r="BF161" s="230">
        <v>-176000</v>
      </c>
      <c r="BG161" s="229">
        <v>-0.75860000000000005</v>
      </c>
      <c r="BH161" s="230">
        <v>40544000</v>
      </c>
      <c r="BI161" s="230">
        <v>106872000</v>
      </c>
      <c r="BJ161" s="230">
        <v>-66328000</v>
      </c>
      <c r="BK161" s="229">
        <v>-0.62060000000000004</v>
      </c>
      <c r="BL161" s="230">
        <v>30416000</v>
      </c>
      <c r="BM161" s="230">
        <v>84312000</v>
      </c>
      <c r="BN161" s="230">
        <v>-53896000</v>
      </c>
      <c r="BO161" s="229">
        <v>-0.63919999999999999</v>
      </c>
      <c r="BP161" s="230">
        <v>101848000</v>
      </c>
      <c r="BQ161" s="230">
        <v>249800000</v>
      </c>
      <c r="BR161" s="230">
        <v>-147952000</v>
      </c>
      <c r="BS161" s="229">
        <v>-0.59230000000000005</v>
      </c>
      <c r="BT161" s="230">
        <v>8396699</v>
      </c>
      <c r="BU161" s="230">
        <v>20651418</v>
      </c>
      <c r="BV161" s="230">
        <v>-12254719</v>
      </c>
      <c r="BW161" s="229">
        <v>-0.59340000000000004</v>
      </c>
      <c r="BX161" s="230">
        <v>241392000</v>
      </c>
      <c r="BY161" s="230">
        <v>239304000</v>
      </c>
      <c r="BZ161" s="230">
        <v>2088000</v>
      </c>
      <c r="CA161" s="229">
        <v>8.6999999999999994E-3</v>
      </c>
      <c r="CB161" s="230">
        <v>234680000</v>
      </c>
      <c r="CC161" s="230">
        <v>232696000</v>
      </c>
      <c r="CD161" s="230">
        <v>1984000</v>
      </c>
      <c r="CE161" s="229">
        <v>8.5000000000000006E-3</v>
      </c>
      <c r="CF161" s="230">
        <v>6528000</v>
      </c>
      <c r="CG161" s="230">
        <v>6456000</v>
      </c>
      <c r="CH161" s="230">
        <v>72000</v>
      </c>
      <c r="CI161" s="229">
        <v>1.12E-2</v>
      </c>
      <c r="CJ161" s="230">
        <v>184000</v>
      </c>
      <c r="CK161" s="230">
        <v>152000</v>
      </c>
      <c r="CL161" s="230">
        <v>32000</v>
      </c>
      <c r="CM161" s="229">
        <v>0.21049999999999999</v>
      </c>
      <c r="CN161" s="230">
        <v>55912000</v>
      </c>
      <c r="CO161" s="230">
        <v>51600000</v>
      </c>
      <c r="CP161" s="230">
        <v>4312000</v>
      </c>
      <c r="CQ161" s="229">
        <v>8.3599999999999994E-2</v>
      </c>
      <c r="CR161" s="230">
        <v>56976000</v>
      </c>
      <c r="CS161" s="230">
        <v>52856000</v>
      </c>
      <c r="CT161" s="230">
        <v>4120000</v>
      </c>
      <c r="CU161" s="229">
        <v>7.7899999999999997E-2</v>
      </c>
      <c r="CV161" s="230">
        <v>354280000</v>
      </c>
      <c r="CW161" s="230">
        <v>343760000</v>
      </c>
      <c r="CX161" s="230">
        <v>10520000</v>
      </c>
      <c r="CY161" s="229">
        <v>3.0599999999999999E-2</v>
      </c>
      <c r="CZ161" s="228">
        <v>25.27</v>
      </c>
      <c r="DA161" s="228">
        <v>25.37</v>
      </c>
      <c r="DB161" s="228">
        <v>-0.1</v>
      </c>
      <c r="DC161" s="228">
        <v>-0.1</v>
      </c>
      <c r="DD161" s="228">
        <v>35.17</v>
      </c>
      <c r="DE161" s="228">
        <v>35.26</v>
      </c>
      <c r="DF161" s="228">
        <v>-9.9</v>
      </c>
      <c r="DG161" s="228">
        <v>-0.09</v>
      </c>
      <c r="DH161" s="228">
        <v>25.14</v>
      </c>
      <c r="DI161" s="228">
        <v>24.94</v>
      </c>
      <c r="DJ161" s="228">
        <v>0.2</v>
      </c>
      <c r="DK161" s="228">
        <v>0.2</v>
      </c>
      <c r="DL161" s="228">
        <v>25.43</v>
      </c>
      <c r="DM161" s="228">
        <v>25.91</v>
      </c>
      <c r="DN161" s="228">
        <v>-0.48</v>
      </c>
      <c r="DO161" s="228">
        <v>-0.48</v>
      </c>
      <c r="DP161" s="228">
        <v>1.02</v>
      </c>
      <c r="DQ161" s="228">
        <v>1.02</v>
      </c>
      <c r="DR161" s="228">
        <v>0</v>
      </c>
      <c r="DS161" s="229">
        <v>0</v>
      </c>
      <c r="DT161" s="228">
        <v>130</v>
      </c>
      <c r="DU161" s="228">
        <v>120</v>
      </c>
      <c r="DV161" s="228">
        <v>0.75</v>
      </c>
      <c r="DW161" s="228">
        <v>0.79</v>
      </c>
      <c r="DX161" s="228">
        <v>-0.04</v>
      </c>
      <c r="DY161" s="229">
        <v>-5.0599999999999999E-2</v>
      </c>
      <c r="DZ161" s="229">
        <v>2.7799999999999998E-2</v>
      </c>
      <c r="EA161" s="230">
        <v>6608000</v>
      </c>
      <c r="EB161" s="229">
        <v>6.1999999999999998E-3</v>
      </c>
      <c r="EC161" s="229">
        <v>2.7799999999999998E-2</v>
      </c>
      <c r="ED161" s="228">
        <v>0.66</v>
      </c>
      <c r="EE161" s="229">
        <v>5.3E-3</v>
      </c>
      <c r="EF161" s="230">
        <v>2588214</v>
      </c>
      <c r="EG161" s="230">
        <v>8100574</v>
      </c>
      <c r="EH161" s="229">
        <v>-0.68049999999999999</v>
      </c>
      <c r="EI161" s="229">
        <v>0.30819999999999997</v>
      </c>
      <c r="EJ161" s="231">
        <v>52781.52</v>
      </c>
      <c r="EK161" s="231">
        <v>37226.83</v>
      </c>
      <c r="EL161" s="231">
        <v>38518.699999999997</v>
      </c>
      <c r="EM161" s="231">
        <v>16339</v>
      </c>
      <c r="EN161" s="231">
        <v>128527.05</v>
      </c>
      <c r="EO161" s="231">
        <v>314227.3</v>
      </c>
      <c r="EP161" s="231">
        <v>-185700.25</v>
      </c>
      <c r="EQ161" s="229">
        <v>-0.59099999999999997</v>
      </c>
      <c r="ER161" s="231">
        <v>71027</v>
      </c>
      <c r="ES161" s="231">
        <v>67293</v>
      </c>
      <c r="ET161" s="231">
        <v>300948</v>
      </c>
      <c r="EU161" s="231">
        <v>515822637</v>
      </c>
      <c r="EV161" s="231">
        <v>439268</v>
      </c>
      <c r="EW161" s="231">
        <v>425548</v>
      </c>
      <c r="EX161" s="231">
        <v>13720</v>
      </c>
      <c r="EY161" s="229">
        <v>3.2199999999999999E-2</v>
      </c>
      <c r="EZ161" s="229">
        <v>0.68679999999999997</v>
      </c>
      <c r="FA161" s="227" t="s">
        <v>555</v>
      </c>
      <c r="FB161" s="161">
        <f t="shared" si="3"/>
        <v>0</v>
      </c>
    </row>
    <row r="162" spans="1:158" ht="17.25" thickBot="1" x14ac:dyDescent="0.3">
      <c r="A162" s="226">
        <v>46023</v>
      </c>
      <c r="B162" s="227" t="s">
        <v>175</v>
      </c>
      <c r="C162" s="227" t="s">
        <v>670</v>
      </c>
      <c r="D162" s="228">
        <v>650</v>
      </c>
      <c r="E162" s="228">
        <v>990.35</v>
      </c>
      <c r="F162" s="228">
        <v>956.2</v>
      </c>
      <c r="G162" s="228">
        <v>34.15</v>
      </c>
      <c r="H162" s="229">
        <v>3.5700000000000003E-2</v>
      </c>
      <c r="I162" s="228">
        <v>986.6</v>
      </c>
      <c r="J162" s="228">
        <v>951.5</v>
      </c>
      <c r="K162" s="228">
        <v>35.1</v>
      </c>
      <c r="L162" s="229">
        <v>3.6900000000000002E-2</v>
      </c>
      <c r="M162" s="228">
        <v>990.35</v>
      </c>
      <c r="N162" s="228">
        <v>956.2</v>
      </c>
      <c r="O162" s="228">
        <v>34.15</v>
      </c>
      <c r="P162" s="229">
        <v>3.5700000000000003E-2</v>
      </c>
      <c r="Q162" s="228">
        <v>994.25</v>
      </c>
      <c r="R162" s="228">
        <v>964.05</v>
      </c>
      <c r="S162" s="228">
        <v>30.2</v>
      </c>
      <c r="T162" s="229">
        <v>3.1300000000000001E-2</v>
      </c>
      <c r="U162" s="231">
        <v>1005.2</v>
      </c>
      <c r="V162" s="228">
        <v>966.8</v>
      </c>
      <c r="W162" s="228">
        <v>38.4</v>
      </c>
      <c r="X162" s="229">
        <v>3.9699999999999999E-2</v>
      </c>
      <c r="Y162" s="228">
        <v>3.75</v>
      </c>
      <c r="Z162" s="228">
        <v>4.7</v>
      </c>
      <c r="AA162" s="228">
        <v>-0.95</v>
      </c>
      <c r="AB162" s="229">
        <v>3.8E-3</v>
      </c>
      <c r="AC162" s="228">
        <v>3.75</v>
      </c>
      <c r="AD162" s="228">
        <v>4.7</v>
      </c>
      <c r="AE162" s="228">
        <v>-0.95</v>
      </c>
      <c r="AF162" s="229">
        <v>3.8E-3</v>
      </c>
      <c r="AG162" s="228">
        <v>7.65</v>
      </c>
      <c r="AH162" s="228">
        <v>12.55</v>
      </c>
      <c r="AI162" s="228">
        <v>-4.9000000000000004</v>
      </c>
      <c r="AJ162" s="229">
        <v>7.7999999999999996E-3</v>
      </c>
      <c r="AK162" s="228">
        <v>18.600000000000001</v>
      </c>
      <c r="AL162" s="228">
        <v>15.3</v>
      </c>
      <c r="AM162" s="228">
        <v>3.3</v>
      </c>
      <c r="AN162" s="229">
        <v>1.89E-2</v>
      </c>
      <c r="AO162" s="228">
        <v>986.26</v>
      </c>
      <c r="AP162" s="228">
        <v>988.79</v>
      </c>
      <c r="AQ162" s="228">
        <v>0</v>
      </c>
      <c r="AR162" s="230">
        <v>4495400</v>
      </c>
      <c r="AS162" s="230">
        <v>1412450</v>
      </c>
      <c r="AT162" s="230">
        <v>3082950</v>
      </c>
      <c r="AU162" s="229">
        <v>2.1827000000000001</v>
      </c>
      <c r="AV162" s="230">
        <v>4373200</v>
      </c>
      <c r="AW162" s="230">
        <v>1375400</v>
      </c>
      <c r="AX162" s="230">
        <v>2997800</v>
      </c>
      <c r="AY162" s="229">
        <v>2.1796000000000002</v>
      </c>
      <c r="AZ162" s="230">
        <v>110500</v>
      </c>
      <c r="BA162" s="230">
        <v>35750</v>
      </c>
      <c r="BB162" s="230">
        <v>74750</v>
      </c>
      <c r="BC162" s="229">
        <v>2.0909</v>
      </c>
      <c r="BD162" s="230">
        <v>11700</v>
      </c>
      <c r="BE162" s="230">
        <v>1300</v>
      </c>
      <c r="BF162" s="230">
        <v>10400</v>
      </c>
      <c r="BG162" s="229">
        <v>8</v>
      </c>
      <c r="BH162" s="230">
        <v>14693900</v>
      </c>
      <c r="BI162" s="230">
        <v>1599000</v>
      </c>
      <c r="BJ162" s="230">
        <v>13094900</v>
      </c>
      <c r="BK162" s="229">
        <v>8.1893999999999991</v>
      </c>
      <c r="BL162" s="230">
        <v>3674450</v>
      </c>
      <c r="BM162" s="230">
        <v>618150</v>
      </c>
      <c r="BN162" s="230">
        <v>3056300</v>
      </c>
      <c r="BO162" s="229">
        <v>4.9443000000000001</v>
      </c>
      <c r="BP162" s="230">
        <v>22863750</v>
      </c>
      <c r="BQ162" s="230">
        <v>3629600</v>
      </c>
      <c r="BR162" s="230">
        <v>19234150</v>
      </c>
      <c r="BS162" s="229">
        <v>5.2991999999999999</v>
      </c>
      <c r="BT162" s="230">
        <v>3907019</v>
      </c>
      <c r="BU162" s="230">
        <v>535090</v>
      </c>
      <c r="BV162" s="230">
        <v>3371929</v>
      </c>
      <c r="BW162" s="229">
        <v>6.3015999999999996</v>
      </c>
      <c r="BX162" s="230">
        <v>15512250</v>
      </c>
      <c r="BY162" s="230">
        <v>15694900</v>
      </c>
      <c r="BZ162" s="230">
        <v>-182650</v>
      </c>
      <c r="CA162" s="229">
        <v>-1.1599999999999999E-2</v>
      </c>
      <c r="CB162" s="230">
        <v>15397850</v>
      </c>
      <c r="CC162" s="230">
        <v>15593500</v>
      </c>
      <c r="CD162" s="230">
        <v>-195650</v>
      </c>
      <c r="CE162" s="229">
        <v>-1.2500000000000001E-2</v>
      </c>
      <c r="CF162" s="230">
        <v>103350</v>
      </c>
      <c r="CG162" s="230">
        <v>100100</v>
      </c>
      <c r="CH162" s="230">
        <v>3250</v>
      </c>
      <c r="CI162" s="229">
        <v>3.2500000000000001E-2</v>
      </c>
      <c r="CJ162" s="230">
        <v>11050</v>
      </c>
      <c r="CK162" s="230">
        <v>1300</v>
      </c>
      <c r="CL162" s="230">
        <v>9750</v>
      </c>
      <c r="CM162" s="229">
        <v>7.5</v>
      </c>
      <c r="CN162" s="230">
        <v>2873000</v>
      </c>
      <c r="CO162" s="230">
        <v>2216500</v>
      </c>
      <c r="CP162" s="230">
        <v>656500</v>
      </c>
      <c r="CQ162" s="229">
        <v>0.29620000000000002</v>
      </c>
      <c r="CR162" s="230">
        <v>1845350</v>
      </c>
      <c r="CS162" s="230">
        <v>1342250</v>
      </c>
      <c r="CT162" s="230">
        <v>503100</v>
      </c>
      <c r="CU162" s="229">
        <v>0.37480000000000002</v>
      </c>
      <c r="CV162" s="230">
        <v>20230600</v>
      </c>
      <c r="CW162" s="230">
        <v>19253650</v>
      </c>
      <c r="CX162" s="230">
        <v>976950</v>
      </c>
      <c r="CY162" s="229">
        <v>5.0700000000000002E-2</v>
      </c>
      <c r="CZ162" s="228">
        <v>29.56</v>
      </c>
      <c r="DA162" s="228">
        <v>30.45</v>
      </c>
      <c r="DB162" s="228">
        <v>-0.89</v>
      </c>
      <c r="DC162" s="228">
        <v>-0.89</v>
      </c>
      <c r="DD162" s="228">
        <v>46.12</v>
      </c>
      <c r="DE162" s="228">
        <v>45.97</v>
      </c>
      <c r="DF162" s="228">
        <v>-16.559999999999999</v>
      </c>
      <c r="DG162" s="228">
        <v>0.15</v>
      </c>
      <c r="DH162" s="228">
        <v>29.5</v>
      </c>
      <c r="DI162" s="228">
        <v>30.35</v>
      </c>
      <c r="DJ162" s="228">
        <v>-0.85</v>
      </c>
      <c r="DK162" s="228">
        <v>-0.85</v>
      </c>
      <c r="DL162" s="228">
        <v>29.8</v>
      </c>
      <c r="DM162" s="228">
        <v>30.71</v>
      </c>
      <c r="DN162" s="228">
        <v>-0.91</v>
      </c>
      <c r="DO162" s="228">
        <v>-0.91</v>
      </c>
      <c r="DP162" s="228">
        <v>0.64</v>
      </c>
      <c r="DQ162" s="228">
        <v>0.61</v>
      </c>
      <c r="DR162" s="228">
        <v>0.03</v>
      </c>
      <c r="DS162" s="229">
        <v>4.9200000000000001E-2</v>
      </c>
      <c r="DT162" s="231">
        <v>1000</v>
      </c>
      <c r="DU162" s="228">
        <v>950</v>
      </c>
      <c r="DV162" s="228">
        <v>0.25</v>
      </c>
      <c r="DW162" s="228">
        <v>0.39</v>
      </c>
      <c r="DX162" s="228">
        <v>-0.14000000000000001</v>
      </c>
      <c r="DY162" s="229">
        <v>-0.35899999999999999</v>
      </c>
      <c r="DZ162" s="229">
        <v>7.4000000000000003E-3</v>
      </c>
      <c r="EA162" s="230">
        <v>101400</v>
      </c>
      <c r="EB162" s="229">
        <v>3.8999999999999998E-3</v>
      </c>
      <c r="EC162" s="229">
        <v>7.4000000000000003E-3</v>
      </c>
      <c r="ED162" s="228">
        <v>2.5299999999999998</v>
      </c>
      <c r="EE162" s="229">
        <v>2.5999999999999999E-3</v>
      </c>
      <c r="EF162" s="230">
        <v>1330318</v>
      </c>
      <c r="EG162" s="230">
        <v>243213</v>
      </c>
      <c r="EH162" s="229">
        <v>4.4698000000000002</v>
      </c>
      <c r="EI162" s="229">
        <v>0.34050000000000002</v>
      </c>
      <c r="EJ162" s="231">
        <v>151314.71</v>
      </c>
      <c r="EK162" s="231">
        <v>35525.85</v>
      </c>
      <c r="EL162" s="231">
        <v>44340.35</v>
      </c>
      <c r="EM162" s="231">
        <v>11323</v>
      </c>
      <c r="EN162" s="231">
        <v>231180.91</v>
      </c>
      <c r="EO162" s="231">
        <v>35230.29</v>
      </c>
      <c r="EP162" s="231">
        <v>195950.62</v>
      </c>
      <c r="EQ162" s="229">
        <v>5.5620000000000003</v>
      </c>
      <c r="ER162" s="231">
        <v>28745</v>
      </c>
      <c r="ES162" s="231">
        <v>17200</v>
      </c>
      <c r="ET162" s="231">
        <v>153631</v>
      </c>
      <c r="EU162" s="231">
        <v>28118603</v>
      </c>
      <c r="EV162" s="231">
        <v>199576</v>
      </c>
      <c r="EW162" s="231">
        <v>184090</v>
      </c>
      <c r="EX162" s="231">
        <v>15486</v>
      </c>
      <c r="EY162" s="229">
        <v>8.4099999999999994E-2</v>
      </c>
      <c r="EZ162" s="229">
        <v>0.71950000000000003</v>
      </c>
      <c r="FA162" s="227" t="s">
        <v>556</v>
      </c>
      <c r="FB162" s="161">
        <f t="shared" ref="FB162:FB194" si="4">BX228-CB228</f>
        <v>0</v>
      </c>
    </row>
    <row r="163" spans="1:158" ht="17.25" thickBot="1" x14ac:dyDescent="0.3">
      <c r="A163" s="226">
        <v>46023</v>
      </c>
      <c r="B163" s="227" t="s">
        <v>615</v>
      </c>
      <c r="C163" s="227" t="s">
        <v>573</v>
      </c>
      <c r="D163" s="228">
        <v>350</v>
      </c>
      <c r="E163" s="231">
        <v>1818.3</v>
      </c>
      <c r="F163" s="231">
        <v>1836.6</v>
      </c>
      <c r="G163" s="228">
        <v>-18.3</v>
      </c>
      <c r="H163" s="229">
        <v>-0.01</v>
      </c>
      <c r="I163" s="231">
        <v>1805.8</v>
      </c>
      <c r="J163" s="231">
        <v>1825.6</v>
      </c>
      <c r="K163" s="228">
        <v>-19.8</v>
      </c>
      <c r="L163" s="229">
        <v>-1.0800000000000001E-2</v>
      </c>
      <c r="M163" s="231">
        <v>1818.3</v>
      </c>
      <c r="N163" s="231">
        <v>1836.6</v>
      </c>
      <c r="O163" s="228">
        <v>-18.3</v>
      </c>
      <c r="P163" s="229">
        <v>-0.01</v>
      </c>
      <c r="Q163" s="231">
        <v>1827.6</v>
      </c>
      <c r="R163" s="231">
        <v>1846.9</v>
      </c>
      <c r="S163" s="228">
        <v>-19.3</v>
      </c>
      <c r="T163" s="229">
        <v>-1.04E-2</v>
      </c>
      <c r="U163" s="231">
        <v>1858</v>
      </c>
      <c r="V163" s="231">
        <v>1858</v>
      </c>
      <c r="W163" s="228">
        <v>0</v>
      </c>
      <c r="X163" s="229">
        <v>0</v>
      </c>
      <c r="Y163" s="228">
        <v>12.5</v>
      </c>
      <c r="Z163" s="228">
        <v>11</v>
      </c>
      <c r="AA163" s="228">
        <v>1.5</v>
      </c>
      <c r="AB163" s="229">
        <v>6.8999999999999999E-3</v>
      </c>
      <c r="AC163" s="228">
        <v>12.5</v>
      </c>
      <c r="AD163" s="228">
        <v>11</v>
      </c>
      <c r="AE163" s="228">
        <v>1.5</v>
      </c>
      <c r="AF163" s="229">
        <v>6.8999999999999999E-3</v>
      </c>
      <c r="AG163" s="228">
        <v>21.8</v>
      </c>
      <c r="AH163" s="228">
        <v>21.3</v>
      </c>
      <c r="AI163" s="228">
        <v>0.5</v>
      </c>
      <c r="AJ163" s="229">
        <v>1.21E-2</v>
      </c>
      <c r="AK163" s="228">
        <v>52.2</v>
      </c>
      <c r="AL163" s="228">
        <v>32.4</v>
      </c>
      <c r="AM163" s="228">
        <v>19.8</v>
      </c>
      <c r="AN163" s="229">
        <v>2.8899999999999999E-2</v>
      </c>
      <c r="AO163" s="231">
        <v>1829.36</v>
      </c>
      <c r="AP163" s="231">
        <v>1842.25</v>
      </c>
      <c r="AQ163" s="228">
        <v>0</v>
      </c>
      <c r="AR163" s="230">
        <v>1373750</v>
      </c>
      <c r="AS163" s="230">
        <v>1482950</v>
      </c>
      <c r="AT163" s="230">
        <v>-109200</v>
      </c>
      <c r="AU163" s="229">
        <v>-7.3599999999999999E-2</v>
      </c>
      <c r="AV163" s="230">
        <v>1343300</v>
      </c>
      <c r="AW163" s="230">
        <v>1446900</v>
      </c>
      <c r="AX163" s="230">
        <v>-103600</v>
      </c>
      <c r="AY163" s="229">
        <v>-7.1599999999999997E-2</v>
      </c>
      <c r="AZ163" s="230">
        <v>28000</v>
      </c>
      <c r="BA163" s="230">
        <v>32900</v>
      </c>
      <c r="BB163" s="230">
        <v>-4900</v>
      </c>
      <c r="BC163" s="229">
        <v>-0.1489</v>
      </c>
      <c r="BD163" s="230">
        <v>2450</v>
      </c>
      <c r="BE163" s="230">
        <v>3150</v>
      </c>
      <c r="BF163" s="228">
        <v>-700</v>
      </c>
      <c r="BG163" s="229">
        <v>-0.22220000000000001</v>
      </c>
      <c r="BH163" s="230">
        <v>2200450</v>
      </c>
      <c r="BI163" s="230">
        <v>2368800</v>
      </c>
      <c r="BJ163" s="230">
        <v>-168350</v>
      </c>
      <c r="BK163" s="229">
        <v>-7.1099999999999997E-2</v>
      </c>
      <c r="BL163" s="230">
        <v>2510200</v>
      </c>
      <c r="BM163" s="230">
        <v>2597350</v>
      </c>
      <c r="BN163" s="230">
        <v>-87150</v>
      </c>
      <c r="BO163" s="229">
        <v>-3.3599999999999998E-2</v>
      </c>
      <c r="BP163" s="230">
        <v>6084400</v>
      </c>
      <c r="BQ163" s="230">
        <v>6449100</v>
      </c>
      <c r="BR163" s="230">
        <v>-364700</v>
      </c>
      <c r="BS163" s="229">
        <v>-5.6599999999999998E-2</v>
      </c>
      <c r="BT163" s="230">
        <v>456387</v>
      </c>
      <c r="BU163" s="230">
        <v>820571</v>
      </c>
      <c r="BV163" s="230">
        <v>-364184</v>
      </c>
      <c r="BW163" s="229">
        <v>-0.44379999999999997</v>
      </c>
      <c r="BX163" s="230">
        <v>6063050</v>
      </c>
      <c r="BY163" s="230">
        <v>6016850</v>
      </c>
      <c r="BZ163" s="230">
        <v>46200</v>
      </c>
      <c r="CA163" s="229">
        <v>7.7000000000000002E-3</v>
      </c>
      <c r="CB163" s="230">
        <v>6028050</v>
      </c>
      <c r="CC163" s="230">
        <v>5983600</v>
      </c>
      <c r="CD163" s="230">
        <v>44450</v>
      </c>
      <c r="CE163" s="229">
        <v>7.4000000000000003E-3</v>
      </c>
      <c r="CF163" s="230">
        <v>30100</v>
      </c>
      <c r="CG163" s="230">
        <v>30100</v>
      </c>
      <c r="CH163" s="228">
        <v>0</v>
      </c>
      <c r="CI163" s="229">
        <v>0</v>
      </c>
      <c r="CJ163" s="230">
        <v>4900</v>
      </c>
      <c r="CK163" s="230">
        <v>3150</v>
      </c>
      <c r="CL163" s="230">
        <v>1750</v>
      </c>
      <c r="CM163" s="229">
        <v>0.55559999999999998</v>
      </c>
      <c r="CN163" s="230">
        <v>1069950</v>
      </c>
      <c r="CO163" s="230">
        <v>883400</v>
      </c>
      <c r="CP163" s="230">
        <v>186550</v>
      </c>
      <c r="CQ163" s="229">
        <v>0.2112</v>
      </c>
      <c r="CR163" s="230">
        <v>852950</v>
      </c>
      <c r="CS163" s="230">
        <v>673750</v>
      </c>
      <c r="CT163" s="230">
        <v>179200</v>
      </c>
      <c r="CU163" s="229">
        <v>0.26600000000000001</v>
      </c>
      <c r="CV163" s="230">
        <v>7985950</v>
      </c>
      <c r="CW163" s="230">
        <v>7574000</v>
      </c>
      <c r="CX163" s="230">
        <v>411950</v>
      </c>
      <c r="CY163" s="229">
        <v>5.4399999999999997E-2</v>
      </c>
      <c r="CZ163" s="228">
        <v>29.94</v>
      </c>
      <c r="DA163" s="228">
        <v>29.99</v>
      </c>
      <c r="DB163" s="228">
        <v>-0.05</v>
      </c>
      <c r="DC163" s="228">
        <v>-0.05</v>
      </c>
      <c r="DD163" s="228">
        <v>46.44</v>
      </c>
      <c r="DE163" s="228">
        <v>46.53</v>
      </c>
      <c r="DF163" s="228">
        <v>-16.5</v>
      </c>
      <c r="DG163" s="228">
        <v>-0.09</v>
      </c>
      <c r="DH163" s="228">
        <v>29.87</v>
      </c>
      <c r="DI163" s="228">
        <v>29.49</v>
      </c>
      <c r="DJ163" s="228">
        <v>0.38</v>
      </c>
      <c r="DK163" s="228">
        <v>0.38</v>
      </c>
      <c r="DL163" s="228">
        <v>30</v>
      </c>
      <c r="DM163" s="228">
        <v>30.45</v>
      </c>
      <c r="DN163" s="228">
        <v>-0.45</v>
      </c>
      <c r="DO163" s="228">
        <v>-0.45</v>
      </c>
      <c r="DP163" s="228">
        <v>0.8</v>
      </c>
      <c r="DQ163" s="228">
        <v>0.76</v>
      </c>
      <c r="DR163" s="228">
        <v>0.04</v>
      </c>
      <c r="DS163" s="229">
        <v>5.2600000000000001E-2</v>
      </c>
      <c r="DT163" s="231">
        <v>1900</v>
      </c>
      <c r="DU163" s="231">
        <v>1740</v>
      </c>
      <c r="DV163" s="228">
        <v>1.1399999999999999</v>
      </c>
      <c r="DW163" s="228">
        <v>1.1000000000000001</v>
      </c>
      <c r="DX163" s="228">
        <v>0.04</v>
      </c>
      <c r="DY163" s="229">
        <v>3.6400000000000002E-2</v>
      </c>
      <c r="DZ163" s="229">
        <v>5.7999999999999996E-3</v>
      </c>
      <c r="EA163" s="230">
        <v>33250</v>
      </c>
      <c r="EB163" s="229">
        <v>5.1000000000000004E-3</v>
      </c>
      <c r="EC163" s="229">
        <v>5.7999999999999996E-3</v>
      </c>
      <c r="ED163" s="228">
        <v>12.89</v>
      </c>
      <c r="EE163" s="229">
        <v>7.0000000000000001E-3</v>
      </c>
      <c r="EF163" s="230">
        <v>100067</v>
      </c>
      <c r="EG163" s="230">
        <v>355263</v>
      </c>
      <c r="EH163" s="229">
        <v>-0.71830000000000005</v>
      </c>
      <c r="EI163" s="229">
        <v>0.21929999999999999</v>
      </c>
      <c r="EJ163" s="231">
        <v>42370.7</v>
      </c>
      <c r="EK163" s="231">
        <v>45630.61</v>
      </c>
      <c r="EL163" s="231">
        <v>25135.17</v>
      </c>
      <c r="EM163" s="231">
        <v>9967</v>
      </c>
      <c r="EN163" s="231">
        <v>113136.48</v>
      </c>
      <c r="EO163" s="231">
        <v>120758.43</v>
      </c>
      <c r="EP163" s="231">
        <v>-7621.95</v>
      </c>
      <c r="EQ163" s="229">
        <v>-6.3100000000000003E-2</v>
      </c>
      <c r="ER163" s="231">
        <v>20724</v>
      </c>
      <c r="ES163" s="231">
        <v>15181</v>
      </c>
      <c r="ET163" s="231">
        <v>110249</v>
      </c>
      <c r="EU163" s="231">
        <v>60642005</v>
      </c>
      <c r="EV163" s="231">
        <v>146154</v>
      </c>
      <c r="EW163" s="231">
        <v>139742</v>
      </c>
      <c r="EX163" s="231">
        <v>6412</v>
      </c>
      <c r="EY163" s="229">
        <v>4.5900000000000003E-2</v>
      </c>
      <c r="EZ163" s="229">
        <v>0.13170000000000001</v>
      </c>
      <c r="FA163" s="227" t="s">
        <v>567</v>
      </c>
      <c r="FB163" s="161">
        <f t="shared" si="4"/>
        <v>0</v>
      </c>
    </row>
    <row r="164" spans="1:158" ht="17.25" thickBot="1" x14ac:dyDescent="0.3">
      <c r="A164" s="226">
        <v>46023</v>
      </c>
      <c r="B164" s="227" t="s">
        <v>184</v>
      </c>
      <c r="C164" s="227" t="s">
        <v>519</v>
      </c>
      <c r="D164" s="228">
        <v>125</v>
      </c>
      <c r="E164" s="231">
        <v>7718.5</v>
      </c>
      <c r="F164" s="231">
        <v>7668</v>
      </c>
      <c r="G164" s="228">
        <v>50.5</v>
      </c>
      <c r="H164" s="229">
        <v>6.6E-3</v>
      </c>
      <c r="I164" s="231">
        <v>7673</v>
      </c>
      <c r="J164" s="231">
        <v>7619</v>
      </c>
      <c r="K164" s="228">
        <v>54</v>
      </c>
      <c r="L164" s="229">
        <v>7.1000000000000004E-3</v>
      </c>
      <c r="M164" s="231">
        <v>7718.5</v>
      </c>
      <c r="N164" s="231">
        <v>7668</v>
      </c>
      <c r="O164" s="228">
        <v>50.5</v>
      </c>
      <c r="P164" s="229">
        <v>6.6E-3</v>
      </c>
      <c r="Q164" s="231">
        <v>7763</v>
      </c>
      <c r="R164" s="231">
        <v>7716</v>
      </c>
      <c r="S164" s="228">
        <v>47</v>
      </c>
      <c r="T164" s="229">
        <v>6.1000000000000004E-3</v>
      </c>
      <c r="U164" s="231">
        <v>7810</v>
      </c>
      <c r="V164" s="231">
        <v>7750</v>
      </c>
      <c r="W164" s="228">
        <v>60</v>
      </c>
      <c r="X164" s="229">
        <v>7.7000000000000002E-3</v>
      </c>
      <c r="Y164" s="228">
        <v>45.5</v>
      </c>
      <c r="Z164" s="228">
        <v>49</v>
      </c>
      <c r="AA164" s="228">
        <v>-3.5</v>
      </c>
      <c r="AB164" s="229">
        <v>5.8999999999999999E-3</v>
      </c>
      <c r="AC164" s="228">
        <v>45.5</v>
      </c>
      <c r="AD164" s="228">
        <v>49</v>
      </c>
      <c r="AE164" s="228">
        <v>-3.5</v>
      </c>
      <c r="AF164" s="229">
        <v>5.8999999999999999E-3</v>
      </c>
      <c r="AG164" s="228">
        <v>90</v>
      </c>
      <c r="AH164" s="228">
        <v>97</v>
      </c>
      <c r="AI164" s="228">
        <v>-7</v>
      </c>
      <c r="AJ164" s="229">
        <v>1.17E-2</v>
      </c>
      <c r="AK164" s="228">
        <v>137</v>
      </c>
      <c r="AL164" s="228">
        <v>131</v>
      </c>
      <c r="AM164" s="228">
        <v>6</v>
      </c>
      <c r="AN164" s="229">
        <v>1.7899999999999999E-2</v>
      </c>
      <c r="AO164" s="231">
        <v>7655.09</v>
      </c>
      <c r="AP164" s="231">
        <v>7703.67</v>
      </c>
      <c r="AQ164" s="228">
        <v>0</v>
      </c>
      <c r="AR164" s="230">
        <v>279500</v>
      </c>
      <c r="AS164" s="230">
        <v>343625</v>
      </c>
      <c r="AT164" s="230">
        <v>-64125</v>
      </c>
      <c r="AU164" s="229">
        <v>-0.18659999999999999</v>
      </c>
      <c r="AV164" s="230">
        <v>267125</v>
      </c>
      <c r="AW164" s="230">
        <v>329375</v>
      </c>
      <c r="AX164" s="230">
        <v>-62250</v>
      </c>
      <c r="AY164" s="229">
        <v>-0.189</v>
      </c>
      <c r="AZ164" s="230">
        <v>12000</v>
      </c>
      <c r="BA164" s="230">
        <v>14125</v>
      </c>
      <c r="BB164" s="230">
        <v>-2125</v>
      </c>
      <c r="BC164" s="229">
        <v>-0.15040000000000001</v>
      </c>
      <c r="BD164" s="228">
        <v>375</v>
      </c>
      <c r="BE164" s="228">
        <v>125</v>
      </c>
      <c r="BF164" s="228">
        <v>250</v>
      </c>
      <c r="BG164" s="229">
        <v>2</v>
      </c>
      <c r="BH164" s="230">
        <v>1014500</v>
      </c>
      <c r="BI164" s="230">
        <v>914500</v>
      </c>
      <c r="BJ164" s="230">
        <v>100000</v>
      </c>
      <c r="BK164" s="229">
        <v>0.10929999999999999</v>
      </c>
      <c r="BL164" s="230">
        <v>530000</v>
      </c>
      <c r="BM164" s="230">
        <v>501000</v>
      </c>
      <c r="BN164" s="230">
        <v>29000</v>
      </c>
      <c r="BO164" s="229">
        <v>5.79E-2</v>
      </c>
      <c r="BP164" s="230">
        <v>1824000</v>
      </c>
      <c r="BQ164" s="230">
        <v>1759125</v>
      </c>
      <c r="BR164" s="230">
        <v>64875</v>
      </c>
      <c r="BS164" s="229">
        <v>3.6900000000000002E-2</v>
      </c>
      <c r="BT164" s="230">
        <v>146790</v>
      </c>
      <c r="BU164" s="230">
        <v>239962</v>
      </c>
      <c r="BV164" s="230">
        <v>-93172</v>
      </c>
      <c r="BW164" s="229">
        <v>-0.38829999999999998</v>
      </c>
      <c r="BX164" s="230">
        <v>2643125</v>
      </c>
      <c r="BY164" s="230">
        <v>2608750</v>
      </c>
      <c r="BZ164" s="230">
        <v>34375</v>
      </c>
      <c r="CA164" s="229">
        <v>1.32E-2</v>
      </c>
      <c r="CB164" s="230">
        <v>2612750</v>
      </c>
      <c r="CC164" s="230">
        <v>2580625</v>
      </c>
      <c r="CD164" s="230">
        <v>32125</v>
      </c>
      <c r="CE164" s="229">
        <v>1.24E-2</v>
      </c>
      <c r="CF164" s="230">
        <v>30125</v>
      </c>
      <c r="CG164" s="230">
        <v>28000</v>
      </c>
      <c r="CH164" s="230">
        <v>2125</v>
      </c>
      <c r="CI164" s="229">
        <v>7.5899999999999995E-2</v>
      </c>
      <c r="CJ164" s="228">
        <v>250</v>
      </c>
      <c r="CK164" s="228">
        <v>125</v>
      </c>
      <c r="CL164" s="228">
        <v>125</v>
      </c>
      <c r="CM164" s="229">
        <v>1</v>
      </c>
      <c r="CN164" s="230">
        <v>346625</v>
      </c>
      <c r="CO164" s="230">
        <v>321375</v>
      </c>
      <c r="CP164" s="230">
        <v>25250</v>
      </c>
      <c r="CQ164" s="229">
        <v>7.8600000000000003E-2</v>
      </c>
      <c r="CR164" s="230">
        <v>254125</v>
      </c>
      <c r="CS164" s="230">
        <v>230625</v>
      </c>
      <c r="CT164" s="230">
        <v>23500</v>
      </c>
      <c r="CU164" s="229">
        <v>0.1019</v>
      </c>
      <c r="CV164" s="230">
        <v>3243875</v>
      </c>
      <c r="CW164" s="230">
        <v>3160750</v>
      </c>
      <c r="CX164" s="230">
        <v>83125</v>
      </c>
      <c r="CY164" s="229">
        <v>2.63E-2</v>
      </c>
      <c r="CZ164" s="228">
        <v>22.57</v>
      </c>
      <c r="DA164" s="228">
        <v>22.15</v>
      </c>
      <c r="DB164" s="228">
        <v>0.42</v>
      </c>
      <c r="DC164" s="228">
        <v>0.42</v>
      </c>
      <c r="DD164" s="228">
        <v>38.56</v>
      </c>
      <c r="DE164" s="228">
        <v>38.65</v>
      </c>
      <c r="DF164" s="228">
        <v>-15.99</v>
      </c>
      <c r="DG164" s="228">
        <v>-0.09</v>
      </c>
      <c r="DH164" s="228">
        <v>21.89</v>
      </c>
      <c r="DI164" s="228">
        <v>21.76</v>
      </c>
      <c r="DJ164" s="228">
        <v>0.13</v>
      </c>
      <c r="DK164" s="228">
        <v>0.13</v>
      </c>
      <c r="DL164" s="228">
        <v>23.87</v>
      </c>
      <c r="DM164" s="228">
        <v>22.87</v>
      </c>
      <c r="DN164" s="228">
        <v>1</v>
      </c>
      <c r="DO164" s="228">
        <v>1</v>
      </c>
      <c r="DP164" s="228">
        <v>0.73</v>
      </c>
      <c r="DQ164" s="228">
        <v>0.72</v>
      </c>
      <c r="DR164" s="228">
        <v>0.01</v>
      </c>
      <c r="DS164" s="229">
        <v>1.3899999999999999E-2</v>
      </c>
      <c r="DT164" s="231">
        <v>8000</v>
      </c>
      <c r="DU164" s="231">
        <v>7000</v>
      </c>
      <c r="DV164" s="228">
        <v>0.52</v>
      </c>
      <c r="DW164" s="228">
        <v>0.55000000000000004</v>
      </c>
      <c r="DX164" s="228">
        <v>-0.03</v>
      </c>
      <c r="DY164" s="229">
        <v>-5.45E-2</v>
      </c>
      <c r="DZ164" s="229">
        <v>1.15E-2</v>
      </c>
      <c r="EA164" s="230">
        <v>28125</v>
      </c>
      <c r="EB164" s="229">
        <v>5.7999999999999996E-3</v>
      </c>
      <c r="EC164" s="229">
        <v>1.15E-2</v>
      </c>
      <c r="ED164" s="228">
        <v>48.58</v>
      </c>
      <c r="EE164" s="229">
        <v>6.3E-3</v>
      </c>
      <c r="EF164" s="230">
        <v>56135</v>
      </c>
      <c r="EG164" s="230">
        <v>148657</v>
      </c>
      <c r="EH164" s="229">
        <v>-0.62239999999999995</v>
      </c>
      <c r="EI164" s="229">
        <v>0.38240000000000002</v>
      </c>
      <c r="EJ164" s="231">
        <v>80710.92</v>
      </c>
      <c r="EK164" s="231">
        <v>39729.019999999997</v>
      </c>
      <c r="EL164" s="231">
        <v>21402.1</v>
      </c>
      <c r="EM164" s="231">
        <v>9330</v>
      </c>
      <c r="EN164" s="231">
        <v>141842.04</v>
      </c>
      <c r="EO164" s="231">
        <v>136630.42000000001</v>
      </c>
      <c r="EP164" s="231">
        <v>5211.62</v>
      </c>
      <c r="EQ164" s="229">
        <v>3.8100000000000002E-2</v>
      </c>
      <c r="ER164" s="231">
        <v>27318</v>
      </c>
      <c r="ES164" s="231">
        <v>18659</v>
      </c>
      <c r="ET164" s="231">
        <v>204023</v>
      </c>
      <c r="EU164" s="231">
        <v>8688405</v>
      </c>
      <c r="EV164" s="231">
        <v>250000</v>
      </c>
      <c r="EW164" s="231">
        <v>242317</v>
      </c>
      <c r="EX164" s="231">
        <v>7683</v>
      </c>
      <c r="EY164" s="229">
        <v>3.1699999999999999E-2</v>
      </c>
      <c r="EZ164" s="229">
        <v>0.37340000000000001</v>
      </c>
      <c r="FA164" s="227" t="s">
        <v>555</v>
      </c>
      <c r="FB164" s="161">
        <f t="shared" si="4"/>
        <v>0</v>
      </c>
    </row>
    <row r="165" spans="1:158" ht="17.25" thickBot="1" x14ac:dyDescent="0.3">
      <c r="A165" s="226">
        <v>46023</v>
      </c>
      <c r="B165" s="227" t="s">
        <v>161</v>
      </c>
      <c r="C165" s="227" t="s">
        <v>276</v>
      </c>
      <c r="D165" s="228">
        <v>1900</v>
      </c>
      <c r="E165" s="228">
        <v>268.45</v>
      </c>
      <c r="F165" s="228">
        <v>265.60000000000002</v>
      </c>
      <c r="G165" s="228">
        <v>2.85</v>
      </c>
      <c r="H165" s="229">
        <v>1.0699999999999999E-2</v>
      </c>
      <c r="I165" s="228">
        <v>266.8</v>
      </c>
      <c r="J165" s="228">
        <v>264.60000000000002</v>
      </c>
      <c r="K165" s="228">
        <v>2.2000000000000002</v>
      </c>
      <c r="L165" s="229">
        <v>8.3000000000000001E-3</v>
      </c>
      <c r="M165" s="228">
        <v>268.45</v>
      </c>
      <c r="N165" s="228">
        <v>265.60000000000002</v>
      </c>
      <c r="O165" s="228">
        <v>2.85</v>
      </c>
      <c r="P165" s="229">
        <v>1.0699999999999999E-2</v>
      </c>
      <c r="Q165" s="228">
        <v>267.2</v>
      </c>
      <c r="R165" s="228">
        <v>264.45</v>
      </c>
      <c r="S165" s="228">
        <v>2.75</v>
      </c>
      <c r="T165" s="229">
        <v>1.04E-2</v>
      </c>
      <c r="U165" s="228">
        <v>268.95</v>
      </c>
      <c r="V165" s="228">
        <v>266.14999999999998</v>
      </c>
      <c r="W165" s="228">
        <v>2.8</v>
      </c>
      <c r="X165" s="229">
        <v>1.0500000000000001E-2</v>
      </c>
      <c r="Y165" s="228">
        <v>1.65</v>
      </c>
      <c r="Z165" s="228">
        <v>1</v>
      </c>
      <c r="AA165" s="228">
        <v>0.65</v>
      </c>
      <c r="AB165" s="229">
        <v>6.1999999999999998E-3</v>
      </c>
      <c r="AC165" s="228">
        <v>1.65</v>
      </c>
      <c r="AD165" s="228">
        <v>1</v>
      </c>
      <c r="AE165" s="228">
        <v>0.65</v>
      </c>
      <c r="AF165" s="229">
        <v>6.1999999999999998E-3</v>
      </c>
      <c r="AG165" s="228">
        <v>0.4</v>
      </c>
      <c r="AH165" s="228">
        <v>-0.15</v>
      </c>
      <c r="AI165" s="228">
        <v>0.55000000000000004</v>
      </c>
      <c r="AJ165" s="229">
        <v>1.5E-3</v>
      </c>
      <c r="AK165" s="228">
        <v>2.15</v>
      </c>
      <c r="AL165" s="228">
        <v>1.55</v>
      </c>
      <c r="AM165" s="228">
        <v>0.6</v>
      </c>
      <c r="AN165" s="229">
        <v>8.0999999999999996E-3</v>
      </c>
      <c r="AO165" s="228">
        <v>267.39</v>
      </c>
      <c r="AP165" s="228">
        <v>266.08999999999997</v>
      </c>
      <c r="AQ165" s="228">
        <v>0</v>
      </c>
      <c r="AR165" s="230">
        <v>5350400</v>
      </c>
      <c r="AS165" s="230">
        <v>8061700</v>
      </c>
      <c r="AT165" s="230">
        <v>-2711300</v>
      </c>
      <c r="AU165" s="229">
        <v>-0.33629999999999999</v>
      </c>
      <c r="AV165" s="230">
        <v>4848800</v>
      </c>
      <c r="AW165" s="230">
        <v>7448000</v>
      </c>
      <c r="AX165" s="230">
        <v>-2599200</v>
      </c>
      <c r="AY165" s="229">
        <v>-0.34899999999999998</v>
      </c>
      <c r="AZ165" s="230">
        <v>383800</v>
      </c>
      <c r="BA165" s="230">
        <v>579500</v>
      </c>
      <c r="BB165" s="230">
        <v>-195700</v>
      </c>
      <c r="BC165" s="229">
        <v>-0.3377</v>
      </c>
      <c r="BD165" s="230">
        <v>117800</v>
      </c>
      <c r="BE165" s="230">
        <v>34200</v>
      </c>
      <c r="BF165" s="230">
        <v>83600</v>
      </c>
      <c r="BG165" s="229">
        <v>2.4443999999999999</v>
      </c>
      <c r="BH165" s="230">
        <v>17158900</v>
      </c>
      <c r="BI165" s="230">
        <v>19176700</v>
      </c>
      <c r="BJ165" s="230">
        <v>-2017800</v>
      </c>
      <c r="BK165" s="229">
        <v>-0.1052</v>
      </c>
      <c r="BL165" s="230">
        <v>6207300</v>
      </c>
      <c r="BM165" s="230">
        <v>8664000</v>
      </c>
      <c r="BN165" s="230">
        <v>-2456700</v>
      </c>
      <c r="BO165" s="229">
        <v>-0.28360000000000002</v>
      </c>
      <c r="BP165" s="230">
        <v>28716600</v>
      </c>
      <c r="BQ165" s="230">
        <v>35902400</v>
      </c>
      <c r="BR165" s="230">
        <v>-7185800</v>
      </c>
      <c r="BS165" s="229">
        <v>-0.2001</v>
      </c>
      <c r="BT165" s="230">
        <v>4386952</v>
      </c>
      <c r="BU165" s="230">
        <v>5280319</v>
      </c>
      <c r="BV165" s="230">
        <v>-893367</v>
      </c>
      <c r="BW165" s="229">
        <v>-0.16919999999999999</v>
      </c>
      <c r="BX165" s="230">
        <v>91792800</v>
      </c>
      <c r="BY165" s="230">
        <v>91912500</v>
      </c>
      <c r="BZ165" s="230">
        <v>-119700</v>
      </c>
      <c r="CA165" s="229">
        <v>-1.2999999999999999E-3</v>
      </c>
      <c r="CB165" s="230">
        <v>83658900</v>
      </c>
      <c r="CC165" s="230">
        <v>83833700</v>
      </c>
      <c r="CD165" s="230">
        <v>-174800</v>
      </c>
      <c r="CE165" s="229">
        <v>-2.0999999999999999E-3</v>
      </c>
      <c r="CF165" s="230">
        <v>8014200</v>
      </c>
      <c r="CG165" s="230">
        <v>8046500</v>
      </c>
      <c r="CH165" s="230">
        <v>-32300</v>
      </c>
      <c r="CI165" s="229">
        <v>-4.0000000000000001E-3</v>
      </c>
      <c r="CJ165" s="230">
        <v>119700</v>
      </c>
      <c r="CK165" s="230">
        <v>32300</v>
      </c>
      <c r="CL165" s="230">
        <v>87400</v>
      </c>
      <c r="CM165" s="229">
        <v>2.7059000000000002</v>
      </c>
      <c r="CN165" s="230">
        <v>20607400</v>
      </c>
      <c r="CO165" s="230">
        <v>17489500</v>
      </c>
      <c r="CP165" s="230">
        <v>3117900</v>
      </c>
      <c r="CQ165" s="229">
        <v>0.17829999999999999</v>
      </c>
      <c r="CR165" s="230">
        <v>16319100</v>
      </c>
      <c r="CS165" s="230">
        <v>15458400</v>
      </c>
      <c r="CT165" s="230">
        <v>860700</v>
      </c>
      <c r="CU165" s="229">
        <v>5.57E-2</v>
      </c>
      <c r="CV165" s="230">
        <v>128719300</v>
      </c>
      <c r="CW165" s="230">
        <v>124860400</v>
      </c>
      <c r="CX165" s="230">
        <v>3858900</v>
      </c>
      <c r="CY165" s="229">
        <v>3.09E-2</v>
      </c>
      <c r="CZ165" s="228">
        <v>17.54</v>
      </c>
      <c r="DA165" s="228">
        <v>17.46</v>
      </c>
      <c r="DB165" s="228">
        <v>0.08</v>
      </c>
      <c r="DC165" s="228">
        <v>0.08</v>
      </c>
      <c r="DD165" s="228">
        <v>27.56</v>
      </c>
      <c r="DE165" s="228">
        <v>27.6</v>
      </c>
      <c r="DF165" s="228">
        <v>-10.02</v>
      </c>
      <c r="DG165" s="228">
        <v>-0.04</v>
      </c>
      <c r="DH165" s="228">
        <v>17.12</v>
      </c>
      <c r="DI165" s="228">
        <v>17.09</v>
      </c>
      <c r="DJ165" s="228">
        <v>0.03</v>
      </c>
      <c r="DK165" s="228">
        <v>0.03</v>
      </c>
      <c r="DL165" s="228">
        <v>18.71</v>
      </c>
      <c r="DM165" s="228">
        <v>18.3</v>
      </c>
      <c r="DN165" s="228">
        <v>0.41</v>
      </c>
      <c r="DO165" s="228">
        <v>0.41</v>
      </c>
      <c r="DP165" s="228">
        <v>0.79</v>
      </c>
      <c r="DQ165" s="228">
        <v>0.88</v>
      </c>
      <c r="DR165" s="228">
        <v>-0.09</v>
      </c>
      <c r="DS165" s="229">
        <v>-0.1023</v>
      </c>
      <c r="DT165" s="228">
        <v>270</v>
      </c>
      <c r="DU165" s="228">
        <v>250</v>
      </c>
      <c r="DV165" s="228">
        <v>0.36</v>
      </c>
      <c r="DW165" s="228">
        <v>0.45</v>
      </c>
      <c r="DX165" s="228">
        <v>-0.09</v>
      </c>
      <c r="DY165" s="229">
        <v>-0.2</v>
      </c>
      <c r="DZ165" s="229">
        <v>8.8599999999999998E-2</v>
      </c>
      <c r="EA165" s="230">
        <v>8078800</v>
      </c>
      <c r="EB165" s="229">
        <v>-4.7000000000000002E-3</v>
      </c>
      <c r="EC165" s="229">
        <v>8.8599999999999998E-2</v>
      </c>
      <c r="ED165" s="228">
        <v>-1.3</v>
      </c>
      <c r="EE165" s="229">
        <v>-4.8999999999999998E-3</v>
      </c>
      <c r="EF165" s="230">
        <v>2221820</v>
      </c>
      <c r="EG165" s="230">
        <v>2966769</v>
      </c>
      <c r="EH165" s="229">
        <v>-0.25109999999999999</v>
      </c>
      <c r="EI165" s="229">
        <v>0.50649999999999995</v>
      </c>
      <c r="EJ165" s="231">
        <v>47937.73</v>
      </c>
      <c r="EK165" s="231">
        <v>16051.51</v>
      </c>
      <c r="EL165" s="231">
        <v>14302.05</v>
      </c>
      <c r="EM165" s="231">
        <v>16253</v>
      </c>
      <c r="EN165" s="231">
        <v>78291.289999999994</v>
      </c>
      <c r="EO165" s="231">
        <v>96394.72</v>
      </c>
      <c r="EP165" s="231">
        <v>-18103.43</v>
      </c>
      <c r="EQ165" s="229">
        <v>-0.18779999999999999</v>
      </c>
      <c r="ER165" s="231">
        <v>57546</v>
      </c>
      <c r="ES165" s="231">
        <v>43366</v>
      </c>
      <c r="ET165" s="231">
        <v>246318</v>
      </c>
      <c r="EU165" s="231">
        <v>678857930</v>
      </c>
      <c r="EV165" s="231">
        <v>347230</v>
      </c>
      <c r="EW165" s="231">
        <v>333743</v>
      </c>
      <c r="EX165" s="231">
        <v>13487</v>
      </c>
      <c r="EY165" s="229">
        <v>4.0399999999999998E-2</v>
      </c>
      <c r="EZ165" s="229">
        <v>0.18959999999999999</v>
      </c>
      <c r="FA165" s="227" t="s">
        <v>556</v>
      </c>
      <c r="FB165" s="161">
        <f t="shared" si="4"/>
        <v>0</v>
      </c>
    </row>
    <row r="166" spans="1:158" ht="17.25" thickBot="1" x14ac:dyDescent="0.3">
      <c r="A166" s="226">
        <v>46023</v>
      </c>
      <c r="B166" s="227" t="s">
        <v>184</v>
      </c>
      <c r="C166" s="227" t="s">
        <v>687</v>
      </c>
      <c r="D166" s="228">
        <v>50</v>
      </c>
      <c r="E166" s="231">
        <v>18592</v>
      </c>
      <c r="F166" s="231">
        <v>18390</v>
      </c>
      <c r="G166" s="228">
        <v>202</v>
      </c>
      <c r="H166" s="229">
        <v>1.0999999999999999E-2</v>
      </c>
      <c r="I166" s="231">
        <v>18482</v>
      </c>
      <c r="J166" s="231">
        <v>18310</v>
      </c>
      <c r="K166" s="228">
        <v>172</v>
      </c>
      <c r="L166" s="229">
        <v>9.4000000000000004E-3</v>
      </c>
      <c r="M166" s="231">
        <v>18592</v>
      </c>
      <c r="N166" s="231">
        <v>18390</v>
      </c>
      <c r="O166" s="228">
        <v>202</v>
      </c>
      <c r="P166" s="229">
        <v>1.0999999999999999E-2</v>
      </c>
      <c r="Q166" s="231">
        <v>18686</v>
      </c>
      <c r="R166" s="231">
        <v>18545</v>
      </c>
      <c r="S166" s="228">
        <v>141</v>
      </c>
      <c r="T166" s="229">
        <v>7.6E-3</v>
      </c>
      <c r="U166" s="231">
        <v>18430</v>
      </c>
      <c r="V166" s="231">
        <v>18430</v>
      </c>
      <c r="W166" s="228">
        <v>0</v>
      </c>
      <c r="X166" s="229">
        <v>0</v>
      </c>
      <c r="Y166" s="228">
        <v>110</v>
      </c>
      <c r="Z166" s="228">
        <v>80</v>
      </c>
      <c r="AA166" s="228">
        <v>30</v>
      </c>
      <c r="AB166" s="229">
        <v>6.0000000000000001E-3</v>
      </c>
      <c r="AC166" s="228">
        <v>110</v>
      </c>
      <c r="AD166" s="228">
        <v>80</v>
      </c>
      <c r="AE166" s="228">
        <v>30</v>
      </c>
      <c r="AF166" s="229">
        <v>6.0000000000000001E-3</v>
      </c>
      <c r="AG166" s="228">
        <v>204</v>
      </c>
      <c r="AH166" s="228">
        <v>235</v>
      </c>
      <c r="AI166" s="228">
        <v>-31</v>
      </c>
      <c r="AJ166" s="229">
        <v>1.0999999999999999E-2</v>
      </c>
      <c r="AK166" s="228">
        <v>-52</v>
      </c>
      <c r="AL166" s="228">
        <v>120</v>
      </c>
      <c r="AM166" s="228">
        <v>-172</v>
      </c>
      <c r="AN166" s="229">
        <v>-2.8E-3</v>
      </c>
      <c r="AO166" s="231">
        <v>18494.009999999998</v>
      </c>
      <c r="AP166" s="231">
        <v>18532.2</v>
      </c>
      <c r="AQ166" s="228">
        <v>0</v>
      </c>
      <c r="AR166" s="230">
        <v>23600</v>
      </c>
      <c r="AS166" s="230">
        <v>47600</v>
      </c>
      <c r="AT166" s="230">
        <v>-24000</v>
      </c>
      <c r="AU166" s="229">
        <v>-0.50419999999999998</v>
      </c>
      <c r="AV166" s="230">
        <v>21550</v>
      </c>
      <c r="AW166" s="230">
        <v>44500</v>
      </c>
      <c r="AX166" s="230">
        <v>-22950</v>
      </c>
      <c r="AY166" s="229">
        <v>-0.51570000000000005</v>
      </c>
      <c r="AZ166" s="230">
        <v>2050</v>
      </c>
      <c r="BA166" s="230">
        <v>3050</v>
      </c>
      <c r="BB166" s="230">
        <v>-1000</v>
      </c>
      <c r="BC166" s="229">
        <v>-0.32790000000000002</v>
      </c>
      <c r="BD166" s="228">
        <v>0</v>
      </c>
      <c r="BE166" s="228">
        <v>50</v>
      </c>
      <c r="BF166" s="228">
        <v>-50</v>
      </c>
      <c r="BG166" s="229">
        <v>-1</v>
      </c>
      <c r="BH166" s="230">
        <v>40000</v>
      </c>
      <c r="BI166" s="230">
        <v>72900</v>
      </c>
      <c r="BJ166" s="230">
        <v>-32900</v>
      </c>
      <c r="BK166" s="229">
        <v>-0.45129999999999998</v>
      </c>
      <c r="BL166" s="230">
        <v>12950</v>
      </c>
      <c r="BM166" s="230">
        <v>17250</v>
      </c>
      <c r="BN166" s="230">
        <v>-4300</v>
      </c>
      <c r="BO166" s="229">
        <v>-0.24929999999999999</v>
      </c>
      <c r="BP166" s="230">
        <v>76550</v>
      </c>
      <c r="BQ166" s="230">
        <v>137750</v>
      </c>
      <c r="BR166" s="230">
        <v>-61200</v>
      </c>
      <c r="BS166" s="229">
        <v>-0.44429999999999997</v>
      </c>
      <c r="BT166" s="230">
        <v>38067</v>
      </c>
      <c r="BU166" s="230">
        <v>68817</v>
      </c>
      <c r="BV166" s="230">
        <v>-30750</v>
      </c>
      <c r="BW166" s="229">
        <v>-0.44679999999999997</v>
      </c>
      <c r="BX166" s="230">
        <v>242750</v>
      </c>
      <c r="BY166" s="230">
        <v>239650</v>
      </c>
      <c r="BZ166" s="230">
        <v>3100</v>
      </c>
      <c r="CA166" s="229">
        <v>1.29E-2</v>
      </c>
      <c r="CB166" s="230">
        <v>237800</v>
      </c>
      <c r="CC166" s="230">
        <v>235100</v>
      </c>
      <c r="CD166" s="230">
        <v>2700</v>
      </c>
      <c r="CE166" s="229">
        <v>1.15E-2</v>
      </c>
      <c r="CF166" s="230">
        <v>4900</v>
      </c>
      <c r="CG166" s="230">
        <v>4500</v>
      </c>
      <c r="CH166" s="228">
        <v>400</v>
      </c>
      <c r="CI166" s="229">
        <v>8.8900000000000007E-2</v>
      </c>
      <c r="CJ166" s="228">
        <v>50</v>
      </c>
      <c r="CK166" s="228">
        <v>50</v>
      </c>
      <c r="CL166" s="228">
        <v>0</v>
      </c>
      <c r="CM166" s="229">
        <v>0</v>
      </c>
      <c r="CN166" s="230">
        <v>66400</v>
      </c>
      <c r="CO166" s="230">
        <v>70900</v>
      </c>
      <c r="CP166" s="230">
        <v>-4500</v>
      </c>
      <c r="CQ166" s="229">
        <v>-6.3500000000000001E-2</v>
      </c>
      <c r="CR166" s="230">
        <v>33150</v>
      </c>
      <c r="CS166" s="230">
        <v>31050</v>
      </c>
      <c r="CT166" s="230">
        <v>2100</v>
      </c>
      <c r="CU166" s="229">
        <v>6.7599999999999993E-2</v>
      </c>
      <c r="CV166" s="230">
        <v>342300</v>
      </c>
      <c r="CW166" s="230">
        <v>341600</v>
      </c>
      <c r="CX166" s="228">
        <v>700</v>
      </c>
      <c r="CY166" s="229">
        <v>2E-3</v>
      </c>
      <c r="CZ166" s="228">
        <v>32.049999999999997</v>
      </c>
      <c r="DA166" s="228">
        <v>31.79</v>
      </c>
      <c r="DB166" s="228">
        <v>0.26</v>
      </c>
      <c r="DC166" s="228">
        <v>0.26</v>
      </c>
      <c r="DD166" s="228">
        <v>57.39</v>
      </c>
      <c r="DE166" s="228">
        <v>57.52</v>
      </c>
      <c r="DF166" s="228">
        <v>-25.34</v>
      </c>
      <c r="DG166" s="228">
        <v>-0.13</v>
      </c>
      <c r="DH166" s="228">
        <v>32</v>
      </c>
      <c r="DI166" s="228">
        <v>32.119999999999997</v>
      </c>
      <c r="DJ166" s="228">
        <v>-0.12</v>
      </c>
      <c r="DK166" s="228">
        <v>-0.12</v>
      </c>
      <c r="DL166" s="228">
        <v>32.200000000000003</v>
      </c>
      <c r="DM166" s="228">
        <v>30.39</v>
      </c>
      <c r="DN166" s="228">
        <v>1.81</v>
      </c>
      <c r="DO166" s="228">
        <v>1.81</v>
      </c>
      <c r="DP166" s="228">
        <v>0.5</v>
      </c>
      <c r="DQ166" s="228">
        <v>0.44</v>
      </c>
      <c r="DR166" s="228">
        <v>0.06</v>
      </c>
      <c r="DS166" s="229">
        <v>0.13639999999999999</v>
      </c>
      <c r="DT166" s="231">
        <v>21500</v>
      </c>
      <c r="DU166" s="231">
        <v>18000</v>
      </c>
      <c r="DV166" s="228">
        <v>0.32</v>
      </c>
      <c r="DW166" s="228">
        <v>0.24</v>
      </c>
      <c r="DX166" s="228">
        <v>0.08</v>
      </c>
      <c r="DY166" s="229">
        <v>0.33329999999999999</v>
      </c>
      <c r="DZ166" s="229">
        <v>2.0400000000000001E-2</v>
      </c>
      <c r="EA166" s="230">
        <v>4550</v>
      </c>
      <c r="EB166" s="229">
        <v>5.1000000000000004E-3</v>
      </c>
      <c r="EC166" s="229">
        <v>2.0400000000000001E-2</v>
      </c>
      <c r="ED166" s="228">
        <v>38.19</v>
      </c>
      <c r="EE166" s="229">
        <v>2.0999999999999999E-3</v>
      </c>
      <c r="EF166" s="230">
        <v>11235</v>
      </c>
      <c r="EG166" s="230">
        <v>24391</v>
      </c>
      <c r="EH166" s="229">
        <v>-0.53939999999999999</v>
      </c>
      <c r="EI166" s="229">
        <v>0.29509999999999997</v>
      </c>
      <c r="EJ166" s="231">
        <v>7978.45</v>
      </c>
      <c r="EK166" s="231">
        <v>2333.8000000000002</v>
      </c>
      <c r="EL166" s="231">
        <v>4365.37</v>
      </c>
      <c r="EM166" s="231">
        <v>3159</v>
      </c>
      <c r="EN166" s="231">
        <v>14677.62</v>
      </c>
      <c r="EO166" s="231">
        <v>26270.12</v>
      </c>
      <c r="EP166" s="231">
        <v>-11592.5</v>
      </c>
      <c r="EQ166" s="229">
        <v>-0.44130000000000003</v>
      </c>
      <c r="ER166" s="231">
        <v>13087</v>
      </c>
      <c r="ES166" s="231">
        <v>6069</v>
      </c>
      <c r="ET166" s="231">
        <v>45137</v>
      </c>
      <c r="EU166" s="231">
        <v>1917916</v>
      </c>
      <c r="EV166" s="231">
        <v>64292</v>
      </c>
      <c r="EW166" s="231">
        <v>63810</v>
      </c>
      <c r="EX166" s="228">
        <v>482</v>
      </c>
      <c r="EY166" s="229">
        <v>7.6E-3</v>
      </c>
      <c r="EZ166" s="229">
        <v>0.17849999999999999</v>
      </c>
      <c r="FA166" s="227" t="s">
        <v>555</v>
      </c>
      <c r="FB166" s="161">
        <f t="shared" si="4"/>
        <v>0</v>
      </c>
    </row>
    <row r="167" spans="1:158" ht="17.25" thickBot="1" x14ac:dyDescent="0.3">
      <c r="A167" s="226">
        <v>46023</v>
      </c>
      <c r="B167" s="227" t="s">
        <v>170</v>
      </c>
      <c r="C167" s="227" t="s">
        <v>678</v>
      </c>
      <c r="D167" s="228">
        <v>2625</v>
      </c>
      <c r="E167" s="228">
        <v>171.08</v>
      </c>
      <c r="F167" s="228">
        <v>173.37</v>
      </c>
      <c r="G167" s="228">
        <v>-2.29</v>
      </c>
      <c r="H167" s="229">
        <v>-1.32E-2</v>
      </c>
      <c r="I167" s="228">
        <v>169.88</v>
      </c>
      <c r="J167" s="228">
        <v>172.21</v>
      </c>
      <c r="K167" s="228">
        <v>-2.33</v>
      </c>
      <c r="L167" s="229">
        <v>-1.35E-2</v>
      </c>
      <c r="M167" s="228">
        <v>171.08</v>
      </c>
      <c r="N167" s="228">
        <v>173.37</v>
      </c>
      <c r="O167" s="228">
        <v>-2.29</v>
      </c>
      <c r="P167" s="229">
        <v>-1.32E-2</v>
      </c>
      <c r="Q167" s="228">
        <v>171.8</v>
      </c>
      <c r="R167" s="228">
        <v>174.27</v>
      </c>
      <c r="S167" s="228">
        <v>-2.4700000000000002</v>
      </c>
      <c r="T167" s="229">
        <v>-1.4200000000000001E-2</v>
      </c>
      <c r="U167" s="228">
        <v>172.8</v>
      </c>
      <c r="V167" s="228">
        <v>174.8</v>
      </c>
      <c r="W167" s="228">
        <v>-2</v>
      </c>
      <c r="X167" s="229">
        <v>-1.14E-2</v>
      </c>
      <c r="Y167" s="228">
        <v>1.2</v>
      </c>
      <c r="Z167" s="228">
        <v>1.1599999999999999</v>
      </c>
      <c r="AA167" s="228">
        <v>0.04</v>
      </c>
      <c r="AB167" s="229">
        <v>7.1000000000000004E-3</v>
      </c>
      <c r="AC167" s="228">
        <v>1.2</v>
      </c>
      <c r="AD167" s="228">
        <v>1.1599999999999999</v>
      </c>
      <c r="AE167" s="228">
        <v>0.04</v>
      </c>
      <c r="AF167" s="229">
        <v>7.1000000000000004E-3</v>
      </c>
      <c r="AG167" s="228">
        <v>1.92</v>
      </c>
      <c r="AH167" s="228">
        <v>2.06</v>
      </c>
      <c r="AI167" s="228">
        <v>-0.14000000000000001</v>
      </c>
      <c r="AJ167" s="229">
        <v>1.1299999999999999E-2</v>
      </c>
      <c r="AK167" s="228">
        <v>2.92</v>
      </c>
      <c r="AL167" s="228">
        <v>2.59</v>
      </c>
      <c r="AM167" s="228">
        <v>0.33</v>
      </c>
      <c r="AN167" s="229">
        <v>1.72E-2</v>
      </c>
      <c r="AO167" s="228">
        <v>171.51</v>
      </c>
      <c r="AP167" s="228">
        <v>172.62</v>
      </c>
      <c r="AQ167" s="228">
        <v>0</v>
      </c>
      <c r="AR167" s="230">
        <v>1947750</v>
      </c>
      <c r="AS167" s="230">
        <v>2370375</v>
      </c>
      <c r="AT167" s="230">
        <v>-422625</v>
      </c>
      <c r="AU167" s="229">
        <v>-0.17829999999999999</v>
      </c>
      <c r="AV167" s="230">
        <v>1795500</v>
      </c>
      <c r="AW167" s="230">
        <v>2231250</v>
      </c>
      <c r="AX167" s="230">
        <v>-435750</v>
      </c>
      <c r="AY167" s="229">
        <v>-0.1953</v>
      </c>
      <c r="AZ167" s="230">
        <v>136500</v>
      </c>
      <c r="BA167" s="230">
        <v>128625</v>
      </c>
      <c r="BB167" s="230">
        <v>7875</v>
      </c>
      <c r="BC167" s="229">
        <v>6.1199999999999997E-2</v>
      </c>
      <c r="BD167" s="230">
        <v>15750</v>
      </c>
      <c r="BE167" s="230">
        <v>10500</v>
      </c>
      <c r="BF167" s="230">
        <v>5250</v>
      </c>
      <c r="BG167" s="229">
        <v>0.5</v>
      </c>
      <c r="BH167" s="230">
        <v>2359875</v>
      </c>
      <c r="BI167" s="230">
        <v>2895375</v>
      </c>
      <c r="BJ167" s="230">
        <v>-535500</v>
      </c>
      <c r="BK167" s="229">
        <v>-0.185</v>
      </c>
      <c r="BL167" s="230">
        <v>1139250</v>
      </c>
      <c r="BM167" s="230">
        <v>414750</v>
      </c>
      <c r="BN167" s="230">
        <v>724500</v>
      </c>
      <c r="BO167" s="229">
        <v>1.7467999999999999</v>
      </c>
      <c r="BP167" s="230">
        <v>5446875</v>
      </c>
      <c r="BQ167" s="230">
        <v>5680500</v>
      </c>
      <c r="BR167" s="230">
        <v>-233625</v>
      </c>
      <c r="BS167" s="229">
        <v>-4.1099999999999998E-2</v>
      </c>
      <c r="BT167" s="230">
        <v>2244541</v>
      </c>
      <c r="BU167" s="230">
        <v>1514663</v>
      </c>
      <c r="BV167" s="230">
        <v>729878</v>
      </c>
      <c r="BW167" s="229">
        <v>0.4819</v>
      </c>
      <c r="BX167" s="230">
        <v>25772250</v>
      </c>
      <c r="BY167" s="230">
        <v>25507125</v>
      </c>
      <c r="BZ167" s="230">
        <v>265125</v>
      </c>
      <c r="CA167" s="229">
        <v>1.04E-2</v>
      </c>
      <c r="CB167" s="230">
        <v>24701250</v>
      </c>
      <c r="CC167" s="230">
        <v>24512250</v>
      </c>
      <c r="CD167" s="230">
        <v>189000</v>
      </c>
      <c r="CE167" s="229">
        <v>7.7000000000000002E-3</v>
      </c>
      <c r="CF167" s="230">
        <v>1050000</v>
      </c>
      <c r="CG167" s="230">
        <v>984375</v>
      </c>
      <c r="CH167" s="230">
        <v>65625</v>
      </c>
      <c r="CI167" s="229">
        <v>6.6699999999999995E-2</v>
      </c>
      <c r="CJ167" s="230">
        <v>21000</v>
      </c>
      <c r="CK167" s="230">
        <v>10500</v>
      </c>
      <c r="CL167" s="230">
        <v>10500</v>
      </c>
      <c r="CM167" s="229">
        <v>1</v>
      </c>
      <c r="CN167" s="230">
        <v>5011125</v>
      </c>
      <c r="CO167" s="230">
        <v>4641000</v>
      </c>
      <c r="CP167" s="230">
        <v>370125</v>
      </c>
      <c r="CQ167" s="229">
        <v>7.9799999999999996E-2</v>
      </c>
      <c r="CR167" s="230">
        <v>3577875</v>
      </c>
      <c r="CS167" s="230">
        <v>3265500</v>
      </c>
      <c r="CT167" s="230">
        <v>312375</v>
      </c>
      <c r="CU167" s="229">
        <v>9.5699999999999993E-2</v>
      </c>
      <c r="CV167" s="230">
        <v>34361250</v>
      </c>
      <c r="CW167" s="230">
        <v>33413625</v>
      </c>
      <c r="CX167" s="230">
        <v>947625</v>
      </c>
      <c r="CY167" s="229">
        <v>2.8400000000000002E-2</v>
      </c>
      <c r="CZ167" s="228">
        <v>31.36</v>
      </c>
      <c r="DA167" s="228">
        <v>31.26</v>
      </c>
      <c r="DB167" s="228">
        <v>0.1</v>
      </c>
      <c r="DC167" s="228">
        <v>0.1</v>
      </c>
      <c r="DD167" s="228">
        <v>43.18</v>
      </c>
      <c r="DE167" s="228">
        <v>43.25</v>
      </c>
      <c r="DF167" s="228">
        <v>-11.82</v>
      </c>
      <c r="DG167" s="228">
        <v>-7.0000000000000007E-2</v>
      </c>
      <c r="DH167" s="228">
        <v>31.43</v>
      </c>
      <c r="DI167" s="228">
        <v>31.41</v>
      </c>
      <c r="DJ167" s="228">
        <v>0.02</v>
      </c>
      <c r="DK167" s="228">
        <v>0.02</v>
      </c>
      <c r="DL167" s="228">
        <v>31.2</v>
      </c>
      <c r="DM167" s="228">
        <v>30.24</v>
      </c>
      <c r="DN167" s="228">
        <v>0.96</v>
      </c>
      <c r="DO167" s="228">
        <v>0.96</v>
      </c>
      <c r="DP167" s="228">
        <v>0.71</v>
      </c>
      <c r="DQ167" s="228">
        <v>0.7</v>
      </c>
      <c r="DR167" s="228">
        <v>0.01</v>
      </c>
      <c r="DS167" s="229">
        <v>1.43E-2</v>
      </c>
      <c r="DT167" s="228">
        <v>180</v>
      </c>
      <c r="DU167" s="228">
        <v>165</v>
      </c>
      <c r="DV167" s="228">
        <v>0.48</v>
      </c>
      <c r="DW167" s="228">
        <v>0.14000000000000001</v>
      </c>
      <c r="DX167" s="228">
        <v>0.34</v>
      </c>
      <c r="DY167" s="229">
        <v>2.4285999999999999</v>
      </c>
      <c r="DZ167" s="229">
        <v>4.1599999999999998E-2</v>
      </c>
      <c r="EA167" s="230">
        <v>994875</v>
      </c>
      <c r="EB167" s="229">
        <v>4.1999999999999997E-3</v>
      </c>
      <c r="EC167" s="229">
        <v>4.1599999999999998E-2</v>
      </c>
      <c r="ED167" s="228">
        <v>1.1100000000000001</v>
      </c>
      <c r="EE167" s="229">
        <v>6.4999999999999997E-3</v>
      </c>
      <c r="EF167" s="230">
        <v>1041412</v>
      </c>
      <c r="EG167" s="230">
        <v>596744</v>
      </c>
      <c r="EH167" s="229">
        <v>0.74519999999999997</v>
      </c>
      <c r="EI167" s="229">
        <v>0.46400000000000002</v>
      </c>
      <c r="EJ167" s="231">
        <v>4342.32</v>
      </c>
      <c r="EK167" s="231">
        <v>1936.13</v>
      </c>
      <c r="EL167" s="231">
        <v>3342.39</v>
      </c>
      <c r="EM167" s="231">
        <v>5438</v>
      </c>
      <c r="EN167" s="231">
        <v>9620.84</v>
      </c>
      <c r="EO167" s="231">
        <v>10271.07</v>
      </c>
      <c r="EP167" s="228">
        <v>-650.23</v>
      </c>
      <c r="EQ167" s="229">
        <v>-6.3299999999999995E-2</v>
      </c>
      <c r="ER167" s="231">
        <v>9293</v>
      </c>
      <c r="ES167" s="231">
        <v>6321</v>
      </c>
      <c r="ET167" s="231">
        <v>44099</v>
      </c>
      <c r="EU167" s="231">
        <v>107697729</v>
      </c>
      <c r="EV167" s="231">
        <v>59713</v>
      </c>
      <c r="EW167" s="231">
        <v>58671</v>
      </c>
      <c r="EX167" s="231">
        <v>1042</v>
      </c>
      <c r="EY167" s="229">
        <v>1.78E-2</v>
      </c>
      <c r="EZ167" s="229">
        <v>0.31909999999999999</v>
      </c>
      <c r="FA167" s="227" t="s">
        <v>567</v>
      </c>
      <c r="FB167" s="161">
        <f t="shared" si="4"/>
        <v>0</v>
      </c>
    </row>
    <row r="168" spans="1:158" ht="17.25" thickBot="1" x14ac:dyDescent="0.3">
      <c r="A168" s="226">
        <v>46023</v>
      </c>
      <c r="B168" s="227" t="s">
        <v>694</v>
      </c>
      <c r="C168" s="227" t="s">
        <v>690</v>
      </c>
      <c r="D168" s="228">
        <v>575</v>
      </c>
      <c r="E168" s="228">
        <v>852.05</v>
      </c>
      <c r="F168" s="228">
        <v>844.45</v>
      </c>
      <c r="G168" s="228">
        <v>7.6</v>
      </c>
      <c r="H168" s="229">
        <v>8.9999999999999993E-3</v>
      </c>
      <c r="I168" s="228">
        <v>847.2</v>
      </c>
      <c r="J168" s="228">
        <v>842.15</v>
      </c>
      <c r="K168" s="228">
        <v>5.05</v>
      </c>
      <c r="L168" s="229">
        <v>6.0000000000000001E-3</v>
      </c>
      <c r="M168" s="228">
        <v>852.05</v>
      </c>
      <c r="N168" s="228">
        <v>844.45</v>
      </c>
      <c r="O168" s="228">
        <v>7.6</v>
      </c>
      <c r="P168" s="229">
        <v>8.9999999999999993E-3</v>
      </c>
      <c r="Q168" s="228">
        <v>853.85</v>
      </c>
      <c r="R168" s="228">
        <v>844.8</v>
      </c>
      <c r="S168" s="228">
        <v>9.0500000000000007</v>
      </c>
      <c r="T168" s="229">
        <v>1.0699999999999999E-2</v>
      </c>
      <c r="U168" s="228">
        <v>858.75</v>
      </c>
      <c r="V168" s="228">
        <v>839.5</v>
      </c>
      <c r="W168" s="228">
        <v>19.25</v>
      </c>
      <c r="X168" s="229">
        <v>2.29E-2</v>
      </c>
      <c r="Y168" s="228">
        <v>4.8499999999999996</v>
      </c>
      <c r="Z168" s="228">
        <v>2.2999999999999998</v>
      </c>
      <c r="AA168" s="228">
        <v>2.5499999999999998</v>
      </c>
      <c r="AB168" s="229">
        <v>5.7000000000000002E-3</v>
      </c>
      <c r="AC168" s="228">
        <v>4.8499999999999996</v>
      </c>
      <c r="AD168" s="228">
        <v>2.2999999999999998</v>
      </c>
      <c r="AE168" s="228">
        <v>2.5499999999999998</v>
      </c>
      <c r="AF168" s="229">
        <v>5.7000000000000002E-3</v>
      </c>
      <c r="AG168" s="228">
        <v>6.65</v>
      </c>
      <c r="AH168" s="228">
        <v>2.65</v>
      </c>
      <c r="AI168" s="228">
        <v>4</v>
      </c>
      <c r="AJ168" s="229">
        <v>7.7999999999999996E-3</v>
      </c>
      <c r="AK168" s="228">
        <v>11.55</v>
      </c>
      <c r="AL168" s="228">
        <v>-2.65</v>
      </c>
      <c r="AM168" s="228">
        <v>14.2</v>
      </c>
      <c r="AN168" s="229">
        <v>1.3599999999999999E-2</v>
      </c>
      <c r="AO168" s="228">
        <v>852.46</v>
      </c>
      <c r="AP168" s="228">
        <v>857.07</v>
      </c>
      <c r="AQ168" s="228">
        <v>0</v>
      </c>
      <c r="AR168" s="230">
        <v>342700</v>
      </c>
      <c r="AS168" s="230">
        <v>1288575</v>
      </c>
      <c r="AT168" s="230">
        <v>-945875</v>
      </c>
      <c r="AU168" s="229">
        <v>-0.73399999999999999</v>
      </c>
      <c r="AV168" s="230">
        <v>301875</v>
      </c>
      <c r="AW168" s="230">
        <v>1225900</v>
      </c>
      <c r="AX168" s="230">
        <v>-924025</v>
      </c>
      <c r="AY168" s="229">
        <v>-0.75380000000000003</v>
      </c>
      <c r="AZ168" s="230">
        <v>40250</v>
      </c>
      <c r="BA168" s="230">
        <v>57500</v>
      </c>
      <c r="BB168" s="230">
        <v>-17250</v>
      </c>
      <c r="BC168" s="229">
        <v>-0.3</v>
      </c>
      <c r="BD168" s="228">
        <v>575</v>
      </c>
      <c r="BE168" s="230">
        <v>5175</v>
      </c>
      <c r="BF168" s="230">
        <v>-4600</v>
      </c>
      <c r="BG168" s="229">
        <v>-0.88890000000000002</v>
      </c>
      <c r="BH168" s="230">
        <v>516350</v>
      </c>
      <c r="BI168" s="230">
        <v>1280525</v>
      </c>
      <c r="BJ168" s="230">
        <v>-764175</v>
      </c>
      <c r="BK168" s="229">
        <v>-0.5968</v>
      </c>
      <c r="BL168" s="230">
        <v>316250</v>
      </c>
      <c r="BM168" s="230">
        <v>954500</v>
      </c>
      <c r="BN168" s="230">
        <v>-638250</v>
      </c>
      <c r="BO168" s="229">
        <v>-0.66869999999999996</v>
      </c>
      <c r="BP168" s="230">
        <v>1175300</v>
      </c>
      <c r="BQ168" s="230">
        <v>3523600</v>
      </c>
      <c r="BR168" s="230">
        <v>-2348300</v>
      </c>
      <c r="BS168" s="229">
        <v>-0.66639999999999999</v>
      </c>
      <c r="BT168" s="230">
        <v>539672</v>
      </c>
      <c r="BU168" s="230">
        <v>2137470</v>
      </c>
      <c r="BV168" s="230">
        <v>-1597798</v>
      </c>
      <c r="BW168" s="229">
        <v>-0.74750000000000005</v>
      </c>
      <c r="BX168" s="230">
        <v>719325</v>
      </c>
      <c r="BY168" s="230">
        <v>634800</v>
      </c>
      <c r="BZ168" s="230">
        <v>84525</v>
      </c>
      <c r="CA168" s="229">
        <v>0.13320000000000001</v>
      </c>
      <c r="CB168" s="230">
        <v>642275</v>
      </c>
      <c r="CC168" s="230">
        <v>591675</v>
      </c>
      <c r="CD168" s="230">
        <v>50600</v>
      </c>
      <c r="CE168" s="229">
        <v>8.5500000000000007E-2</v>
      </c>
      <c r="CF168" s="230">
        <v>71875</v>
      </c>
      <c r="CG168" s="230">
        <v>38525</v>
      </c>
      <c r="CH168" s="230">
        <v>33350</v>
      </c>
      <c r="CI168" s="229">
        <v>0.86570000000000003</v>
      </c>
      <c r="CJ168" s="230">
        <v>5175</v>
      </c>
      <c r="CK168" s="230">
        <v>4600</v>
      </c>
      <c r="CL168" s="228">
        <v>575</v>
      </c>
      <c r="CM168" s="229">
        <v>0.125</v>
      </c>
      <c r="CN168" s="230">
        <v>523250</v>
      </c>
      <c r="CO168" s="230">
        <v>460575</v>
      </c>
      <c r="CP168" s="230">
        <v>62675</v>
      </c>
      <c r="CQ168" s="229">
        <v>0.1361</v>
      </c>
      <c r="CR168" s="230">
        <v>296700</v>
      </c>
      <c r="CS168" s="230">
        <v>230575</v>
      </c>
      <c r="CT168" s="230">
        <v>66125</v>
      </c>
      <c r="CU168" s="229">
        <v>0.2868</v>
      </c>
      <c r="CV168" s="230">
        <v>1539275</v>
      </c>
      <c r="CW168" s="230">
        <v>1325950</v>
      </c>
      <c r="CX168" s="230">
        <v>213325</v>
      </c>
      <c r="CY168" s="229">
        <v>0.16089999999999999</v>
      </c>
      <c r="CZ168" s="228">
        <v>34.51</v>
      </c>
      <c r="DA168" s="228">
        <v>37.32</v>
      </c>
      <c r="DB168" s="228">
        <v>-2.81</v>
      </c>
      <c r="DC168" s="228">
        <v>-2.81</v>
      </c>
      <c r="DD168" s="228">
        <v>44.81</v>
      </c>
      <c r="DE168" s="228">
        <v>44.9</v>
      </c>
      <c r="DF168" s="228">
        <v>-10.3</v>
      </c>
      <c r="DG168" s="228">
        <v>-0.09</v>
      </c>
      <c r="DH168" s="228">
        <v>33.9</v>
      </c>
      <c r="DI168" s="228">
        <v>35.979999999999997</v>
      </c>
      <c r="DJ168" s="228">
        <v>-2.08</v>
      </c>
      <c r="DK168" s="228">
        <v>-2.08</v>
      </c>
      <c r="DL168" s="228">
        <v>35.51</v>
      </c>
      <c r="DM168" s="228">
        <v>39.11</v>
      </c>
      <c r="DN168" s="228">
        <v>-3.6</v>
      </c>
      <c r="DO168" s="228">
        <v>-3.6</v>
      </c>
      <c r="DP168" s="228">
        <v>0.56999999999999995</v>
      </c>
      <c r="DQ168" s="228">
        <v>0.5</v>
      </c>
      <c r="DR168" s="228">
        <v>7.0000000000000007E-2</v>
      </c>
      <c r="DS168" s="229">
        <v>0.14000000000000001</v>
      </c>
      <c r="DT168" s="228">
        <v>900</v>
      </c>
      <c r="DU168" s="228">
        <v>800</v>
      </c>
      <c r="DV168" s="228">
        <v>0.61</v>
      </c>
      <c r="DW168" s="228">
        <v>0.75</v>
      </c>
      <c r="DX168" s="228">
        <v>-0.14000000000000001</v>
      </c>
      <c r="DY168" s="229">
        <v>-0.1867</v>
      </c>
      <c r="DZ168" s="229">
        <v>0.1071</v>
      </c>
      <c r="EA168" s="230">
        <v>43125</v>
      </c>
      <c r="EB168" s="229">
        <v>2.0999999999999999E-3</v>
      </c>
      <c r="EC168" s="229">
        <v>0.1071</v>
      </c>
      <c r="ED168" s="228">
        <v>4.6100000000000003</v>
      </c>
      <c r="EE168" s="229">
        <v>5.4000000000000003E-3</v>
      </c>
      <c r="EF168" s="230">
        <v>180539</v>
      </c>
      <c r="EG168" s="230">
        <v>684315</v>
      </c>
      <c r="EH168" s="229">
        <v>-0.73619999999999997</v>
      </c>
      <c r="EI168" s="229">
        <v>0.33450000000000002</v>
      </c>
      <c r="EJ168" s="231">
        <v>4712.09</v>
      </c>
      <c r="EK168" s="231">
        <v>2547.48</v>
      </c>
      <c r="EL168" s="231">
        <v>2923.26</v>
      </c>
      <c r="EM168" s="231">
        <v>2241</v>
      </c>
      <c r="EN168" s="231">
        <v>10182.83</v>
      </c>
      <c r="EO168" s="231">
        <v>30390.05</v>
      </c>
      <c r="EP168" s="231">
        <v>-20207.22</v>
      </c>
      <c r="EQ168" s="229">
        <v>-0.66490000000000005</v>
      </c>
      <c r="ER168" s="231">
        <v>4622</v>
      </c>
      <c r="ES168" s="231">
        <v>2397</v>
      </c>
      <c r="ET168" s="231">
        <v>6131</v>
      </c>
      <c r="EU168" s="231">
        <v>23923093</v>
      </c>
      <c r="EV168" s="231">
        <v>13150</v>
      </c>
      <c r="EW168" s="231">
        <v>11299</v>
      </c>
      <c r="EX168" s="231">
        <v>1851</v>
      </c>
      <c r="EY168" s="229">
        <v>0.1638</v>
      </c>
      <c r="EZ168" s="229">
        <v>6.4299999999999996E-2</v>
      </c>
      <c r="FA168" s="227" t="s">
        <v>555</v>
      </c>
      <c r="FB168" s="161">
        <f t="shared" si="4"/>
        <v>0</v>
      </c>
    </row>
    <row r="169" spans="1:158" ht="17.25" thickBot="1" x14ac:dyDescent="0.3">
      <c r="A169" s="226">
        <v>46023</v>
      </c>
      <c r="B169" s="227" t="s">
        <v>206</v>
      </c>
      <c r="C169" s="227" t="s">
        <v>605</v>
      </c>
      <c r="D169" s="228">
        <v>450</v>
      </c>
      <c r="E169" s="231">
        <v>1614.8</v>
      </c>
      <c r="F169" s="231">
        <v>1600.5</v>
      </c>
      <c r="G169" s="228">
        <v>14.3</v>
      </c>
      <c r="H169" s="229">
        <v>8.8999999999999999E-3</v>
      </c>
      <c r="I169" s="231">
        <v>1604.1</v>
      </c>
      <c r="J169" s="231">
        <v>1594.8</v>
      </c>
      <c r="K169" s="228">
        <v>9.3000000000000007</v>
      </c>
      <c r="L169" s="229">
        <v>5.7999999999999996E-3</v>
      </c>
      <c r="M169" s="231">
        <v>1614.8</v>
      </c>
      <c r="N169" s="231">
        <v>1600.5</v>
      </c>
      <c r="O169" s="228">
        <v>14.3</v>
      </c>
      <c r="P169" s="229">
        <v>8.8999999999999999E-3</v>
      </c>
      <c r="Q169" s="231">
        <v>1618.4</v>
      </c>
      <c r="R169" s="231">
        <v>1613</v>
      </c>
      <c r="S169" s="228">
        <v>5.4</v>
      </c>
      <c r="T169" s="229">
        <v>3.3E-3</v>
      </c>
      <c r="U169" s="228">
        <v>0</v>
      </c>
      <c r="V169" s="228">
        <v>0</v>
      </c>
      <c r="W169" s="228">
        <v>0</v>
      </c>
      <c r="X169" s="229">
        <v>0</v>
      </c>
      <c r="Y169" s="228">
        <v>10.7</v>
      </c>
      <c r="Z169" s="228">
        <v>5.7</v>
      </c>
      <c r="AA169" s="228">
        <v>5</v>
      </c>
      <c r="AB169" s="229">
        <v>6.7000000000000002E-3</v>
      </c>
      <c r="AC169" s="228">
        <v>10.7</v>
      </c>
      <c r="AD169" s="228">
        <v>5.7</v>
      </c>
      <c r="AE169" s="228">
        <v>5</v>
      </c>
      <c r="AF169" s="229">
        <v>6.7000000000000002E-3</v>
      </c>
      <c r="AG169" s="228">
        <v>14.3</v>
      </c>
      <c r="AH169" s="228">
        <v>18.2</v>
      </c>
      <c r="AI169" s="228">
        <v>-3.9</v>
      </c>
      <c r="AJ169" s="229">
        <v>8.8999999999999999E-3</v>
      </c>
      <c r="AK169" s="228">
        <v>0</v>
      </c>
      <c r="AL169" s="228">
        <v>0</v>
      </c>
      <c r="AM169" s="228">
        <v>0</v>
      </c>
      <c r="AN169" s="229">
        <v>0</v>
      </c>
      <c r="AO169" s="231">
        <v>1613.32</v>
      </c>
      <c r="AP169" s="231">
        <v>1619.91</v>
      </c>
      <c r="AQ169" s="228">
        <v>0</v>
      </c>
      <c r="AR169" s="230">
        <v>562050</v>
      </c>
      <c r="AS169" s="230">
        <v>562950</v>
      </c>
      <c r="AT169" s="228">
        <v>-900</v>
      </c>
      <c r="AU169" s="229">
        <v>-1.6000000000000001E-3</v>
      </c>
      <c r="AV169" s="230">
        <v>550350</v>
      </c>
      <c r="AW169" s="230">
        <v>550350</v>
      </c>
      <c r="AX169" s="228">
        <v>0</v>
      </c>
      <c r="AY169" s="229">
        <v>0</v>
      </c>
      <c r="AZ169" s="230">
        <v>11700</v>
      </c>
      <c r="BA169" s="230">
        <v>12600</v>
      </c>
      <c r="BB169" s="228">
        <v>-900</v>
      </c>
      <c r="BC169" s="229">
        <v>-7.1400000000000005E-2</v>
      </c>
      <c r="BD169" s="228">
        <v>0</v>
      </c>
      <c r="BE169" s="228">
        <v>0</v>
      </c>
      <c r="BF169" s="228">
        <v>0</v>
      </c>
      <c r="BG169" s="229">
        <v>0</v>
      </c>
      <c r="BH169" s="230">
        <v>602550</v>
      </c>
      <c r="BI169" s="230">
        <v>558000</v>
      </c>
      <c r="BJ169" s="230">
        <v>44550</v>
      </c>
      <c r="BK169" s="229">
        <v>7.9799999999999996E-2</v>
      </c>
      <c r="BL169" s="230">
        <v>210150</v>
      </c>
      <c r="BM169" s="230">
        <v>268650</v>
      </c>
      <c r="BN169" s="230">
        <v>-58500</v>
      </c>
      <c r="BO169" s="229">
        <v>-0.21779999999999999</v>
      </c>
      <c r="BP169" s="230">
        <v>1374750</v>
      </c>
      <c r="BQ169" s="230">
        <v>1389600</v>
      </c>
      <c r="BR169" s="230">
        <v>-14850</v>
      </c>
      <c r="BS169" s="229">
        <v>-1.0699999999999999E-2</v>
      </c>
      <c r="BT169" s="230">
        <v>731599</v>
      </c>
      <c r="BU169" s="230">
        <v>462235</v>
      </c>
      <c r="BV169" s="230">
        <v>269364</v>
      </c>
      <c r="BW169" s="229">
        <v>0.5827</v>
      </c>
      <c r="BX169" s="230">
        <v>3825900</v>
      </c>
      <c r="BY169" s="230">
        <v>3775950</v>
      </c>
      <c r="BZ169" s="230">
        <v>49950</v>
      </c>
      <c r="CA169" s="229">
        <v>1.32E-2</v>
      </c>
      <c r="CB169" s="230">
        <v>3796200</v>
      </c>
      <c r="CC169" s="230">
        <v>3748500</v>
      </c>
      <c r="CD169" s="230">
        <v>47700</v>
      </c>
      <c r="CE169" s="229">
        <v>1.2699999999999999E-2</v>
      </c>
      <c r="CF169" s="230">
        <v>29700</v>
      </c>
      <c r="CG169" s="230">
        <v>27450</v>
      </c>
      <c r="CH169" s="230">
        <v>2250</v>
      </c>
      <c r="CI169" s="229">
        <v>8.2000000000000003E-2</v>
      </c>
      <c r="CJ169" s="228">
        <v>0</v>
      </c>
      <c r="CK169" s="228">
        <v>0</v>
      </c>
      <c r="CL169" s="228">
        <v>0</v>
      </c>
      <c r="CM169" s="229">
        <v>0</v>
      </c>
      <c r="CN169" s="230">
        <v>597150</v>
      </c>
      <c r="CO169" s="230">
        <v>574650</v>
      </c>
      <c r="CP169" s="230">
        <v>22500</v>
      </c>
      <c r="CQ169" s="229">
        <v>3.9199999999999999E-2</v>
      </c>
      <c r="CR169" s="230">
        <v>653850</v>
      </c>
      <c r="CS169" s="230">
        <v>612000</v>
      </c>
      <c r="CT169" s="230">
        <v>41850</v>
      </c>
      <c r="CU169" s="229">
        <v>6.8400000000000002E-2</v>
      </c>
      <c r="CV169" s="230">
        <v>5076900</v>
      </c>
      <c r="CW169" s="230">
        <v>4962600</v>
      </c>
      <c r="CX169" s="230">
        <v>114300</v>
      </c>
      <c r="CY169" s="229">
        <v>2.3E-2</v>
      </c>
      <c r="CZ169" s="228">
        <v>28.03</v>
      </c>
      <c r="DA169" s="228">
        <v>29.28</v>
      </c>
      <c r="DB169" s="228">
        <v>-1.25</v>
      </c>
      <c r="DC169" s="228">
        <v>-1.25</v>
      </c>
      <c r="DD169" s="228">
        <v>43.93</v>
      </c>
      <c r="DE169" s="228">
        <v>44.02</v>
      </c>
      <c r="DF169" s="228">
        <v>-15.9</v>
      </c>
      <c r="DG169" s="228">
        <v>-0.09</v>
      </c>
      <c r="DH169" s="228">
        <v>27.95</v>
      </c>
      <c r="DI169" s="228">
        <v>29.19</v>
      </c>
      <c r="DJ169" s="228">
        <v>-1.24</v>
      </c>
      <c r="DK169" s="228">
        <v>-1.24</v>
      </c>
      <c r="DL169" s="228">
        <v>28.28</v>
      </c>
      <c r="DM169" s="228">
        <v>29.47</v>
      </c>
      <c r="DN169" s="228">
        <v>-1.19</v>
      </c>
      <c r="DO169" s="228">
        <v>-1.19</v>
      </c>
      <c r="DP169" s="228">
        <v>1.0900000000000001</v>
      </c>
      <c r="DQ169" s="228">
        <v>1.06</v>
      </c>
      <c r="DR169" s="228">
        <v>0.03</v>
      </c>
      <c r="DS169" s="229">
        <v>2.8299999999999999E-2</v>
      </c>
      <c r="DT169" s="231">
        <v>1600</v>
      </c>
      <c r="DU169" s="231">
        <v>1500</v>
      </c>
      <c r="DV169" s="228">
        <v>0.35</v>
      </c>
      <c r="DW169" s="228">
        <v>0.48</v>
      </c>
      <c r="DX169" s="228">
        <v>-0.13</v>
      </c>
      <c r="DY169" s="229">
        <v>-0.27079999999999999</v>
      </c>
      <c r="DZ169" s="229">
        <v>7.7999999999999996E-3</v>
      </c>
      <c r="EA169" s="230">
        <v>27450</v>
      </c>
      <c r="EB169" s="229">
        <v>2.2000000000000001E-3</v>
      </c>
      <c r="EC169" s="229">
        <v>7.7999999999999996E-3</v>
      </c>
      <c r="ED169" s="228">
        <v>6.59</v>
      </c>
      <c r="EE169" s="229">
        <v>4.1000000000000003E-3</v>
      </c>
      <c r="EF169" s="230">
        <v>535314</v>
      </c>
      <c r="EG169" s="230">
        <v>283127</v>
      </c>
      <c r="EH169" s="229">
        <v>0.89070000000000005</v>
      </c>
      <c r="EI169" s="229">
        <v>0.73170000000000002</v>
      </c>
      <c r="EJ169" s="231">
        <v>10125.18</v>
      </c>
      <c r="EK169" s="231">
        <v>3276.23</v>
      </c>
      <c r="EL169" s="231">
        <v>9068.4500000000007</v>
      </c>
      <c r="EM169" s="231">
        <v>7208</v>
      </c>
      <c r="EN169" s="231">
        <v>22469.86</v>
      </c>
      <c r="EO169" s="231">
        <v>22554.6</v>
      </c>
      <c r="EP169" s="228">
        <v>-84.74</v>
      </c>
      <c r="EQ169" s="229">
        <v>-3.8E-3</v>
      </c>
      <c r="ER169" s="231">
        <v>10127</v>
      </c>
      <c r="ES169" s="231">
        <v>10081</v>
      </c>
      <c r="ET169" s="231">
        <v>61782</v>
      </c>
      <c r="EU169" s="231">
        <v>22697169</v>
      </c>
      <c r="EV169" s="231">
        <v>81990</v>
      </c>
      <c r="EW169" s="231">
        <v>79621</v>
      </c>
      <c r="EX169" s="231">
        <v>2369</v>
      </c>
      <c r="EY169" s="229">
        <v>2.98E-2</v>
      </c>
      <c r="EZ169" s="229">
        <v>0.22370000000000001</v>
      </c>
      <c r="FA169" s="227" t="s">
        <v>555</v>
      </c>
      <c r="FB169" s="161">
        <f t="shared" si="4"/>
        <v>0</v>
      </c>
    </row>
    <row r="170" spans="1:158" ht="17.25" thickBot="1" x14ac:dyDescent="0.3">
      <c r="A170" s="226">
        <v>46023</v>
      </c>
      <c r="B170" s="227" t="s">
        <v>172</v>
      </c>
      <c r="C170" s="227" t="s">
        <v>279</v>
      </c>
      <c r="D170" s="228">
        <v>3175</v>
      </c>
      <c r="E170" s="228">
        <v>317.35000000000002</v>
      </c>
      <c r="F170" s="228">
        <v>316.89999999999998</v>
      </c>
      <c r="G170" s="228">
        <v>0.45</v>
      </c>
      <c r="H170" s="229">
        <v>1.4E-3</v>
      </c>
      <c r="I170" s="228">
        <v>315.3</v>
      </c>
      <c r="J170" s="228">
        <v>315.8</v>
      </c>
      <c r="K170" s="228">
        <v>-0.5</v>
      </c>
      <c r="L170" s="229">
        <v>-1.6000000000000001E-3</v>
      </c>
      <c r="M170" s="228">
        <v>317.35000000000002</v>
      </c>
      <c r="N170" s="228">
        <v>316.89999999999998</v>
      </c>
      <c r="O170" s="228">
        <v>0.45</v>
      </c>
      <c r="P170" s="229">
        <v>1.4E-3</v>
      </c>
      <c r="Q170" s="228">
        <v>319.60000000000002</v>
      </c>
      <c r="R170" s="228">
        <v>318.7</v>
      </c>
      <c r="S170" s="228">
        <v>0.9</v>
      </c>
      <c r="T170" s="229">
        <v>2.8E-3</v>
      </c>
      <c r="U170" s="228">
        <v>321</v>
      </c>
      <c r="V170" s="228">
        <v>314.89999999999998</v>
      </c>
      <c r="W170" s="228">
        <v>6.1</v>
      </c>
      <c r="X170" s="229">
        <v>1.9400000000000001E-2</v>
      </c>
      <c r="Y170" s="228">
        <v>2.0499999999999998</v>
      </c>
      <c r="Z170" s="228">
        <v>1.1000000000000001</v>
      </c>
      <c r="AA170" s="228">
        <v>0.95</v>
      </c>
      <c r="AB170" s="229">
        <v>6.4999999999999997E-3</v>
      </c>
      <c r="AC170" s="228">
        <v>2.0499999999999998</v>
      </c>
      <c r="AD170" s="228">
        <v>1.1000000000000001</v>
      </c>
      <c r="AE170" s="228">
        <v>0.95</v>
      </c>
      <c r="AF170" s="229">
        <v>6.4999999999999997E-3</v>
      </c>
      <c r="AG170" s="228">
        <v>4.3</v>
      </c>
      <c r="AH170" s="228">
        <v>2.9</v>
      </c>
      <c r="AI170" s="228">
        <v>1.4</v>
      </c>
      <c r="AJ170" s="229">
        <v>1.3599999999999999E-2</v>
      </c>
      <c r="AK170" s="228">
        <v>5.7</v>
      </c>
      <c r="AL170" s="228">
        <v>-0.9</v>
      </c>
      <c r="AM170" s="228">
        <v>6.6</v>
      </c>
      <c r="AN170" s="229">
        <v>1.8100000000000002E-2</v>
      </c>
      <c r="AO170" s="228">
        <v>315.44</v>
      </c>
      <c r="AP170" s="228">
        <v>317.87</v>
      </c>
      <c r="AQ170" s="228">
        <v>0</v>
      </c>
      <c r="AR170" s="230">
        <v>6080125</v>
      </c>
      <c r="AS170" s="230">
        <v>14503400</v>
      </c>
      <c r="AT170" s="230">
        <v>-8423275</v>
      </c>
      <c r="AU170" s="229">
        <v>-0.58079999999999998</v>
      </c>
      <c r="AV170" s="230">
        <v>5959475</v>
      </c>
      <c r="AW170" s="230">
        <v>14290675</v>
      </c>
      <c r="AX170" s="230">
        <v>-8331200</v>
      </c>
      <c r="AY170" s="229">
        <v>-0.58299999999999996</v>
      </c>
      <c r="AZ170" s="230">
        <v>107950</v>
      </c>
      <c r="BA170" s="230">
        <v>209550</v>
      </c>
      <c r="BB170" s="230">
        <v>-101600</v>
      </c>
      <c r="BC170" s="229">
        <v>-0.48480000000000001</v>
      </c>
      <c r="BD170" s="230">
        <v>12700</v>
      </c>
      <c r="BE170" s="230">
        <v>3175</v>
      </c>
      <c r="BF170" s="230">
        <v>9525</v>
      </c>
      <c r="BG170" s="229">
        <v>3</v>
      </c>
      <c r="BH170" s="230">
        <v>12369800</v>
      </c>
      <c r="BI170" s="230">
        <v>24466550</v>
      </c>
      <c r="BJ170" s="230">
        <v>-12096750</v>
      </c>
      <c r="BK170" s="229">
        <v>-0.49440000000000001</v>
      </c>
      <c r="BL170" s="230">
        <v>5765800</v>
      </c>
      <c r="BM170" s="230">
        <v>13074650</v>
      </c>
      <c r="BN170" s="230">
        <v>-7308850</v>
      </c>
      <c r="BO170" s="229">
        <v>-0.55900000000000005</v>
      </c>
      <c r="BP170" s="230">
        <v>24215725</v>
      </c>
      <c r="BQ170" s="230">
        <v>52044600</v>
      </c>
      <c r="BR170" s="230">
        <v>-27828875</v>
      </c>
      <c r="BS170" s="229">
        <v>-0.53469999999999995</v>
      </c>
      <c r="BT170" s="230">
        <v>2062749</v>
      </c>
      <c r="BU170" s="230">
        <v>8406805</v>
      </c>
      <c r="BV170" s="230">
        <v>-6344056</v>
      </c>
      <c r="BW170" s="229">
        <v>-0.75460000000000005</v>
      </c>
      <c r="BX170" s="230">
        <v>72345550</v>
      </c>
      <c r="BY170" s="230">
        <v>71882000</v>
      </c>
      <c r="BZ170" s="230">
        <v>463550</v>
      </c>
      <c r="CA170" s="229">
        <v>6.4000000000000003E-3</v>
      </c>
      <c r="CB170" s="230">
        <v>71977250</v>
      </c>
      <c r="CC170" s="230">
        <v>71535925</v>
      </c>
      <c r="CD170" s="230">
        <v>441325</v>
      </c>
      <c r="CE170" s="229">
        <v>6.1999999999999998E-3</v>
      </c>
      <c r="CF170" s="230">
        <v>358775</v>
      </c>
      <c r="CG170" s="230">
        <v>342900</v>
      </c>
      <c r="CH170" s="230">
        <v>15875</v>
      </c>
      <c r="CI170" s="229">
        <v>4.6300000000000001E-2</v>
      </c>
      <c r="CJ170" s="230">
        <v>9525</v>
      </c>
      <c r="CK170" s="230">
        <v>3175</v>
      </c>
      <c r="CL170" s="230">
        <v>6350</v>
      </c>
      <c r="CM170" s="229">
        <v>2</v>
      </c>
      <c r="CN170" s="230">
        <v>13617575</v>
      </c>
      <c r="CO170" s="230">
        <v>12773025</v>
      </c>
      <c r="CP170" s="230">
        <v>844550</v>
      </c>
      <c r="CQ170" s="229">
        <v>6.6100000000000006E-2</v>
      </c>
      <c r="CR170" s="230">
        <v>10334625</v>
      </c>
      <c r="CS170" s="230">
        <v>10353675</v>
      </c>
      <c r="CT170" s="230">
        <v>-19050</v>
      </c>
      <c r="CU170" s="229">
        <v>-1.8E-3</v>
      </c>
      <c r="CV170" s="230">
        <v>96297750</v>
      </c>
      <c r="CW170" s="230">
        <v>95008700</v>
      </c>
      <c r="CX170" s="230">
        <v>1289050</v>
      </c>
      <c r="CY170" s="229">
        <v>1.3599999999999999E-2</v>
      </c>
      <c r="CZ170" s="228">
        <v>21.09</v>
      </c>
      <c r="DA170" s="228">
        <v>20.13</v>
      </c>
      <c r="DB170" s="228">
        <v>0.96</v>
      </c>
      <c r="DC170" s="228">
        <v>0.96</v>
      </c>
      <c r="DD170" s="228">
        <v>43.84</v>
      </c>
      <c r="DE170" s="228">
        <v>43.95</v>
      </c>
      <c r="DF170" s="228">
        <v>-22.75</v>
      </c>
      <c r="DG170" s="228">
        <v>-0.11</v>
      </c>
      <c r="DH170" s="228">
        <v>20.7</v>
      </c>
      <c r="DI170" s="228">
        <v>19.62</v>
      </c>
      <c r="DJ170" s="228">
        <v>1.08</v>
      </c>
      <c r="DK170" s="228">
        <v>1.08</v>
      </c>
      <c r="DL170" s="228">
        <v>21.93</v>
      </c>
      <c r="DM170" s="228">
        <v>21.09</v>
      </c>
      <c r="DN170" s="228">
        <v>0.84</v>
      </c>
      <c r="DO170" s="228">
        <v>0.84</v>
      </c>
      <c r="DP170" s="228">
        <v>0.76</v>
      </c>
      <c r="DQ170" s="228">
        <v>0.81</v>
      </c>
      <c r="DR170" s="228">
        <v>-0.05</v>
      </c>
      <c r="DS170" s="229">
        <v>-6.1699999999999998E-2</v>
      </c>
      <c r="DT170" s="228">
        <v>320</v>
      </c>
      <c r="DU170" s="228">
        <v>300</v>
      </c>
      <c r="DV170" s="228">
        <v>0.47</v>
      </c>
      <c r="DW170" s="228">
        <v>0.53</v>
      </c>
      <c r="DX170" s="228">
        <v>-0.06</v>
      </c>
      <c r="DY170" s="229">
        <v>-0.1132</v>
      </c>
      <c r="DZ170" s="229">
        <v>5.1000000000000004E-3</v>
      </c>
      <c r="EA170" s="230">
        <v>346075</v>
      </c>
      <c r="EB170" s="229">
        <v>7.1000000000000004E-3</v>
      </c>
      <c r="EC170" s="229">
        <v>5.1000000000000004E-3</v>
      </c>
      <c r="ED170" s="228">
        <v>2.4300000000000002</v>
      </c>
      <c r="EE170" s="229">
        <v>7.7000000000000002E-3</v>
      </c>
      <c r="EF170" s="230">
        <v>506542</v>
      </c>
      <c r="EG170" s="230">
        <v>4635272</v>
      </c>
      <c r="EH170" s="229">
        <v>-0.89070000000000005</v>
      </c>
      <c r="EI170" s="229">
        <v>0.24560000000000001</v>
      </c>
      <c r="EJ170" s="231">
        <v>40564.660000000003</v>
      </c>
      <c r="EK170" s="231">
        <v>17864.52</v>
      </c>
      <c r="EL170" s="231">
        <v>19182.150000000001</v>
      </c>
      <c r="EM170" s="231">
        <v>11653</v>
      </c>
      <c r="EN170" s="231">
        <v>77611.33</v>
      </c>
      <c r="EO170" s="231">
        <v>165506.97</v>
      </c>
      <c r="EP170" s="231">
        <v>-87895.64</v>
      </c>
      <c r="EQ170" s="229">
        <v>-0.53110000000000002</v>
      </c>
      <c r="ER170" s="231">
        <v>43665</v>
      </c>
      <c r="ES170" s="231">
        <v>31046</v>
      </c>
      <c r="ET170" s="231">
        <v>229597</v>
      </c>
      <c r="EU170" s="231">
        <v>91953095</v>
      </c>
      <c r="EV170" s="231">
        <v>304308</v>
      </c>
      <c r="EW170" s="231">
        <v>299660</v>
      </c>
      <c r="EX170" s="231">
        <v>4648</v>
      </c>
      <c r="EY170" s="229">
        <v>1.55E-2</v>
      </c>
      <c r="EZ170" s="229">
        <v>1.0471999999999999</v>
      </c>
      <c r="FA170" s="227" t="s">
        <v>555</v>
      </c>
      <c r="FB170" s="161">
        <f t="shared" si="4"/>
        <v>0</v>
      </c>
    </row>
    <row r="171" spans="1:158" ht="17.25" thickBot="1" x14ac:dyDescent="0.3">
      <c r="A171" s="226">
        <v>46023</v>
      </c>
      <c r="B171" s="227" t="s">
        <v>175</v>
      </c>
      <c r="C171" s="227" t="s">
        <v>280</v>
      </c>
      <c r="D171" s="228">
        <v>1400</v>
      </c>
      <c r="E171" s="228">
        <v>368.65</v>
      </c>
      <c r="F171" s="228">
        <v>358.9</v>
      </c>
      <c r="G171" s="228">
        <v>9.75</v>
      </c>
      <c r="H171" s="229">
        <v>2.7199999999999998E-2</v>
      </c>
      <c r="I171" s="228">
        <v>367.7</v>
      </c>
      <c r="J171" s="228">
        <v>356.8</v>
      </c>
      <c r="K171" s="228">
        <v>10.9</v>
      </c>
      <c r="L171" s="229">
        <v>3.0499999999999999E-2</v>
      </c>
      <c r="M171" s="228">
        <v>368.65</v>
      </c>
      <c r="N171" s="228">
        <v>358.9</v>
      </c>
      <c r="O171" s="228">
        <v>9.75</v>
      </c>
      <c r="P171" s="229">
        <v>2.7199999999999998E-2</v>
      </c>
      <c r="Q171" s="228">
        <v>368.25</v>
      </c>
      <c r="R171" s="228">
        <v>358.3</v>
      </c>
      <c r="S171" s="228">
        <v>9.9499999999999993</v>
      </c>
      <c r="T171" s="229">
        <v>2.7799999999999998E-2</v>
      </c>
      <c r="U171" s="228">
        <v>367.85</v>
      </c>
      <c r="V171" s="228">
        <v>358.45</v>
      </c>
      <c r="W171" s="228">
        <v>9.4</v>
      </c>
      <c r="X171" s="229">
        <v>2.6200000000000001E-2</v>
      </c>
      <c r="Y171" s="228">
        <v>0.95</v>
      </c>
      <c r="Z171" s="228">
        <v>2.1</v>
      </c>
      <c r="AA171" s="228">
        <v>-1.1499999999999999</v>
      </c>
      <c r="AB171" s="229">
        <v>2.5999999999999999E-3</v>
      </c>
      <c r="AC171" s="228">
        <v>0.95</v>
      </c>
      <c r="AD171" s="228">
        <v>2.1</v>
      </c>
      <c r="AE171" s="228">
        <v>-1.1499999999999999</v>
      </c>
      <c r="AF171" s="229">
        <v>2.5999999999999999E-3</v>
      </c>
      <c r="AG171" s="228">
        <v>0.55000000000000004</v>
      </c>
      <c r="AH171" s="228">
        <v>1.5</v>
      </c>
      <c r="AI171" s="228">
        <v>-0.95</v>
      </c>
      <c r="AJ171" s="229">
        <v>1.5E-3</v>
      </c>
      <c r="AK171" s="228">
        <v>0.15</v>
      </c>
      <c r="AL171" s="228">
        <v>1.65</v>
      </c>
      <c r="AM171" s="228">
        <v>-1.5</v>
      </c>
      <c r="AN171" s="229">
        <v>4.0000000000000002E-4</v>
      </c>
      <c r="AO171" s="228">
        <v>365.49</v>
      </c>
      <c r="AP171" s="228">
        <v>364.96</v>
      </c>
      <c r="AQ171" s="228">
        <v>0</v>
      </c>
      <c r="AR171" s="230">
        <v>20678000</v>
      </c>
      <c r="AS171" s="230">
        <v>13505800</v>
      </c>
      <c r="AT171" s="230">
        <v>7172200</v>
      </c>
      <c r="AU171" s="229">
        <v>0.53100000000000003</v>
      </c>
      <c r="AV171" s="230">
        <v>18306400</v>
      </c>
      <c r="AW171" s="230">
        <v>11935000</v>
      </c>
      <c r="AX171" s="230">
        <v>6371400</v>
      </c>
      <c r="AY171" s="229">
        <v>0.53380000000000005</v>
      </c>
      <c r="AZ171" s="230">
        <v>1946000</v>
      </c>
      <c r="BA171" s="230">
        <v>1320200</v>
      </c>
      <c r="BB171" s="230">
        <v>625800</v>
      </c>
      <c r="BC171" s="229">
        <v>0.47399999999999998</v>
      </c>
      <c r="BD171" s="230">
        <v>425600</v>
      </c>
      <c r="BE171" s="230">
        <v>250600</v>
      </c>
      <c r="BF171" s="230">
        <v>175000</v>
      </c>
      <c r="BG171" s="229">
        <v>0.69830000000000003</v>
      </c>
      <c r="BH171" s="230">
        <v>91784000</v>
      </c>
      <c r="BI171" s="230">
        <v>44471000</v>
      </c>
      <c r="BJ171" s="230">
        <v>47313000</v>
      </c>
      <c r="BK171" s="229">
        <v>1.0639000000000001</v>
      </c>
      <c r="BL171" s="230">
        <v>23431800</v>
      </c>
      <c r="BM171" s="230">
        <v>17383800</v>
      </c>
      <c r="BN171" s="230">
        <v>6048000</v>
      </c>
      <c r="BO171" s="229">
        <v>0.34789999999999999</v>
      </c>
      <c r="BP171" s="230">
        <v>135893800</v>
      </c>
      <c r="BQ171" s="230">
        <v>75360600</v>
      </c>
      <c r="BR171" s="230">
        <v>60533200</v>
      </c>
      <c r="BS171" s="229">
        <v>0.80320000000000003</v>
      </c>
      <c r="BT171" s="230">
        <v>14349134</v>
      </c>
      <c r="BU171" s="230">
        <v>6319543</v>
      </c>
      <c r="BV171" s="230">
        <v>8029591</v>
      </c>
      <c r="BW171" s="229">
        <v>1.2706</v>
      </c>
      <c r="BX171" s="230">
        <v>87150000</v>
      </c>
      <c r="BY171" s="230">
        <v>88729200</v>
      </c>
      <c r="BZ171" s="230">
        <v>-1579200</v>
      </c>
      <c r="CA171" s="229">
        <v>-1.78E-2</v>
      </c>
      <c r="CB171" s="230">
        <v>81002600</v>
      </c>
      <c r="CC171" s="230">
        <v>82621000</v>
      </c>
      <c r="CD171" s="230">
        <v>-1618400</v>
      </c>
      <c r="CE171" s="229">
        <v>-1.9599999999999999E-2</v>
      </c>
      <c r="CF171" s="230">
        <v>5765200</v>
      </c>
      <c r="CG171" s="230">
        <v>5912200</v>
      </c>
      <c r="CH171" s="230">
        <v>-147000</v>
      </c>
      <c r="CI171" s="229">
        <v>-2.4899999999999999E-2</v>
      </c>
      <c r="CJ171" s="230">
        <v>382200</v>
      </c>
      <c r="CK171" s="230">
        <v>196000</v>
      </c>
      <c r="CL171" s="230">
        <v>186200</v>
      </c>
      <c r="CM171" s="229">
        <v>0.95</v>
      </c>
      <c r="CN171" s="230">
        <v>32664800</v>
      </c>
      <c r="CO171" s="230">
        <v>28536200</v>
      </c>
      <c r="CP171" s="230">
        <v>4128600</v>
      </c>
      <c r="CQ171" s="229">
        <v>0.1447</v>
      </c>
      <c r="CR171" s="230">
        <v>24017000</v>
      </c>
      <c r="CS171" s="230">
        <v>21702800</v>
      </c>
      <c r="CT171" s="230">
        <v>2314200</v>
      </c>
      <c r="CU171" s="229">
        <v>0.1066</v>
      </c>
      <c r="CV171" s="230">
        <v>143831800</v>
      </c>
      <c r="CW171" s="230">
        <v>138968200</v>
      </c>
      <c r="CX171" s="230">
        <v>4863600</v>
      </c>
      <c r="CY171" s="229">
        <v>3.5000000000000003E-2</v>
      </c>
      <c r="CZ171" s="228">
        <v>23.78</v>
      </c>
      <c r="DA171" s="228">
        <v>23.09</v>
      </c>
      <c r="DB171" s="228">
        <v>0.69</v>
      </c>
      <c r="DC171" s="228">
        <v>0.69</v>
      </c>
      <c r="DD171" s="228">
        <v>41.53</v>
      </c>
      <c r="DE171" s="228">
        <v>41.47</v>
      </c>
      <c r="DF171" s="228">
        <v>-17.75</v>
      </c>
      <c r="DG171" s="228">
        <v>0.06</v>
      </c>
      <c r="DH171" s="228">
        <v>23.83</v>
      </c>
      <c r="DI171" s="228">
        <v>23.26</v>
      </c>
      <c r="DJ171" s="228">
        <v>0.56999999999999995</v>
      </c>
      <c r="DK171" s="228">
        <v>0.56999999999999995</v>
      </c>
      <c r="DL171" s="228">
        <v>23.57</v>
      </c>
      <c r="DM171" s="228">
        <v>22.64</v>
      </c>
      <c r="DN171" s="228">
        <v>0.93</v>
      </c>
      <c r="DO171" s="228">
        <v>0.93</v>
      </c>
      <c r="DP171" s="228">
        <v>0.74</v>
      </c>
      <c r="DQ171" s="228">
        <v>0.76</v>
      </c>
      <c r="DR171" s="228">
        <v>-0.02</v>
      </c>
      <c r="DS171" s="229">
        <v>-2.63E-2</v>
      </c>
      <c r="DT171" s="228">
        <v>360</v>
      </c>
      <c r="DU171" s="228">
        <v>360</v>
      </c>
      <c r="DV171" s="228">
        <v>0.26</v>
      </c>
      <c r="DW171" s="228">
        <v>0.39</v>
      </c>
      <c r="DX171" s="228">
        <v>-0.13</v>
      </c>
      <c r="DY171" s="229">
        <v>-0.33329999999999999</v>
      </c>
      <c r="DZ171" s="229">
        <v>7.0499999999999993E-2</v>
      </c>
      <c r="EA171" s="230">
        <v>6108200</v>
      </c>
      <c r="EB171" s="229">
        <v>-1.1000000000000001E-3</v>
      </c>
      <c r="EC171" s="229">
        <v>7.0499999999999993E-2</v>
      </c>
      <c r="ED171" s="228">
        <v>-0.53</v>
      </c>
      <c r="EE171" s="229">
        <v>-1.5E-3</v>
      </c>
      <c r="EF171" s="230">
        <v>6204372</v>
      </c>
      <c r="EG171" s="230">
        <v>2837953</v>
      </c>
      <c r="EH171" s="229">
        <v>1.1861999999999999</v>
      </c>
      <c r="EI171" s="229">
        <v>0.43240000000000001</v>
      </c>
      <c r="EJ171" s="231">
        <v>350783.3</v>
      </c>
      <c r="EK171" s="231">
        <v>84711.67</v>
      </c>
      <c r="EL171" s="231">
        <v>75559.649999999994</v>
      </c>
      <c r="EM171" s="231">
        <v>31572</v>
      </c>
      <c r="EN171" s="231">
        <v>511054.62</v>
      </c>
      <c r="EO171" s="231">
        <v>278522.05</v>
      </c>
      <c r="EP171" s="231">
        <v>232532.57</v>
      </c>
      <c r="EQ171" s="229">
        <v>0.83489999999999998</v>
      </c>
      <c r="ER171" s="231">
        <v>122616</v>
      </c>
      <c r="ES171" s="231">
        <v>86200</v>
      </c>
      <c r="ET171" s="231">
        <v>321252</v>
      </c>
      <c r="EU171" s="231">
        <v>187084550</v>
      </c>
      <c r="EV171" s="231">
        <v>530068</v>
      </c>
      <c r="EW171" s="231">
        <v>502091</v>
      </c>
      <c r="EX171" s="231">
        <v>27977</v>
      </c>
      <c r="EY171" s="229">
        <v>5.57E-2</v>
      </c>
      <c r="EZ171" s="229">
        <v>0.76880000000000004</v>
      </c>
      <c r="FA171" s="227" t="s">
        <v>556</v>
      </c>
      <c r="FB171" s="161">
        <f t="shared" si="4"/>
        <v>0</v>
      </c>
    </row>
    <row r="172" spans="1:158" ht="17.25" thickBot="1" x14ac:dyDescent="0.3">
      <c r="A172" s="226">
        <v>46023</v>
      </c>
      <c r="B172" s="227" t="s">
        <v>193</v>
      </c>
      <c r="C172" s="227" t="s">
        <v>281</v>
      </c>
      <c r="D172" s="228">
        <v>500</v>
      </c>
      <c r="E172" s="231">
        <v>1584</v>
      </c>
      <c r="F172" s="231">
        <v>1578</v>
      </c>
      <c r="G172" s="228">
        <v>6</v>
      </c>
      <c r="H172" s="229">
        <v>3.8E-3</v>
      </c>
      <c r="I172" s="231">
        <v>1575.6</v>
      </c>
      <c r="J172" s="231">
        <v>1570.4</v>
      </c>
      <c r="K172" s="228">
        <v>5.2</v>
      </c>
      <c r="L172" s="229">
        <v>3.3E-3</v>
      </c>
      <c r="M172" s="231">
        <v>1584</v>
      </c>
      <c r="N172" s="231">
        <v>1578</v>
      </c>
      <c r="O172" s="228">
        <v>6</v>
      </c>
      <c r="P172" s="229">
        <v>3.8E-3</v>
      </c>
      <c r="Q172" s="231">
        <v>1592.2</v>
      </c>
      <c r="R172" s="231">
        <v>1587.2</v>
      </c>
      <c r="S172" s="228">
        <v>5</v>
      </c>
      <c r="T172" s="229">
        <v>3.2000000000000002E-3</v>
      </c>
      <c r="U172" s="231">
        <v>1603</v>
      </c>
      <c r="V172" s="231">
        <v>1595.9</v>
      </c>
      <c r="W172" s="228">
        <v>7.1</v>
      </c>
      <c r="X172" s="229">
        <v>4.4000000000000003E-3</v>
      </c>
      <c r="Y172" s="228">
        <v>8.4</v>
      </c>
      <c r="Z172" s="228">
        <v>7.6</v>
      </c>
      <c r="AA172" s="228">
        <v>0.8</v>
      </c>
      <c r="AB172" s="229">
        <v>5.3E-3</v>
      </c>
      <c r="AC172" s="228">
        <v>8.4</v>
      </c>
      <c r="AD172" s="228">
        <v>7.6</v>
      </c>
      <c r="AE172" s="228">
        <v>0.8</v>
      </c>
      <c r="AF172" s="229">
        <v>5.3E-3</v>
      </c>
      <c r="AG172" s="228">
        <v>16.600000000000001</v>
      </c>
      <c r="AH172" s="228">
        <v>16.8</v>
      </c>
      <c r="AI172" s="228">
        <v>-0.2</v>
      </c>
      <c r="AJ172" s="229">
        <v>1.0500000000000001E-2</v>
      </c>
      <c r="AK172" s="228">
        <v>27.4</v>
      </c>
      <c r="AL172" s="228">
        <v>25.5</v>
      </c>
      <c r="AM172" s="228">
        <v>1.9</v>
      </c>
      <c r="AN172" s="229">
        <v>1.7399999999999999E-2</v>
      </c>
      <c r="AO172" s="231">
        <v>1588.51</v>
      </c>
      <c r="AP172" s="231">
        <v>1598.15</v>
      </c>
      <c r="AQ172" s="228">
        <v>0</v>
      </c>
      <c r="AR172" s="230">
        <v>8049000</v>
      </c>
      <c r="AS172" s="230">
        <v>11368500</v>
      </c>
      <c r="AT172" s="230">
        <v>-3319500</v>
      </c>
      <c r="AU172" s="229">
        <v>-0.29199999999999998</v>
      </c>
      <c r="AV172" s="230">
        <v>7483500</v>
      </c>
      <c r="AW172" s="230">
        <v>10893000</v>
      </c>
      <c r="AX172" s="230">
        <v>-3409500</v>
      </c>
      <c r="AY172" s="229">
        <v>-0.313</v>
      </c>
      <c r="AZ172" s="230">
        <v>423500</v>
      </c>
      <c r="BA172" s="230">
        <v>422000</v>
      </c>
      <c r="BB172" s="230">
        <v>1500</v>
      </c>
      <c r="BC172" s="229">
        <v>3.5999999999999999E-3</v>
      </c>
      <c r="BD172" s="230">
        <v>142000</v>
      </c>
      <c r="BE172" s="230">
        <v>53500</v>
      </c>
      <c r="BF172" s="230">
        <v>88500</v>
      </c>
      <c r="BG172" s="229">
        <v>1.6541999999999999</v>
      </c>
      <c r="BH172" s="230">
        <v>54946000</v>
      </c>
      <c r="BI172" s="230">
        <v>54267000</v>
      </c>
      <c r="BJ172" s="230">
        <v>679000</v>
      </c>
      <c r="BK172" s="229">
        <v>1.2500000000000001E-2</v>
      </c>
      <c r="BL172" s="230">
        <v>25699000</v>
      </c>
      <c r="BM172" s="230">
        <v>29370500</v>
      </c>
      <c r="BN172" s="230">
        <v>-3671500</v>
      </c>
      <c r="BO172" s="229">
        <v>-0.125</v>
      </c>
      <c r="BP172" s="230">
        <v>88694000</v>
      </c>
      <c r="BQ172" s="230">
        <v>95006000</v>
      </c>
      <c r="BR172" s="230">
        <v>-6312000</v>
      </c>
      <c r="BS172" s="229">
        <v>-6.6400000000000001E-2</v>
      </c>
      <c r="BT172" s="230">
        <v>7279321</v>
      </c>
      <c r="BU172" s="230">
        <v>6209385</v>
      </c>
      <c r="BV172" s="230">
        <v>1069936</v>
      </c>
      <c r="BW172" s="229">
        <v>0.17230000000000001</v>
      </c>
      <c r="BX172" s="230">
        <v>100133500</v>
      </c>
      <c r="BY172" s="230">
        <v>99554000</v>
      </c>
      <c r="BZ172" s="230">
        <v>579500</v>
      </c>
      <c r="CA172" s="229">
        <v>5.7999999999999996E-3</v>
      </c>
      <c r="CB172" s="230">
        <v>98203000</v>
      </c>
      <c r="CC172" s="230">
        <v>97766500</v>
      </c>
      <c r="CD172" s="230">
        <v>436500</v>
      </c>
      <c r="CE172" s="229">
        <v>4.4999999999999997E-3</v>
      </c>
      <c r="CF172" s="230">
        <v>1807500</v>
      </c>
      <c r="CG172" s="230">
        <v>1754000</v>
      </c>
      <c r="CH172" s="230">
        <v>53500</v>
      </c>
      <c r="CI172" s="229">
        <v>3.0499999999999999E-2</v>
      </c>
      <c r="CJ172" s="230">
        <v>123000</v>
      </c>
      <c r="CK172" s="230">
        <v>33500</v>
      </c>
      <c r="CL172" s="230">
        <v>89500</v>
      </c>
      <c r="CM172" s="229">
        <v>2.6716000000000002</v>
      </c>
      <c r="CN172" s="230">
        <v>27750500</v>
      </c>
      <c r="CO172" s="230">
        <v>23444500</v>
      </c>
      <c r="CP172" s="230">
        <v>4306000</v>
      </c>
      <c r="CQ172" s="229">
        <v>0.1837</v>
      </c>
      <c r="CR172" s="230">
        <v>17258500</v>
      </c>
      <c r="CS172" s="230">
        <v>16471500</v>
      </c>
      <c r="CT172" s="230">
        <v>787000</v>
      </c>
      <c r="CU172" s="229">
        <v>4.7800000000000002E-2</v>
      </c>
      <c r="CV172" s="230">
        <v>145142500</v>
      </c>
      <c r="CW172" s="230">
        <v>139470000</v>
      </c>
      <c r="CX172" s="230">
        <v>5672500</v>
      </c>
      <c r="CY172" s="229">
        <v>4.07E-2</v>
      </c>
      <c r="CZ172" s="228">
        <v>15.52</v>
      </c>
      <c r="DA172" s="228">
        <v>16.239999999999998</v>
      </c>
      <c r="DB172" s="228">
        <v>-0.72</v>
      </c>
      <c r="DC172" s="228">
        <v>-0.72</v>
      </c>
      <c r="DD172" s="228">
        <v>23.06</v>
      </c>
      <c r="DE172" s="228">
        <v>23.12</v>
      </c>
      <c r="DF172" s="228">
        <v>-7.54</v>
      </c>
      <c r="DG172" s="228">
        <v>-0.06</v>
      </c>
      <c r="DH172" s="228">
        <v>15.3</v>
      </c>
      <c r="DI172" s="228">
        <v>15.98</v>
      </c>
      <c r="DJ172" s="228">
        <v>-0.68</v>
      </c>
      <c r="DK172" s="228">
        <v>-0.68</v>
      </c>
      <c r="DL172" s="228">
        <v>15.98</v>
      </c>
      <c r="DM172" s="228">
        <v>16.73</v>
      </c>
      <c r="DN172" s="228">
        <v>-0.75</v>
      </c>
      <c r="DO172" s="228">
        <v>-0.75</v>
      </c>
      <c r="DP172" s="228">
        <v>0.62</v>
      </c>
      <c r="DQ172" s="228">
        <v>0.7</v>
      </c>
      <c r="DR172" s="228">
        <v>-0.08</v>
      </c>
      <c r="DS172" s="229">
        <v>-0.1143</v>
      </c>
      <c r="DT172" s="231">
        <v>1600</v>
      </c>
      <c r="DU172" s="231">
        <v>1550</v>
      </c>
      <c r="DV172" s="228">
        <v>0.47</v>
      </c>
      <c r="DW172" s="228">
        <v>0.54</v>
      </c>
      <c r="DX172" s="228">
        <v>-7.0000000000000007E-2</v>
      </c>
      <c r="DY172" s="229">
        <v>-0.12959999999999999</v>
      </c>
      <c r="DZ172" s="229">
        <v>1.9300000000000001E-2</v>
      </c>
      <c r="EA172" s="230">
        <v>1787500</v>
      </c>
      <c r="EB172" s="229">
        <v>5.1999999999999998E-3</v>
      </c>
      <c r="EC172" s="229">
        <v>1.9300000000000001E-2</v>
      </c>
      <c r="ED172" s="228">
        <v>9.64</v>
      </c>
      <c r="EE172" s="229">
        <v>6.1000000000000004E-3</v>
      </c>
      <c r="EF172" s="230">
        <v>2255336</v>
      </c>
      <c r="EG172" s="230">
        <v>3249428</v>
      </c>
      <c r="EH172" s="229">
        <v>-0.30590000000000001</v>
      </c>
      <c r="EI172" s="229">
        <v>0.30980000000000002</v>
      </c>
      <c r="EJ172" s="231">
        <v>898630.43</v>
      </c>
      <c r="EK172" s="231">
        <v>402696.84</v>
      </c>
      <c r="EL172" s="231">
        <v>127925.23</v>
      </c>
      <c r="EM172" s="231">
        <v>62573</v>
      </c>
      <c r="EN172" s="231">
        <v>1429252.5</v>
      </c>
      <c r="EO172" s="231">
        <v>1513219</v>
      </c>
      <c r="EP172" s="231">
        <v>-83966.5</v>
      </c>
      <c r="EQ172" s="229">
        <v>-5.5500000000000001E-2</v>
      </c>
      <c r="ER172" s="231">
        <v>446481</v>
      </c>
      <c r="ES172" s="231">
        <v>264843</v>
      </c>
      <c r="ET172" s="231">
        <v>1586286</v>
      </c>
      <c r="EU172" s="231">
        <v>664266681</v>
      </c>
      <c r="EV172" s="231">
        <v>2297611</v>
      </c>
      <c r="EW172" s="231">
        <v>2199475</v>
      </c>
      <c r="EX172" s="231">
        <v>98136</v>
      </c>
      <c r="EY172" s="229">
        <v>4.4600000000000001E-2</v>
      </c>
      <c r="EZ172" s="229">
        <v>0.2185</v>
      </c>
      <c r="FA172" s="227" t="s">
        <v>555</v>
      </c>
      <c r="FB172" s="161">
        <f t="shared" si="4"/>
        <v>0</v>
      </c>
    </row>
    <row r="173" spans="1:158" ht="17.25" thickBot="1" x14ac:dyDescent="0.3">
      <c r="A173" s="226">
        <v>46023</v>
      </c>
      <c r="B173" s="227" t="s">
        <v>215</v>
      </c>
      <c r="C173" s="227" t="s">
        <v>675</v>
      </c>
      <c r="D173" s="228">
        <v>1525</v>
      </c>
      <c r="E173" s="228">
        <v>357.6</v>
      </c>
      <c r="F173" s="228">
        <v>351.9</v>
      </c>
      <c r="G173" s="228">
        <v>5.7</v>
      </c>
      <c r="H173" s="229">
        <v>1.6199999999999999E-2</v>
      </c>
      <c r="I173" s="228">
        <v>361.5</v>
      </c>
      <c r="J173" s="228">
        <v>357.25</v>
      </c>
      <c r="K173" s="228">
        <v>4.25</v>
      </c>
      <c r="L173" s="229">
        <v>1.1900000000000001E-2</v>
      </c>
      <c r="M173" s="228">
        <v>357.6</v>
      </c>
      <c r="N173" s="228">
        <v>351.9</v>
      </c>
      <c r="O173" s="228">
        <v>5.7</v>
      </c>
      <c r="P173" s="229">
        <v>1.6199999999999999E-2</v>
      </c>
      <c r="Q173" s="228">
        <v>351.45</v>
      </c>
      <c r="R173" s="228">
        <v>345.65</v>
      </c>
      <c r="S173" s="228">
        <v>5.8</v>
      </c>
      <c r="T173" s="229">
        <v>1.6799999999999999E-2</v>
      </c>
      <c r="U173" s="228">
        <v>347.65</v>
      </c>
      <c r="V173" s="228">
        <v>341.3</v>
      </c>
      <c r="W173" s="228">
        <v>6.35</v>
      </c>
      <c r="X173" s="229">
        <v>1.8599999999999998E-2</v>
      </c>
      <c r="Y173" s="228">
        <v>-3.9</v>
      </c>
      <c r="Z173" s="228">
        <v>-5.35</v>
      </c>
      <c r="AA173" s="228">
        <v>1.45</v>
      </c>
      <c r="AB173" s="229">
        <v>-1.0800000000000001E-2</v>
      </c>
      <c r="AC173" s="228">
        <v>-3.9</v>
      </c>
      <c r="AD173" s="228">
        <v>-5.35</v>
      </c>
      <c r="AE173" s="228">
        <v>1.45</v>
      </c>
      <c r="AF173" s="229">
        <v>-1.0800000000000001E-2</v>
      </c>
      <c r="AG173" s="228">
        <v>-10.050000000000001</v>
      </c>
      <c r="AH173" s="228">
        <v>-11.6</v>
      </c>
      <c r="AI173" s="228">
        <v>1.55</v>
      </c>
      <c r="AJ173" s="229">
        <v>-2.7799999999999998E-2</v>
      </c>
      <c r="AK173" s="228">
        <v>-13.85</v>
      </c>
      <c r="AL173" s="228">
        <v>-15.95</v>
      </c>
      <c r="AM173" s="228">
        <v>2.1</v>
      </c>
      <c r="AN173" s="229">
        <v>-3.8300000000000001E-2</v>
      </c>
      <c r="AO173" s="228">
        <v>355.24</v>
      </c>
      <c r="AP173" s="228">
        <v>348.74</v>
      </c>
      <c r="AQ173" s="228">
        <v>0</v>
      </c>
      <c r="AR173" s="230">
        <v>5682150</v>
      </c>
      <c r="AS173" s="230">
        <v>9441275</v>
      </c>
      <c r="AT173" s="230">
        <v>-3759125</v>
      </c>
      <c r="AU173" s="229">
        <v>-0.3982</v>
      </c>
      <c r="AV173" s="230">
        <v>4934900</v>
      </c>
      <c r="AW173" s="230">
        <v>8117575</v>
      </c>
      <c r="AX173" s="230">
        <v>-3182675</v>
      </c>
      <c r="AY173" s="229">
        <v>-0.3921</v>
      </c>
      <c r="AZ173" s="230">
        <v>643550</v>
      </c>
      <c r="BA173" s="230">
        <v>1174250</v>
      </c>
      <c r="BB173" s="230">
        <v>-530700</v>
      </c>
      <c r="BC173" s="229">
        <v>-0.45190000000000002</v>
      </c>
      <c r="BD173" s="230">
        <v>103700</v>
      </c>
      <c r="BE173" s="230">
        <v>149450</v>
      </c>
      <c r="BF173" s="230">
        <v>-45750</v>
      </c>
      <c r="BG173" s="229">
        <v>-0.30609999999999998</v>
      </c>
      <c r="BH173" s="230">
        <v>30617425</v>
      </c>
      <c r="BI173" s="230">
        <v>48867100</v>
      </c>
      <c r="BJ173" s="230">
        <v>-18249675</v>
      </c>
      <c r="BK173" s="229">
        <v>-0.3735</v>
      </c>
      <c r="BL173" s="230">
        <v>8006250</v>
      </c>
      <c r="BM173" s="230">
        <v>14333475</v>
      </c>
      <c r="BN173" s="230">
        <v>-6327225</v>
      </c>
      <c r="BO173" s="229">
        <v>-0.44140000000000001</v>
      </c>
      <c r="BP173" s="230">
        <v>44305825</v>
      </c>
      <c r="BQ173" s="230">
        <v>72641850</v>
      </c>
      <c r="BR173" s="230">
        <v>-28336025</v>
      </c>
      <c r="BS173" s="229">
        <v>-0.3901</v>
      </c>
      <c r="BT173" s="230">
        <v>8479581</v>
      </c>
      <c r="BU173" s="230">
        <v>13842022</v>
      </c>
      <c r="BV173" s="230">
        <v>-5362441</v>
      </c>
      <c r="BW173" s="229">
        <v>-0.38740000000000002</v>
      </c>
      <c r="BX173" s="230">
        <v>42695425</v>
      </c>
      <c r="BY173" s="230">
        <v>42703050</v>
      </c>
      <c r="BZ173" s="230">
        <v>-7625</v>
      </c>
      <c r="CA173" s="229">
        <v>-2.0000000000000001E-4</v>
      </c>
      <c r="CB173" s="230">
        <v>39765900</v>
      </c>
      <c r="CC173" s="230">
        <v>39860450</v>
      </c>
      <c r="CD173" s="230">
        <v>-94550</v>
      </c>
      <c r="CE173" s="229">
        <v>-2.3999999999999998E-3</v>
      </c>
      <c r="CF173" s="230">
        <v>2786175</v>
      </c>
      <c r="CG173" s="230">
        <v>2725175</v>
      </c>
      <c r="CH173" s="230">
        <v>61000</v>
      </c>
      <c r="CI173" s="229">
        <v>2.24E-2</v>
      </c>
      <c r="CJ173" s="230">
        <v>143350</v>
      </c>
      <c r="CK173" s="230">
        <v>117425</v>
      </c>
      <c r="CL173" s="230">
        <v>25925</v>
      </c>
      <c r="CM173" s="229">
        <v>0.2208</v>
      </c>
      <c r="CN173" s="230">
        <v>41161275</v>
      </c>
      <c r="CO173" s="230">
        <v>41249725</v>
      </c>
      <c r="CP173" s="230">
        <v>-88450</v>
      </c>
      <c r="CQ173" s="229">
        <v>-2.0999999999999999E-3</v>
      </c>
      <c r="CR173" s="230">
        <v>14478350</v>
      </c>
      <c r="CS173" s="230">
        <v>14348725</v>
      </c>
      <c r="CT173" s="230">
        <v>129625</v>
      </c>
      <c r="CU173" s="229">
        <v>8.9999999999999993E-3</v>
      </c>
      <c r="CV173" s="230">
        <v>98335050</v>
      </c>
      <c r="CW173" s="230">
        <v>98301500</v>
      </c>
      <c r="CX173" s="230">
        <v>33550</v>
      </c>
      <c r="CY173" s="229">
        <v>2.9999999999999997E-4</v>
      </c>
      <c r="CZ173" s="228">
        <v>45.55</v>
      </c>
      <c r="DA173" s="228">
        <v>47.11</v>
      </c>
      <c r="DB173" s="228">
        <v>-1.56</v>
      </c>
      <c r="DC173" s="228">
        <v>-1.56</v>
      </c>
      <c r="DD173" s="228">
        <v>56.21</v>
      </c>
      <c r="DE173" s="228">
        <v>56.31</v>
      </c>
      <c r="DF173" s="228">
        <v>-10.66</v>
      </c>
      <c r="DG173" s="228">
        <v>-0.1</v>
      </c>
      <c r="DH173" s="228">
        <v>45.56</v>
      </c>
      <c r="DI173" s="228">
        <v>47.37</v>
      </c>
      <c r="DJ173" s="228">
        <v>-1.81</v>
      </c>
      <c r="DK173" s="228">
        <v>-1.81</v>
      </c>
      <c r="DL173" s="228">
        <v>45.51</v>
      </c>
      <c r="DM173" s="228">
        <v>46.19</v>
      </c>
      <c r="DN173" s="228">
        <v>-0.68</v>
      </c>
      <c r="DO173" s="228">
        <v>-0.68</v>
      </c>
      <c r="DP173" s="228">
        <v>0.35</v>
      </c>
      <c r="DQ173" s="228">
        <v>0.35</v>
      </c>
      <c r="DR173" s="228">
        <v>0</v>
      </c>
      <c r="DS173" s="229">
        <v>0</v>
      </c>
      <c r="DT173" s="228">
        <v>400</v>
      </c>
      <c r="DU173" s="228">
        <v>320</v>
      </c>
      <c r="DV173" s="228">
        <v>0.26</v>
      </c>
      <c r="DW173" s="228">
        <v>0.28999999999999998</v>
      </c>
      <c r="DX173" s="228">
        <v>-0.03</v>
      </c>
      <c r="DY173" s="229">
        <v>-0.10340000000000001</v>
      </c>
      <c r="DZ173" s="229">
        <v>6.8599999999999994E-2</v>
      </c>
      <c r="EA173" s="230">
        <v>2842600</v>
      </c>
      <c r="EB173" s="229">
        <v>-1.72E-2</v>
      </c>
      <c r="EC173" s="229">
        <v>6.8599999999999994E-2</v>
      </c>
      <c r="ED173" s="228">
        <v>-6.5</v>
      </c>
      <c r="EE173" s="229">
        <v>-1.83E-2</v>
      </c>
      <c r="EF173" s="230">
        <v>1766698</v>
      </c>
      <c r="EG173" s="230">
        <v>3181895</v>
      </c>
      <c r="EH173" s="229">
        <v>-0.44479999999999997</v>
      </c>
      <c r="EI173" s="229">
        <v>0.20830000000000001</v>
      </c>
      <c r="EJ173" s="231">
        <v>119712.19</v>
      </c>
      <c r="EK173" s="231">
        <v>27763.05</v>
      </c>
      <c r="EL173" s="231">
        <v>20132.12</v>
      </c>
      <c r="EM173" s="231">
        <v>27135</v>
      </c>
      <c r="EN173" s="231">
        <v>167607.35999999999</v>
      </c>
      <c r="EO173" s="231">
        <v>275617.14</v>
      </c>
      <c r="EP173" s="231">
        <v>-108009.78</v>
      </c>
      <c r="EQ173" s="229">
        <v>-0.39190000000000003</v>
      </c>
      <c r="ER173" s="231">
        <v>159754</v>
      </c>
      <c r="ES173" s="231">
        <v>48956</v>
      </c>
      <c r="ET173" s="231">
        <v>152493</v>
      </c>
      <c r="EU173" s="231">
        <v>84941460</v>
      </c>
      <c r="EV173" s="231">
        <v>361203</v>
      </c>
      <c r="EW173" s="231">
        <v>358532</v>
      </c>
      <c r="EX173" s="231">
        <v>2671</v>
      </c>
      <c r="EY173" s="229">
        <v>7.4000000000000003E-3</v>
      </c>
      <c r="EZ173" s="229">
        <v>1.1577</v>
      </c>
      <c r="FA173" s="227" t="s">
        <v>556</v>
      </c>
      <c r="FB173" s="161">
        <f t="shared" si="4"/>
        <v>0</v>
      </c>
    </row>
    <row r="174" spans="1:158" ht="17.25" thickBot="1" x14ac:dyDescent="0.3">
      <c r="A174" s="226">
        <v>46023</v>
      </c>
      <c r="B174" s="227" t="s">
        <v>227</v>
      </c>
      <c r="C174" s="227" t="s">
        <v>282</v>
      </c>
      <c r="D174" s="228">
        <v>4700</v>
      </c>
      <c r="E174" s="228">
        <v>149.33000000000001</v>
      </c>
      <c r="F174" s="228">
        <v>147.86000000000001</v>
      </c>
      <c r="G174" s="228">
        <v>1.47</v>
      </c>
      <c r="H174" s="229">
        <v>9.9000000000000008E-3</v>
      </c>
      <c r="I174" s="228">
        <v>148.44999999999999</v>
      </c>
      <c r="J174" s="228">
        <v>146.99</v>
      </c>
      <c r="K174" s="228">
        <v>1.46</v>
      </c>
      <c r="L174" s="229">
        <v>9.9000000000000008E-3</v>
      </c>
      <c r="M174" s="228">
        <v>149.33000000000001</v>
      </c>
      <c r="N174" s="228">
        <v>147.86000000000001</v>
      </c>
      <c r="O174" s="228">
        <v>1.47</v>
      </c>
      <c r="P174" s="229">
        <v>9.9000000000000008E-3</v>
      </c>
      <c r="Q174" s="228">
        <v>149.94999999999999</v>
      </c>
      <c r="R174" s="228">
        <v>148.49</v>
      </c>
      <c r="S174" s="228">
        <v>1.46</v>
      </c>
      <c r="T174" s="229">
        <v>9.7999999999999997E-3</v>
      </c>
      <c r="U174" s="228">
        <v>150.81</v>
      </c>
      <c r="V174" s="228">
        <v>149.13999999999999</v>
      </c>
      <c r="W174" s="228">
        <v>1.67</v>
      </c>
      <c r="X174" s="229">
        <v>1.12E-2</v>
      </c>
      <c r="Y174" s="228">
        <v>0.88</v>
      </c>
      <c r="Z174" s="228">
        <v>0.87</v>
      </c>
      <c r="AA174" s="228">
        <v>0.01</v>
      </c>
      <c r="AB174" s="229">
        <v>5.8999999999999999E-3</v>
      </c>
      <c r="AC174" s="228">
        <v>0.88</v>
      </c>
      <c r="AD174" s="228">
        <v>0.87</v>
      </c>
      <c r="AE174" s="228">
        <v>0.01</v>
      </c>
      <c r="AF174" s="229">
        <v>5.8999999999999999E-3</v>
      </c>
      <c r="AG174" s="228">
        <v>1.5</v>
      </c>
      <c r="AH174" s="228">
        <v>1.5</v>
      </c>
      <c r="AI174" s="228">
        <v>0</v>
      </c>
      <c r="AJ174" s="229">
        <v>1.01E-2</v>
      </c>
      <c r="AK174" s="228">
        <v>2.36</v>
      </c>
      <c r="AL174" s="228">
        <v>2.15</v>
      </c>
      <c r="AM174" s="228">
        <v>0.21</v>
      </c>
      <c r="AN174" s="229">
        <v>1.5900000000000001E-2</v>
      </c>
      <c r="AO174" s="228">
        <v>148.87</v>
      </c>
      <c r="AP174" s="228">
        <v>149.72</v>
      </c>
      <c r="AQ174" s="228">
        <v>0</v>
      </c>
      <c r="AR174" s="230">
        <v>32444100</v>
      </c>
      <c r="AS174" s="230">
        <v>109735600</v>
      </c>
      <c r="AT174" s="230">
        <v>-77291500</v>
      </c>
      <c r="AU174" s="229">
        <v>-0.70430000000000004</v>
      </c>
      <c r="AV174" s="230">
        <v>28811000</v>
      </c>
      <c r="AW174" s="230">
        <v>105270600</v>
      </c>
      <c r="AX174" s="230">
        <v>-76459600</v>
      </c>
      <c r="AY174" s="229">
        <v>-0.72629999999999995</v>
      </c>
      <c r="AZ174" s="230">
        <v>2993900</v>
      </c>
      <c r="BA174" s="230">
        <v>3896300</v>
      </c>
      <c r="BB174" s="230">
        <v>-902400</v>
      </c>
      <c r="BC174" s="229">
        <v>-0.2316</v>
      </c>
      <c r="BD174" s="230">
        <v>639200</v>
      </c>
      <c r="BE174" s="230">
        <v>568700</v>
      </c>
      <c r="BF174" s="230">
        <v>70500</v>
      </c>
      <c r="BG174" s="229">
        <v>0.124</v>
      </c>
      <c r="BH174" s="230">
        <v>67087800</v>
      </c>
      <c r="BI174" s="230">
        <v>251431200</v>
      </c>
      <c r="BJ174" s="230">
        <v>-184343400</v>
      </c>
      <c r="BK174" s="229">
        <v>-0.73319999999999996</v>
      </c>
      <c r="BL174" s="230">
        <v>42116700</v>
      </c>
      <c r="BM174" s="230">
        <v>142912900</v>
      </c>
      <c r="BN174" s="230">
        <v>-100796200</v>
      </c>
      <c r="BO174" s="229">
        <v>-0.70530000000000004</v>
      </c>
      <c r="BP174" s="230">
        <v>141648600</v>
      </c>
      <c r="BQ174" s="230">
        <v>504079700</v>
      </c>
      <c r="BR174" s="230">
        <v>-362431100</v>
      </c>
      <c r="BS174" s="229">
        <v>-0.71899999999999997</v>
      </c>
      <c r="BT174" s="230">
        <v>23853461</v>
      </c>
      <c r="BU174" s="230">
        <v>72050724</v>
      </c>
      <c r="BV174" s="230">
        <v>-48197263</v>
      </c>
      <c r="BW174" s="229">
        <v>-0.66890000000000005</v>
      </c>
      <c r="BX174" s="230">
        <v>207138400</v>
      </c>
      <c r="BY174" s="230">
        <v>204459400</v>
      </c>
      <c r="BZ174" s="230">
        <v>2679000</v>
      </c>
      <c r="CA174" s="229">
        <v>1.3100000000000001E-2</v>
      </c>
      <c r="CB174" s="230">
        <v>199759400</v>
      </c>
      <c r="CC174" s="230">
        <v>198612600</v>
      </c>
      <c r="CD174" s="230">
        <v>1146800</v>
      </c>
      <c r="CE174" s="229">
        <v>5.7999999999999996E-3</v>
      </c>
      <c r="CF174" s="230">
        <v>6650500</v>
      </c>
      <c r="CG174" s="230">
        <v>5527200</v>
      </c>
      <c r="CH174" s="230">
        <v>1123300</v>
      </c>
      <c r="CI174" s="229">
        <v>0.20319999999999999</v>
      </c>
      <c r="CJ174" s="230">
        <v>728500</v>
      </c>
      <c r="CK174" s="230">
        <v>319600</v>
      </c>
      <c r="CL174" s="230">
        <v>408900</v>
      </c>
      <c r="CM174" s="229">
        <v>1.2794000000000001</v>
      </c>
      <c r="CN174" s="230">
        <v>52950200</v>
      </c>
      <c r="CO174" s="230">
        <v>51582500</v>
      </c>
      <c r="CP174" s="230">
        <v>1367700</v>
      </c>
      <c r="CQ174" s="229">
        <v>2.6499999999999999E-2</v>
      </c>
      <c r="CR174" s="230">
        <v>41327100</v>
      </c>
      <c r="CS174" s="230">
        <v>39879500</v>
      </c>
      <c r="CT174" s="230">
        <v>1447600</v>
      </c>
      <c r="CU174" s="229">
        <v>3.6299999999999999E-2</v>
      </c>
      <c r="CV174" s="230">
        <v>301415700</v>
      </c>
      <c r="CW174" s="230">
        <v>295921400</v>
      </c>
      <c r="CX174" s="230">
        <v>5494300</v>
      </c>
      <c r="CY174" s="229">
        <v>1.8599999999999998E-2</v>
      </c>
      <c r="CZ174" s="228">
        <v>34.69</v>
      </c>
      <c r="DA174" s="228">
        <v>35.520000000000003</v>
      </c>
      <c r="DB174" s="228">
        <v>-0.83</v>
      </c>
      <c r="DC174" s="228">
        <v>-0.83</v>
      </c>
      <c r="DD174" s="228">
        <v>43.63</v>
      </c>
      <c r="DE174" s="228">
        <v>43.72</v>
      </c>
      <c r="DF174" s="228">
        <v>-8.94</v>
      </c>
      <c r="DG174" s="228">
        <v>-0.09</v>
      </c>
      <c r="DH174" s="228">
        <v>34.4</v>
      </c>
      <c r="DI174" s="228">
        <v>35.24</v>
      </c>
      <c r="DJ174" s="228">
        <v>-0.84</v>
      </c>
      <c r="DK174" s="228">
        <v>-0.84</v>
      </c>
      <c r="DL174" s="228">
        <v>35.159999999999997</v>
      </c>
      <c r="DM174" s="228">
        <v>36</v>
      </c>
      <c r="DN174" s="228">
        <v>-0.84</v>
      </c>
      <c r="DO174" s="228">
        <v>-0.84</v>
      </c>
      <c r="DP174" s="228">
        <v>0.78</v>
      </c>
      <c r="DQ174" s="228">
        <v>0.77</v>
      </c>
      <c r="DR174" s="228">
        <v>0.01</v>
      </c>
      <c r="DS174" s="229">
        <v>1.2999999999999999E-2</v>
      </c>
      <c r="DT174" s="228">
        <v>150</v>
      </c>
      <c r="DU174" s="228">
        <v>140</v>
      </c>
      <c r="DV174" s="228">
        <v>0.63</v>
      </c>
      <c r="DW174" s="228">
        <v>0.56999999999999995</v>
      </c>
      <c r="DX174" s="228">
        <v>0.06</v>
      </c>
      <c r="DY174" s="229">
        <v>0.1053</v>
      </c>
      <c r="DZ174" s="229">
        <v>3.56E-2</v>
      </c>
      <c r="EA174" s="230">
        <v>5846800</v>
      </c>
      <c r="EB174" s="229">
        <v>4.1999999999999997E-3</v>
      </c>
      <c r="EC174" s="229">
        <v>3.56E-2</v>
      </c>
      <c r="ED174" s="228">
        <v>0.85</v>
      </c>
      <c r="EE174" s="229">
        <v>5.7000000000000002E-3</v>
      </c>
      <c r="EF174" s="230">
        <v>6594692</v>
      </c>
      <c r="EG174" s="230">
        <v>18556171</v>
      </c>
      <c r="EH174" s="229">
        <v>-0.64459999999999995</v>
      </c>
      <c r="EI174" s="229">
        <v>0.27650000000000002</v>
      </c>
      <c r="EJ174" s="231">
        <v>105358.64</v>
      </c>
      <c r="EK174" s="231">
        <v>60664.89</v>
      </c>
      <c r="EL174" s="231">
        <v>48334.49</v>
      </c>
      <c r="EM174" s="231">
        <v>28507</v>
      </c>
      <c r="EN174" s="231">
        <v>214358.02</v>
      </c>
      <c r="EO174" s="231">
        <v>755232.35</v>
      </c>
      <c r="EP174" s="231">
        <v>-540874.32999999996</v>
      </c>
      <c r="EQ174" s="229">
        <v>-0.71619999999999995</v>
      </c>
      <c r="ER174" s="231">
        <v>78792</v>
      </c>
      <c r="ES174" s="231">
        <v>56009</v>
      </c>
      <c r="ET174" s="231">
        <v>309372</v>
      </c>
      <c r="EU174" s="231">
        <v>216861410</v>
      </c>
      <c r="EV174" s="231">
        <v>444172</v>
      </c>
      <c r="EW174" s="231">
        <v>432651</v>
      </c>
      <c r="EX174" s="231">
        <v>11521</v>
      </c>
      <c r="EY174" s="229">
        <v>2.6599999999999999E-2</v>
      </c>
      <c r="EZ174" s="229">
        <v>1.3898999999999999</v>
      </c>
      <c r="FA174" s="227" t="s">
        <v>555</v>
      </c>
      <c r="FB174" s="161">
        <f t="shared" si="4"/>
        <v>0</v>
      </c>
    </row>
    <row r="175" spans="1:158" ht="17.25" thickBot="1" x14ac:dyDescent="0.3">
      <c r="A175" s="226">
        <v>46023</v>
      </c>
      <c r="B175" s="227" t="s">
        <v>175</v>
      </c>
      <c r="C175" s="227" t="s">
        <v>686</v>
      </c>
      <c r="D175" s="228">
        <v>4300</v>
      </c>
      <c r="E175" s="228">
        <v>145.30000000000001</v>
      </c>
      <c r="F175" s="228">
        <v>146.69</v>
      </c>
      <c r="G175" s="228">
        <v>-1.39</v>
      </c>
      <c r="H175" s="229">
        <v>-9.4999999999999998E-3</v>
      </c>
      <c r="I175" s="228">
        <v>144.21</v>
      </c>
      <c r="J175" s="228">
        <v>145.63999999999999</v>
      </c>
      <c r="K175" s="228">
        <v>-1.43</v>
      </c>
      <c r="L175" s="229">
        <v>-9.7999999999999997E-3</v>
      </c>
      <c r="M175" s="228">
        <v>145.30000000000001</v>
      </c>
      <c r="N175" s="228">
        <v>146.69</v>
      </c>
      <c r="O175" s="228">
        <v>-1.39</v>
      </c>
      <c r="P175" s="229">
        <v>-9.4999999999999998E-3</v>
      </c>
      <c r="Q175" s="228">
        <v>146.11000000000001</v>
      </c>
      <c r="R175" s="228">
        <v>147.69</v>
      </c>
      <c r="S175" s="228">
        <v>-1.58</v>
      </c>
      <c r="T175" s="229">
        <v>-1.0699999999999999E-2</v>
      </c>
      <c r="U175" s="228">
        <v>147.09</v>
      </c>
      <c r="V175" s="228">
        <v>148.62</v>
      </c>
      <c r="W175" s="228">
        <v>-1.53</v>
      </c>
      <c r="X175" s="229">
        <v>-1.03E-2</v>
      </c>
      <c r="Y175" s="228">
        <v>1.0900000000000001</v>
      </c>
      <c r="Z175" s="228">
        <v>1.05</v>
      </c>
      <c r="AA175" s="228">
        <v>0.04</v>
      </c>
      <c r="AB175" s="229">
        <v>7.6E-3</v>
      </c>
      <c r="AC175" s="228">
        <v>1.0900000000000001</v>
      </c>
      <c r="AD175" s="228">
        <v>1.05</v>
      </c>
      <c r="AE175" s="228">
        <v>0.04</v>
      </c>
      <c r="AF175" s="229">
        <v>7.6E-3</v>
      </c>
      <c r="AG175" s="228">
        <v>1.9</v>
      </c>
      <c r="AH175" s="228">
        <v>2.0499999999999998</v>
      </c>
      <c r="AI175" s="228">
        <v>-0.15</v>
      </c>
      <c r="AJ175" s="229">
        <v>1.32E-2</v>
      </c>
      <c r="AK175" s="228">
        <v>2.88</v>
      </c>
      <c r="AL175" s="228">
        <v>2.98</v>
      </c>
      <c r="AM175" s="228">
        <v>-0.1</v>
      </c>
      <c r="AN175" s="229">
        <v>0.02</v>
      </c>
      <c r="AO175" s="228">
        <v>145.55000000000001</v>
      </c>
      <c r="AP175" s="228">
        <v>146.32</v>
      </c>
      <c r="AQ175" s="228">
        <v>0</v>
      </c>
      <c r="AR175" s="230">
        <v>8294700</v>
      </c>
      <c r="AS175" s="230">
        <v>45111300</v>
      </c>
      <c r="AT175" s="230">
        <v>-36816600</v>
      </c>
      <c r="AU175" s="229">
        <v>-0.81610000000000005</v>
      </c>
      <c r="AV175" s="230">
        <v>7555100</v>
      </c>
      <c r="AW175" s="230">
        <v>41559500</v>
      </c>
      <c r="AX175" s="230">
        <v>-34004400</v>
      </c>
      <c r="AY175" s="229">
        <v>-0.81820000000000004</v>
      </c>
      <c r="AZ175" s="230">
        <v>657900</v>
      </c>
      <c r="BA175" s="230">
        <v>3379800</v>
      </c>
      <c r="BB175" s="230">
        <v>-2721900</v>
      </c>
      <c r="BC175" s="229">
        <v>-0.80530000000000002</v>
      </c>
      <c r="BD175" s="230">
        <v>81700</v>
      </c>
      <c r="BE175" s="230">
        <v>172000</v>
      </c>
      <c r="BF175" s="230">
        <v>-90300</v>
      </c>
      <c r="BG175" s="229">
        <v>-0.52500000000000002</v>
      </c>
      <c r="BH175" s="230">
        <v>13953500</v>
      </c>
      <c r="BI175" s="230">
        <v>85570000</v>
      </c>
      <c r="BJ175" s="230">
        <v>-71616500</v>
      </c>
      <c r="BK175" s="229">
        <v>-0.83689999999999998</v>
      </c>
      <c r="BL175" s="230">
        <v>12044300</v>
      </c>
      <c r="BM175" s="230">
        <v>37818500</v>
      </c>
      <c r="BN175" s="230">
        <v>-25774200</v>
      </c>
      <c r="BO175" s="229">
        <v>-0.68149999999999999</v>
      </c>
      <c r="BP175" s="230">
        <v>34292500</v>
      </c>
      <c r="BQ175" s="230">
        <v>168499800</v>
      </c>
      <c r="BR175" s="230">
        <v>-134207300</v>
      </c>
      <c r="BS175" s="229">
        <v>-0.79649999999999999</v>
      </c>
      <c r="BT175" s="230">
        <v>5883721</v>
      </c>
      <c r="BU175" s="230">
        <v>39493816</v>
      </c>
      <c r="BV175" s="230">
        <v>-33610095</v>
      </c>
      <c r="BW175" s="229">
        <v>-0.85099999999999998</v>
      </c>
      <c r="BX175" s="230">
        <v>100495300</v>
      </c>
      <c r="BY175" s="230">
        <v>98461400</v>
      </c>
      <c r="BZ175" s="230">
        <v>2033900</v>
      </c>
      <c r="CA175" s="229">
        <v>2.07E-2</v>
      </c>
      <c r="CB175" s="230">
        <v>96496300</v>
      </c>
      <c r="CC175" s="230">
        <v>94845100</v>
      </c>
      <c r="CD175" s="230">
        <v>1651200</v>
      </c>
      <c r="CE175" s="229">
        <v>1.7399999999999999E-2</v>
      </c>
      <c r="CF175" s="230">
        <v>3818400</v>
      </c>
      <c r="CG175" s="230">
        <v>3504500</v>
      </c>
      <c r="CH175" s="230">
        <v>313900</v>
      </c>
      <c r="CI175" s="229">
        <v>8.9599999999999999E-2</v>
      </c>
      <c r="CJ175" s="230">
        <v>180600</v>
      </c>
      <c r="CK175" s="230">
        <v>111800</v>
      </c>
      <c r="CL175" s="230">
        <v>68800</v>
      </c>
      <c r="CM175" s="229">
        <v>0.61539999999999995</v>
      </c>
      <c r="CN175" s="230">
        <v>25542000</v>
      </c>
      <c r="CO175" s="230">
        <v>22175100</v>
      </c>
      <c r="CP175" s="230">
        <v>3366900</v>
      </c>
      <c r="CQ175" s="229">
        <v>0.15179999999999999</v>
      </c>
      <c r="CR175" s="230">
        <v>19147900</v>
      </c>
      <c r="CS175" s="230">
        <v>16288400</v>
      </c>
      <c r="CT175" s="230">
        <v>2859500</v>
      </c>
      <c r="CU175" s="229">
        <v>0.17560000000000001</v>
      </c>
      <c r="CV175" s="230">
        <v>145185200</v>
      </c>
      <c r="CW175" s="230">
        <v>136924900</v>
      </c>
      <c r="CX175" s="230">
        <v>8260300</v>
      </c>
      <c r="CY175" s="229">
        <v>6.0299999999999999E-2</v>
      </c>
      <c r="CZ175" s="228">
        <v>33.659999999999997</v>
      </c>
      <c r="DA175" s="228">
        <v>36.659999999999997</v>
      </c>
      <c r="DB175" s="228">
        <v>-3</v>
      </c>
      <c r="DC175" s="228">
        <v>-3</v>
      </c>
      <c r="DD175" s="228">
        <v>56.46</v>
      </c>
      <c r="DE175" s="228">
        <v>56.58</v>
      </c>
      <c r="DF175" s="228">
        <v>-22.8</v>
      </c>
      <c r="DG175" s="228">
        <v>-0.12</v>
      </c>
      <c r="DH175" s="228">
        <v>34.32</v>
      </c>
      <c r="DI175" s="228">
        <v>36.83</v>
      </c>
      <c r="DJ175" s="228">
        <v>-2.5099999999999998</v>
      </c>
      <c r="DK175" s="228">
        <v>-2.5099999999999998</v>
      </c>
      <c r="DL175" s="228">
        <v>32.89</v>
      </c>
      <c r="DM175" s="228">
        <v>36.26</v>
      </c>
      <c r="DN175" s="228">
        <v>-3.37</v>
      </c>
      <c r="DO175" s="228">
        <v>-3.37</v>
      </c>
      <c r="DP175" s="228">
        <v>0.75</v>
      </c>
      <c r="DQ175" s="228">
        <v>0.73</v>
      </c>
      <c r="DR175" s="228">
        <v>0.02</v>
      </c>
      <c r="DS175" s="229">
        <v>2.7400000000000001E-2</v>
      </c>
      <c r="DT175" s="228">
        <v>150</v>
      </c>
      <c r="DU175" s="228">
        <v>140</v>
      </c>
      <c r="DV175" s="228">
        <v>0.86</v>
      </c>
      <c r="DW175" s="228">
        <v>0.44</v>
      </c>
      <c r="DX175" s="228">
        <v>0.42</v>
      </c>
      <c r="DY175" s="229">
        <v>0.95450000000000002</v>
      </c>
      <c r="DZ175" s="229">
        <v>3.9800000000000002E-2</v>
      </c>
      <c r="EA175" s="230">
        <v>3616300</v>
      </c>
      <c r="EB175" s="229">
        <v>5.5999999999999999E-3</v>
      </c>
      <c r="EC175" s="229">
        <v>3.9800000000000002E-2</v>
      </c>
      <c r="ED175" s="228">
        <v>0.77</v>
      </c>
      <c r="EE175" s="229">
        <v>5.3E-3</v>
      </c>
      <c r="EF175" s="230">
        <v>2404266</v>
      </c>
      <c r="EG175" s="230">
        <v>19707692</v>
      </c>
      <c r="EH175" s="229">
        <v>-0.878</v>
      </c>
      <c r="EI175" s="229">
        <v>0.40860000000000002</v>
      </c>
      <c r="EJ175" s="231">
        <v>21755.85</v>
      </c>
      <c r="EK175" s="231">
        <v>17040.95</v>
      </c>
      <c r="EL175" s="231">
        <v>12079.61</v>
      </c>
      <c r="EM175" s="231">
        <v>10526</v>
      </c>
      <c r="EN175" s="231">
        <v>50876.41</v>
      </c>
      <c r="EO175" s="231">
        <v>255569.16</v>
      </c>
      <c r="EP175" s="231">
        <v>-204692.75</v>
      </c>
      <c r="EQ175" s="229">
        <v>-0.80089999999999995</v>
      </c>
      <c r="ER175" s="231">
        <v>39531</v>
      </c>
      <c r="ES175" s="231">
        <v>26962</v>
      </c>
      <c r="ET175" s="231">
        <v>146054</v>
      </c>
      <c r="EU175" s="231">
        <v>122326971</v>
      </c>
      <c r="EV175" s="231">
        <v>212547</v>
      </c>
      <c r="EW175" s="231">
        <v>201825</v>
      </c>
      <c r="EX175" s="231">
        <v>10722</v>
      </c>
      <c r="EY175" s="229">
        <v>5.3100000000000001E-2</v>
      </c>
      <c r="EZ175" s="229">
        <v>1.1869000000000001</v>
      </c>
      <c r="FA175" s="227" t="s">
        <v>567</v>
      </c>
      <c r="FB175" s="161">
        <f t="shared" si="4"/>
        <v>0</v>
      </c>
    </row>
    <row r="176" spans="1:158" ht="17.25" thickBot="1" x14ac:dyDescent="0.3">
      <c r="A176" s="226">
        <v>46023</v>
      </c>
      <c r="B176" s="227" t="s">
        <v>175</v>
      </c>
      <c r="C176" s="227" t="s">
        <v>536</v>
      </c>
      <c r="D176" s="228">
        <v>800</v>
      </c>
      <c r="E176" s="228">
        <v>861.75</v>
      </c>
      <c r="F176" s="228">
        <v>866.8</v>
      </c>
      <c r="G176" s="228">
        <v>-5.05</v>
      </c>
      <c r="H176" s="229">
        <v>-5.7999999999999996E-3</v>
      </c>
      <c r="I176" s="228">
        <v>859.5</v>
      </c>
      <c r="J176" s="228">
        <v>861.7</v>
      </c>
      <c r="K176" s="228">
        <v>-2.2000000000000002</v>
      </c>
      <c r="L176" s="229">
        <v>-2.5999999999999999E-3</v>
      </c>
      <c r="M176" s="228">
        <v>861.75</v>
      </c>
      <c r="N176" s="228">
        <v>866.8</v>
      </c>
      <c r="O176" s="228">
        <v>-5.05</v>
      </c>
      <c r="P176" s="229">
        <v>-5.7999999999999996E-3</v>
      </c>
      <c r="Q176" s="228">
        <v>856.85</v>
      </c>
      <c r="R176" s="228">
        <v>861.2</v>
      </c>
      <c r="S176" s="228">
        <v>-4.3499999999999996</v>
      </c>
      <c r="T176" s="229">
        <v>-5.1000000000000004E-3</v>
      </c>
      <c r="U176" s="228">
        <v>857</v>
      </c>
      <c r="V176" s="228">
        <v>858.1</v>
      </c>
      <c r="W176" s="228">
        <v>-1.1000000000000001</v>
      </c>
      <c r="X176" s="229">
        <v>-1.2999999999999999E-3</v>
      </c>
      <c r="Y176" s="228">
        <v>2.25</v>
      </c>
      <c r="Z176" s="228">
        <v>5.0999999999999996</v>
      </c>
      <c r="AA176" s="228">
        <v>-2.85</v>
      </c>
      <c r="AB176" s="229">
        <v>2.5999999999999999E-3</v>
      </c>
      <c r="AC176" s="228">
        <v>2.25</v>
      </c>
      <c r="AD176" s="228">
        <v>5.0999999999999996</v>
      </c>
      <c r="AE176" s="228">
        <v>-2.85</v>
      </c>
      <c r="AF176" s="229">
        <v>2.5999999999999999E-3</v>
      </c>
      <c r="AG176" s="228">
        <v>-2.65</v>
      </c>
      <c r="AH176" s="228">
        <v>-0.5</v>
      </c>
      <c r="AI176" s="228">
        <v>-2.15</v>
      </c>
      <c r="AJ176" s="229">
        <v>-3.0999999999999999E-3</v>
      </c>
      <c r="AK176" s="228">
        <v>-2.5</v>
      </c>
      <c r="AL176" s="228">
        <v>-3.6</v>
      </c>
      <c r="AM176" s="228">
        <v>1.1000000000000001</v>
      </c>
      <c r="AN176" s="229">
        <v>-2.8999999999999998E-3</v>
      </c>
      <c r="AO176" s="228">
        <v>864.37</v>
      </c>
      <c r="AP176" s="228">
        <v>860.39</v>
      </c>
      <c r="AQ176" s="228">
        <v>0</v>
      </c>
      <c r="AR176" s="230">
        <v>1714400</v>
      </c>
      <c r="AS176" s="230">
        <v>3983200</v>
      </c>
      <c r="AT176" s="230">
        <v>-2268800</v>
      </c>
      <c r="AU176" s="229">
        <v>-0.5696</v>
      </c>
      <c r="AV176" s="230">
        <v>1576000</v>
      </c>
      <c r="AW176" s="230">
        <v>3806400</v>
      </c>
      <c r="AX176" s="230">
        <v>-2230400</v>
      </c>
      <c r="AY176" s="229">
        <v>-0.58599999999999997</v>
      </c>
      <c r="AZ176" s="230">
        <v>128000</v>
      </c>
      <c r="BA176" s="230">
        <v>164000</v>
      </c>
      <c r="BB176" s="230">
        <v>-36000</v>
      </c>
      <c r="BC176" s="229">
        <v>-0.2195</v>
      </c>
      <c r="BD176" s="230">
        <v>10400</v>
      </c>
      <c r="BE176" s="230">
        <v>12800</v>
      </c>
      <c r="BF176" s="230">
        <v>-2400</v>
      </c>
      <c r="BG176" s="229">
        <v>-0.1875</v>
      </c>
      <c r="BH176" s="230">
        <v>2122400</v>
      </c>
      <c r="BI176" s="230">
        <v>6726400</v>
      </c>
      <c r="BJ176" s="230">
        <v>-4604000</v>
      </c>
      <c r="BK176" s="229">
        <v>-0.6845</v>
      </c>
      <c r="BL176" s="230">
        <v>1369600</v>
      </c>
      <c r="BM176" s="230">
        <v>3608800</v>
      </c>
      <c r="BN176" s="230">
        <v>-2239200</v>
      </c>
      <c r="BO176" s="229">
        <v>-0.62050000000000005</v>
      </c>
      <c r="BP176" s="230">
        <v>5206400</v>
      </c>
      <c r="BQ176" s="230">
        <v>14318400</v>
      </c>
      <c r="BR176" s="230">
        <v>-9112000</v>
      </c>
      <c r="BS176" s="229">
        <v>-0.63639999999999997</v>
      </c>
      <c r="BT176" s="230">
        <v>509561</v>
      </c>
      <c r="BU176" s="230">
        <v>1131198</v>
      </c>
      <c r="BV176" s="230">
        <v>-621637</v>
      </c>
      <c r="BW176" s="229">
        <v>-0.54949999999999999</v>
      </c>
      <c r="BX176" s="230">
        <v>16415200</v>
      </c>
      <c r="BY176" s="230">
        <v>16152800</v>
      </c>
      <c r="BZ176" s="230">
        <v>262400</v>
      </c>
      <c r="CA176" s="229">
        <v>1.6199999999999999E-2</v>
      </c>
      <c r="CB176" s="230">
        <v>15966400</v>
      </c>
      <c r="CC176" s="230">
        <v>15763200</v>
      </c>
      <c r="CD176" s="230">
        <v>203200</v>
      </c>
      <c r="CE176" s="229">
        <v>1.29E-2</v>
      </c>
      <c r="CF176" s="230">
        <v>430400</v>
      </c>
      <c r="CG176" s="230">
        <v>380800</v>
      </c>
      <c r="CH176" s="230">
        <v>49600</v>
      </c>
      <c r="CI176" s="229">
        <v>0.1303</v>
      </c>
      <c r="CJ176" s="230">
        <v>18400</v>
      </c>
      <c r="CK176" s="230">
        <v>8800</v>
      </c>
      <c r="CL176" s="230">
        <v>9600</v>
      </c>
      <c r="CM176" s="229">
        <v>1.0909</v>
      </c>
      <c r="CN176" s="230">
        <v>3603200</v>
      </c>
      <c r="CO176" s="230">
        <v>3349600</v>
      </c>
      <c r="CP176" s="230">
        <v>253600</v>
      </c>
      <c r="CQ176" s="229">
        <v>7.5700000000000003E-2</v>
      </c>
      <c r="CR176" s="230">
        <v>2870400</v>
      </c>
      <c r="CS176" s="230">
        <v>2601600</v>
      </c>
      <c r="CT176" s="230">
        <v>268800</v>
      </c>
      <c r="CU176" s="229">
        <v>0.1033</v>
      </c>
      <c r="CV176" s="230">
        <v>22888800</v>
      </c>
      <c r="CW176" s="230">
        <v>22104000</v>
      </c>
      <c r="CX176" s="230">
        <v>784800</v>
      </c>
      <c r="CY176" s="229">
        <v>3.5499999999999997E-2</v>
      </c>
      <c r="CZ176" s="228">
        <v>24.7</v>
      </c>
      <c r="DA176" s="228">
        <v>24.66</v>
      </c>
      <c r="DB176" s="228">
        <v>0.04</v>
      </c>
      <c r="DC176" s="228">
        <v>0.04</v>
      </c>
      <c r="DD176" s="228">
        <v>29.13</v>
      </c>
      <c r="DE176" s="228">
        <v>29.21</v>
      </c>
      <c r="DF176" s="228">
        <v>-4.43</v>
      </c>
      <c r="DG176" s="228">
        <v>-0.08</v>
      </c>
      <c r="DH176" s="228">
        <v>24.81</v>
      </c>
      <c r="DI176" s="228">
        <v>24.38</v>
      </c>
      <c r="DJ176" s="228">
        <v>0.43</v>
      </c>
      <c r="DK176" s="228">
        <v>0.43</v>
      </c>
      <c r="DL176" s="228">
        <v>24.55</v>
      </c>
      <c r="DM176" s="228">
        <v>25.18</v>
      </c>
      <c r="DN176" s="228">
        <v>-0.63</v>
      </c>
      <c r="DO176" s="228">
        <v>-0.63</v>
      </c>
      <c r="DP176" s="228">
        <v>0.8</v>
      </c>
      <c r="DQ176" s="228">
        <v>0.78</v>
      </c>
      <c r="DR176" s="228">
        <v>0.02</v>
      </c>
      <c r="DS176" s="229">
        <v>2.5600000000000001E-2</v>
      </c>
      <c r="DT176" s="228">
        <v>950</v>
      </c>
      <c r="DU176" s="228">
        <v>800</v>
      </c>
      <c r="DV176" s="228">
        <v>0.65</v>
      </c>
      <c r="DW176" s="228">
        <v>0.54</v>
      </c>
      <c r="DX176" s="228">
        <v>0.11</v>
      </c>
      <c r="DY176" s="229">
        <v>0.20369999999999999</v>
      </c>
      <c r="DZ176" s="229">
        <v>2.7300000000000001E-2</v>
      </c>
      <c r="EA176" s="230">
        <v>389600</v>
      </c>
      <c r="EB176" s="229">
        <v>-5.7000000000000002E-3</v>
      </c>
      <c r="EC176" s="229">
        <v>2.7300000000000001E-2</v>
      </c>
      <c r="ED176" s="228">
        <v>-3.98</v>
      </c>
      <c r="EE176" s="229">
        <v>-4.5999999999999999E-3</v>
      </c>
      <c r="EF176" s="230">
        <v>322688</v>
      </c>
      <c r="EG176" s="230">
        <v>595876</v>
      </c>
      <c r="EH176" s="229">
        <v>-0.45850000000000002</v>
      </c>
      <c r="EI176" s="229">
        <v>0.63329999999999997</v>
      </c>
      <c r="EJ176" s="231">
        <v>19498.349999999999</v>
      </c>
      <c r="EK176" s="231">
        <v>11377.5</v>
      </c>
      <c r="EL176" s="231">
        <v>14813.22</v>
      </c>
      <c r="EM176" s="231">
        <v>13518</v>
      </c>
      <c r="EN176" s="231">
        <v>45689.07</v>
      </c>
      <c r="EO176" s="231">
        <v>125786.61</v>
      </c>
      <c r="EP176" s="231">
        <v>-80097.539999999994</v>
      </c>
      <c r="EQ176" s="229">
        <v>-0.63680000000000003</v>
      </c>
      <c r="ER176" s="231">
        <v>32956</v>
      </c>
      <c r="ES176" s="231">
        <v>23467</v>
      </c>
      <c r="ET176" s="231">
        <v>141436</v>
      </c>
      <c r="EU176" s="231">
        <v>44836888</v>
      </c>
      <c r="EV176" s="231">
        <v>197859</v>
      </c>
      <c r="EW176" s="231">
        <v>191960</v>
      </c>
      <c r="EX176" s="231">
        <v>5899</v>
      </c>
      <c r="EY176" s="229">
        <v>3.0700000000000002E-2</v>
      </c>
      <c r="EZ176" s="229">
        <v>0.51049999999999995</v>
      </c>
      <c r="FA176" s="227" t="s">
        <v>567</v>
      </c>
      <c r="FB176" s="161">
        <f t="shared" si="4"/>
        <v>0</v>
      </c>
    </row>
    <row r="177" spans="1:158" ht="17.25" thickBot="1" x14ac:dyDescent="0.3">
      <c r="A177" s="226">
        <v>46023</v>
      </c>
      <c r="B177" s="227" t="s">
        <v>175</v>
      </c>
      <c r="C177" s="227" t="s">
        <v>462</v>
      </c>
      <c r="D177" s="228">
        <v>375</v>
      </c>
      <c r="E177" s="231">
        <v>2053.4</v>
      </c>
      <c r="F177" s="231">
        <v>2047.7</v>
      </c>
      <c r="G177" s="228">
        <v>5.7</v>
      </c>
      <c r="H177" s="229">
        <v>2.8E-3</v>
      </c>
      <c r="I177" s="231">
        <v>2040.4</v>
      </c>
      <c r="J177" s="231">
        <v>2034.9</v>
      </c>
      <c r="K177" s="228">
        <v>5.5</v>
      </c>
      <c r="L177" s="229">
        <v>2.7000000000000001E-3</v>
      </c>
      <c r="M177" s="231">
        <v>2053.4</v>
      </c>
      <c r="N177" s="231">
        <v>2047.7</v>
      </c>
      <c r="O177" s="228">
        <v>5.7</v>
      </c>
      <c r="P177" s="229">
        <v>2.8E-3</v>
      </c>
      <c r="Q177" s="231">
        <v>2065.4</v>
      </c>
      <c r="R177" s="231">
        <v>2058.8000000000002</v>
      </c>
      <c r="S177" s="228">
        <v>6.6</v>
      </c>
      <c r="T177" s="229">
        <v>3.2000000000000002E-3</v>
      </c>
      <c r="U177" s="231">
        <v>2073.4</v>
      </c>
      <c r="V177" s="231">
        <v>2061.1</v>
      </c>
      <c r="W177" s="228">
        <v>12.3</v>
      </c>
      <c r="X177" s="229">
        <v>6.0000000000000001E-3</v>
      </c>
      <c r="Y177" s="228">
        <v>13</v>
      </c>
      <c r="Z177" s="228">
        <v>12.8</v>
      </c>
      <c r="AA177" s="228">
        <v>0.2</v>
      </c>
      <c r="AB177" s="229">
        <v>6.4000000000000003E-3</v>
      </c>
      <c r="AC177" s="228">
        <v>13</v>
      </c>
      <c r="AD177" s="228">
        <v>12.8</v>
      </c>
      <c r="AE177" s="228">
        <v>0.2</v>
      </c>
      <c r="AF177" s="229">
        <v>6.4000000000000003E-3</v>
      </c>
      <c r="AG177" s="228">
        <v>25</v>
      </c>
      <c r="AH177" s="228">
        <v>23.9</v>
      </c>
      <c r="AI177" s="228">
        <v>1.1000000000000001</v>
      </c>
      <c r="AJ177" s="229">
        <v>1.23E-2</v>
      </c>
      <c r="AK177" s="228">
        <v>33</v>
      </c>
      <c r="AL177" s="228">
        <v>26.2</v>
      </c>
      <c r="AM177" s="228">
        <v>6.8</v>
      </c>
      <c r="AN177" s="229">
        <v>1.6199999999999999E-2</v>
      </c>
      <c r="AO177" s="231">
        <v>2048.2600000000002</v>
      </c>
      <c r="AP177" s="231">
        <v>2057.83</v>
      </c>
      <c r="AQ177" s="228">
        <v>0</v>
      </c>
      <c r="AR177" s="230">
        <v>490125</v>
      </c>
      <c r="AS177" s="230">
        <v>1018125</v>
      </c>
      <c r="AT177" s="230">
        <v>-528000</v>
      </c>
      <c r="AU177" s="229">
        <v>-0.51859999999999995</v>
      </c>
      <c r="AV177" s="230">
        <v>462750</v>
      </c>
      <c r="AW177" s="230">
        <v>974250</v>
      </c>
      <c r="AX177" s="230">
        <v>-511500</v>
      </c>
      <c r="AY177" s="229">
        <v>-0.52500000000000002</v>
      </c>
      <c r="AZ177" s="230">
        <v>19125</v>
      </c>
      <c r="BA177" s="230">
        <v>36000</v>
      </c>
      <c r="BB177" s="230">
        <v>-16875</v>
      </c>
      <c r="BC177" s="229">
        <v>-0.46879999999999999</v>
      </c>
      <c r="BD177" s="230">
        <v>8250</v>
      </c>
      <c r="BE177" s="230">
        <v>7875</v>
      </c>
      <c r="BF177" s="228">
        <v>375</v>
      </c>
      <c r="BG177" s="229">
        <v>4.7600000000000003E-2</v>
      </c>
      <c r="BH177" s="230">
        <v>1191375</v>
      </c>
      <c r="BI177" s="230">
        <v>3622500</v>
      </c>
      <c r="BJ177" s="230">
        <v>-2431125</v>
      </c>
      <c r="BK177" s="229">
        <v>-0.67110000000000003</v>
      </c>
      <c r="BL177" s="230">
        <v>669375</v>
      </c>
      <c r="BM177" s="230">
        <v>1134000</v>
      </c>
      <c r="BN177" s="230">
        <v>-464625</v>
      </c>
      <c r="BO177" s="229">
        <v>-0.40970000000000001</v>
      </c>
      <c r="BP177" s="230">
        <v>2350875</v>
      </c>
      <c r="BQ177" s="230">
        <v>5774625</v>
      </c>
      <c r="BR177" s="230">
        <v>-3423750</v>
      </c>
      <c r="BS177" s="229">
        <v>-0.59289999999999998</v>
      </c>
      <c r="BT177" s="230">
        <v>244601</v>
      </c>
      <c r="BU177" s="230">
        <v>757608</v>
      </c>
      <c r="BV177" s="230">
        <v>-513007</v>
      </c>
      <c r="BW177" s="229">
        <v>-0.67710000000000004</v>
      </c>
      <c r="BX177" s="230">
        <v>8224125</v>
      </c>
      <c r="BY177" s="230">
        <v>8126250</v>
      </c>
      <c r="BZ177" s="230">
        <v>97875</v>
      </c>
      <c r="CA177" s="229">
        <v>1.2E-2</v>
      </c>
      <c r="CB177" s="230">
        <v>8091000</v>
      </c>
      <c r="CC177" s="230">
        <v>8001000</v>
      </c>
      <c r="CD177" s="230">
        <v>90000</v>
      </c>
      <c r="CE177" s="229">
        <v>1.12E-2</v>
      </c>
      <c r="CF177" s="230">
        <v>120375</v>
      </c>
      <c r="CG177" s="230">
        <v>117375</v>
      </c>
      <c r="CH177" s="230">
        <v>3000</v>
      </c>
      <c r="CI177" s="229">
        <v>2.5600000000000001E-2</v>
      </c>
      <c r="CJ177" s="230">
        <v>12750</v>
      </c>
      <c r="CK177" s="230">
        <v>7875</v>
      </c>
      <c r="CL177" s="230">
        <v>4875</v>
      </c>
      <c r="CM177" s="229">
        <v>0.61899999999999999</v>
      </c>
      <c r="CN177" s="230">
        <v>1728375</v>
      </c>
      <c r="CO177" s="230">
        <v>1482750</v>
      </c>
      <c r="CP177" s="230">
        <v>245625</v>
      </c>
      <c r="CQ177" s="229">
        <v>0.16569999999999999</v>
      </c>
      <c r="CR177" s="230">
        <v>965625</v>
      </c>
      <c r="CS177" s="230">
        <v>744000</v>
      </c>
      <c r="CT177" s="230">
        <v>221625</v>
      </c>
      <c r="CU177" s="229">
        <v>0.2979</v>
      </c>
      <c r="CV177" s="230">
        <v>10918125</v>
      </c>
      <c r="CW177" s="230">
        <v>10353000</v>
      </c>
      <c r="CX177" s="230">
        <v>565125</v>
      </c>
      <c r="CY177" s="229">
        <v>5.4600000000000003E-2</v>
      </c>
      <c r="CZ177" s="228">
        <v>20.149999999999999</v>
      </c>
      <c r="DA177" s="228">
        <v>20.52</v>
      </c>
      <c r="DB177" s="228">
        <v>-0.37</v>
      </c>
      <c r="DC177" s="228">
        <v>-0.37</v>
      </c>
      <c r="DD177" s="228">
        <v>23.98</v>
      </c>
      <c r="DE177" s="228">
        <v>24.04</v>
      </c>
      <c r="DF177" s="228">
        <v>-3.83</v>
      </c>
      <c r="DG177" s="228">
        <v>-0.06</v>
      </c>
      <c r="DH177" s="228">
        <v>19.64</v>
      </c>
      <c r="DI177" s="228">
        <v>20.21</v>
      </c>
      <c r="DJ177" s="228">
        <v>-0.56999999999999995</v>
      </c>
      <c r="DK177" s="228">
        <v>-0.56999999999999995</v>
      </c>
      <c r="DL177" s="228">
        <v>21.06</v>
      </c>
      <c r="DM177" s="228">
        <v>21.51</v>
      </c>
      <c r="DN177" s="228">
        <v>-0.45</v>
      </c>
      <c r="DO177" s="228">
        <v>-0.45</v>
      </c>
      <c r="DP177" s="228">
        <v>0.56000000000000005</v>
      </c>
      <c r="DQ177" s="228">
        <v>0.5</v>
      </c>
      <c r="DR177" s="228">
        <v>0.06</v>
      </c>
      <c r="DS177" s="229">
        <v>0.12</v>
      </c>
      <c r="DT177" s="231">
        <v>2240</v>
      </c>
      <c r="DU177" s="231">
        <v>1840</v>
      </c>
      <c r="DV177" s="228">
        <v>0.56000000000000005</v>
      </c>
      <c r="DW177" s="228">
        <v>0.31</v>
      </c>
      <c r="DX177" s="228">
        <v>0.25</v>
      </c>
      <c r="DY177" s="229">
        <v>0.80649999999999999</v>
      </c>
      <c r="DZ177" s="229">
        <v>1.6199999999999999E-2</v>
      </c>
      <c r="EA177" s="230">
        <v>125250</v>
      </c>
      <c r="EB177" s="229">
        <v>5.7999999999999996E-3</v>
      </c>
      <c r="EC177" s="229">
        <v>1.6199999999999999E-2</v>
      </c>
      <c r="ED177" s="228">
        <v>9.57</v>
      </c>
      <c r="EE177" s="229">
        <v>4.7000000000000002E-3</v>
      </c>
      <c r="EF177" s="230">
        <v>119642</v>
      </c>
      <c r="EG177" s="230">
        <v>440796</v>
      </c>
      <c r="EH177" s="229">
        <v>-0.72860000000000003</v>
      </c>
      <c r="EI177" s="229">
        <v>0.48909999999999998</v>
      </c>
      <c r="EJ177" s="231">
        <v>25580.01</v>
      </c>
      <c r="EK177" s="231">
        <v>13148.72</v>
      </c>
      <c r="EL177" s="231">
        <v>10042.379999999999</v>
      </c>
      <c r="EM177" s="231">
        <v>9613</v>
      </c>
      <c r="EN177" s="231">
        <v>48771.11</v>
      </c>
      <c r="EO177" s="231">
        <v>119963.36</v>
      </c>
      <c r="EP177" s="231">
        <v>-71192.25</v>
      </c>
      <c r="EQ177" s="229">
        <v>-0.59340000000000004</v>
      </c>
      <c r="ER177" s="231">
        <v>36789</v>
      </c>
      <c r="ES177" s="231">
        <v>18782</v>
      </c>
      <c r="ET177" s="231">
        <v>168891</v>
      </c>
      <c r="EU177" s="231">
        <v>44756800</v>
      </c>
      <c r="EV177" s="231">
        <v>224462</v>
      </c>
      <c r="EW177" s="231">
        <v>212394</v>
      </c>
      <c r="EX177" s="231">
        <v>12068</v>
      </c>
      <c r="EY177" s="229">
        <v>5.6800000000000003E-2</v>
      </c>
      <c r="EZ177" s="229">
        <v>0.24390000000000001</v>
      </c>
      <c r="FA177" s="227" t="s">
        <v>555</v>
      </c>
      <c r="FB177" s="161">
        <f t="shared" si="4"/>
        <v>0</v>
      </c>
    </row>
    <row r="178" spans="1:158" ht="17.25" thickBot="1" x14ac:dyDescent="0.3">
      <c r="A178" s="226">
        <v>46023</v>
      </c>
      <c r="B178" s="227" t="s">
        <v>172</v>
      </c>
      <c r="C178" s="227" t="s">
        <v>283</v>
      </c>
      <c r="D178" s="228">
        <v>750</v>
      </c>
      <c r="E178" s="228">
        <v>988.85</v>
      </c>
      <c r="F178" s="228">
        <v>986.35</v>
      </c>
      <c r="G178" s="228">
        <v>2.5</v>
      </c>
      <c r="H178" s="229">
        <v>2.5000000000000001E-3</v>
      </c>
      <c r="I178" s="228">
        <v>984.75</v>
      </c>
      <c r="J178" s="228">
        <v>982.2</v>
      </c>
      <c r="K178" s="228">
        <v>2.5499999999999998</v>
      </c>
      <c r="L178" s="229">
        <v>2.5999999999999999E-3</v>
      </c>
      <c r="M178" s="228">
        <v>988.85</v>
      </c>
      <c r="N178" s="228">
        <v>986.35</v>
      </c>
      <c r="O178" s="228">
        <v>2.5</v>
      </c>
      <c r="P178" s="229">
        <v>2.5000000000000001E-3</v>
      </c>
      <c r="Q178" s="228">
        <v>994.65</v>
      </c>
      <c r="R178" s="228">
        <v>992.25</v>
      </c>
      <c r="S178" s="228">
        <v>2.4</v>
      </c>
      <c r="T178" s="229">
        <v>2.3999999999999998E-3</v>
      </c>
      <c r="U178" s="231">
        <v>1000.95</v>
      </c>
      <c r="V178" s="228">
        <v>998.65</v>
      </c>
      <c r="W178" s="228">
        <v>2.2999999999999998</v>
      </c>
      <c r="X178" s="229">
        <v>2.3E-3</v>
      </c>
      <c r="Y178" s="228">
        <v>4.0999999999999996</v>
      </c>
      <c r="Z178" s="228">
        <v>4.1500000000000004</v>
      </c>
      <c r="AA178" s="228">
        <v>-0.05</v>
      </c>
      <c r="AB178" s="229">
        <v>4.1999999999999997E-3</v>
      </c>
      <c r="AC178" s="228">
        <v>4.0999999999999996</v>
      </c>
      <c r="AD178" s="228">
        <v>4.1500000000000004</v>
      </c>
      <c r="AE178" s="228">
        <v>-0.05</v>
      </c>
      <c r="AF178" s="229">
        <v>4.1999999999999997E-3</v>
      </c>
      <c r="AG178" s="228">
        <v>9.9</v>
      </c>
      <c r="AH178" s="228">
        <v>10.050000000000001</v>
      </c>
      <c r="AI178" s="228">
        <v>-0.15</v>
      </c>
      <c r="AJ178" s="229">
        <v>1.01E-2</v>
      </c>
      <c r="AK178" s="228">
        <v>16.2</v>
      </c>
      <c r="AL178" s="228">
        <v>16.45</v>
      </c>
      <c r="AM178" s="228">
        <v>-0.25</v>
      </c>
      <c r="AN178" s="229">
        <v>1.6500000000000001E-2</v>
      </c>
      <c r="AO178" s="228">
        <v>987.86</v>
      </c>
      <c r="AP178" s="228">
        <v>993.74</v>
      </c>
      <c r="AQ178" s="228">
        <v>0</v>
      </c>
      <c r="AR178" s="230">
        <v>5750250</v>
      </c>
      <c r="AS178" s="230">
        <v>9342000</v>
      </c>
      <c r="AT178" s="230">
        <v>-3591750</v>
      </c>
      <c r="AU178" s="229">
        <v>-0.38450000000000001</v>
      </c>
      <c r="AV178" s="230">
        <v>5468250</v>
      </c>
      <c r="AW178" s="230">
        <v>8781000</v>
      </c>
      <c r="AX178" s="230">
        <v>-3312750</v>
      </c>
      <c r="AY178" s="229">
        <v>-0.37730000000000002</v>
      </c>
      <c r="AZ178" s="230">
        <v>209250</v>
      </c>
      <c r="BA178" s="230">
        <v>486000</v>
      </c>
      <c r="BB178" s="230">
        <v>-276750</v>
      </c>
      <c r="BC178" s="229">
        <v>-0.56940000000000002</v>
      </c>
      <c r="BD178" s="230">
        <v>72750</v>
      </c>
      <c r="BE178" s="230">
        <v>75000</v>
      </c>
      <c r="BF178" s="230">
        <v>-2250</v>
      </c>
      <c r="BG178" s="229">
        <v>-0.03</v>
      </c>
      <c r="BH178" s="230">
        <v>28752750</v>
      </c>
      <c r="BI178" s="230">
        <v>37283250</v>
      </c>
      <c r="BJ178" s="230">
        <v>-8530500</v>
      </c>
      <c r="BK178" s="229">
        <v>-0.2288</v>
      </c>
      <c r="BL178" s="230">
        <v>16968000</v>
      </c>
      <c r="BM178" s="230">
        <v>25019250</v>
      </c>
      <c r="BN178" s="230">
        <v>-8051250</v>
      </c>
      <c r="BO178" s="229">
        <v>-0.32179999999999997</v>
      </c>
      <c r="BP178" s="230">
        <v>51471000</v>
      </c>
      <c r="BQ178" s="230">
        <v>71644500</v>
      </c>
      <c r="BR178" s="230">
        <v>-20173500</v>
      </c>
      <c r="BS178" s="229">
        <v>-0.28160000000000002</v>
      </c>
      <c r="BT178" s="230">
        <v>5177002</v>
      </c>
      <c r="BU178" s="230">
        <v>6140199</v>
      </c>
      <c r="BV178" s="230">
        <v>-963197</v>
      </c>
      <c r="BW178" s="229">
        <v>-0.15690000000000001</v>
      </c>
      <c r="BX178" s="230">
        <v>72813750</v>
      </c>
      <c r="BY178" s="230">
        <v>72951750</v>
      </c>
      <c r="BZ178" s="230">
        <v>-138000</v>
      </c>
      <c r="CA178" s="229">
        <v>-1.9E-3</v>
      </c>
      <c r="CB178" s="230">
        <v>71487750</v>
      </c>
      <c r="CC178" s="230">
        <v>71687250</v>
      </c>
      <c r="CD178" s="230">
        <v>-199500</v>
      </c>
      <c r="CE178" s="229">
        <v>-2.8E-3</v>
      </c>
      <c r="CF178" s="230">
        <v>1226250</v>
      </c>
      <c r="CG178" s="230">
        <v>1213500</v>
      </c>
      <c r="CH178" s="230">
        <v>12750</v>
      </c>
      <c r="CI178" s="229">
        <v>1.0500000000000001E-2</v>
      </c>
      <c r="CJ178" s="230">
        <v>99750</v>
      </c>
      <c r="CK178" s="230">
        <v>51000</v>
      </c>
      <c r="CL178" s="230">
        <v>48750</v>
      </c>
      <c r="CM178" s="229">
        <v>0.95589999999999997</v>
      </c>
      <c r="CN178" s="230">
        <v>19868250</v>
      </c>
      <c r="CO178" s="230">
        <v>18360000</v>
      </c>
      <c r="CP178" s="230">
        <v>1508250</v>
      </c>
      <c r="CQ178" s="229">
        <v>8.2100000000000006E-2</v>
      </c>
      <c r="CR178" s="230">
        <v>17615250</v>
      </c>
      <c r="CS178" s="230">
        <v>15952500</v>
      </c>
      <c r="CT178" s="230">
        <v>1662750</v>
      </c>
      <c r="CU178" s="229">
        <v>0.1042</v>
      </c>
      <c r="CV178" s="230">
        <v>110297250</v>
      </c>
      <c r="CW178" s="230">
        <v>107264250</v>
      </c>
      <c r="CX178" s="230">
        <v>3033000</v>
      </c>
      <c r="CY178" s="229">
        <v>2.8299999999999999E-2</v>
      </c>
      <c r="CZ178" s="228">
        <v>14.9</v>
      </c>
      <c r="DA178" s="228">
        <v>15.26</v>
      </c>
      <c r="DB178" s="228">
        <v>-0.36</v>
      </c>
      <c r="DC178" s="228">
        <v>-0.36</v>
      </c>
      <c r="DD178" s="228">
        <v>24.3</v>
      </c>
      <c r="DE178" s="228">
        <v>24.35</v>
      </c>
      <c r="DF178" s="228">
        <v>-9.4</v>
      </c>
      <c r="DG178" s="228">
        <v>-0.05</v>
      </c>
      <c r="DH178" s="228">
        <v>14.67</v>
      </c>
      <c r="DI178" s="228">
        <v>15.05</v>
      </c>
      <c r="DJ178" s="228">
        <v>-0.38</v>
      </c>
      <c r="DK178" s="228">
        <v>-0.38</v>
      </c>
      <c r="DL178" s="228">
        <v>15.27</v>
      </c>
      <c r="DM178" s="228">
        <v>15.56</v>
      </c>
      <c r="DN178" s="228">
        <v>-0.28999999999999998</v>
      </c>
      <c r="DO178" s="228">
        <v>-0.28999999999999998</v>
      </c>
      <c r="DP178" s="228">
        <v>0.89</v>
      </c>
      <c r="DQ178" s="228">
        <v>0.87</v>
      </c>
      <c r="DR178" s="228">
        <v>0.02</v>
      </c>
      <c r="DS178" s="229">
        <v>2.3E-2</v>
      </c>
      <c r="DT178" s="231">
        <v>1000</v>
      </c>
      <c r="DU178" s="228">
        <v>980</v>
      </c>
      <c r="DV178" s="228">
        <v>0.59</v>
      </c>
      <c r="DW178" s="228">
        <v>0.67</v>
      </c>
      <c r="DX178" s="228">
        <v>-0.08</v>
      </c>
      <c r="DY178" s="229">
        <v>-0.11940000000000001</v>
      </c>
      <c r="DZ178" s="229">
        <v>1.8200000000000001E-2</v>
      </c>
      <c r="EA178" s="230">
        <v>1264500</v>
      </c>
      <c r="EB178" s="229">
        <v>5.8999999999999999E-3</v>
      </c>
      <c r="EC178" s="229">
        <v>1.8200000000000001E-2</v>
      </c>
      <c r="ED178" s="228">
        <v>5.88</v>
      </c>
      <c r="EE178" s="229">
        <v>6.0000000000000001E-3</v>
      </c>
      <c r="EF178" s="230">
        <v>2766649</v>
      </c>
      <c r="EG178" s="230">
        <v>4063045</v>
      </c>
      <c r="EH178" s="229">
        <v>-0.31909999999999999</v>
      </c>
      <c r="EI178" s="229">
        <v>0.53439999999999999</v>
      </c>
      <c r="EJ178" s="231">
        <v>291137.17</v>
      </c>
      <c r="EK178" s="231">
        <v>166144.13</v>
      </c>
      <c r="EL178" s="231">
        <v>56825.5</v>
      </c>
      <c r="EM178" s="231">
        <v>36825</v>
      </c>
      <c r="EN178" s="231">
        <v>514106.8</v>
      </c>
      <c r="EO178" s="231">
        <v>712452.95</v>
      </c>
      <c r="EP178" s="231">
        <v>-198346.15</v>
      </c>
      <c r="EQ178" s="229">
        <v>-0.27839999999999998</v>
      </c>
      <c r="ER178" s="231">
        <v>199192</v>
      </c>
      <c r="ES178" s="231">
        <v>168230</v>
      </c>
      <c r="ET178" s="231">
        <v>720102</v>
      </c>
      <c r="EU178" s="231">
        <v>436949195</v>
      </c>
      <c r="EV178" s="231">
        <v>1087525</v>
      </c>
      <c r="EW178" s="231">
        <v>1055735</v>
      </c>
      <c r="EX178" s="231">
        <v>31790</v>
      </c>
      <c r="EY178" s="229">
        <v>3.0099999999999998E-2</v>
      </c>
      <c r="EZ178" s="229">
        <v>0.25240000000000001</v>
      </c>
      <c r="FA178" s="227" t="s">
        <v>556</v>
      </c>
      <c r="FB178" s="161">
        <f t="shared" si="4"/>
        <v>0</v>
      </c>
    </row>
    <row r="179" spans="1:158" ht="17.25" thickBot="1" x14ac:dyDescent="0.3">
      <c r="A179" s="226">
        <v>46023</v>
      </c>
      <c r="B179" s="227" t="s">
        <v>157</v>
      </c>
      <c r="C179" s="227" t="s">
        <v>284</v>
      </c>
      <c r="D179" s="228">
        <v>25</v>
      </c>
      <c r="E179" s="231">
        <v>27000</v>
      </c>
      <c r="F179" s="231">
        <v>26655</v>
      </c>
      <c r="G179" s="228">
        <v>345</v>
      </c>
      <c r="H179" s="229">
        <v>1.29E-2</v>
      </c>
      <c r="I179" s="231">
        <v>26835</v>
      </c>
      <c r="J179" s="231">
        <v>26575</v>
      </c>
      <c r="K179" s="228">
        <v>260</v>
      </c>
      <c r="L179" s="229">
        <v>9.7999999999999997E-3</v>
      </c>
      <c r="M179" s="231">
        <v>27000</v>
      </c>
      <c r="N179" s="231">
        <v>26655</v>
      </c>
      <c r="O179" s="228">
        <v>345</v>
      </c>
      <c r="P179" s="229">
        <v>1.29E-2</v>
      </c>
      <c r="Q179" s="231">
        <v>27055</v>
      </c>
      <c r="R179" s="231">
        <v>26695</v>
      </c>
      <c r="S179" s="228">
        <v>360</v>
      </c>
      <c r="T179" s="229">
        <v>1.35E-2</v>
      </c>
      <c r="U179" s="231">
        <v>26755</v>
      </c>
      <c r="V179" s="228">
        <v>0</v>
      </c>
      <c r="W179" s="231">
        <v>26755</v>
      </c>
      <c r="X179" s="229">
        <v>0</v>
      </c>
      <c r="Y179" s="228">
        <v>165</v>
      </c>
      <c r="Z179" s="228">
        <v>80</v>
      </c>
      <c r="AA179" s="228">
        <v>85</v>
      </c>
      <c r="AB179" s="229">
        <v>6.1000000000000004E-3</v>
      </c>
      <c r="AC179" s="228">
        <v>165</v>
      </c>
      <c r="AD179" s="228">
        <v>80</v>
      </c>
      <c r="AE179" s="228">
        <v>85</v>
      </c>
      <c r="AF179" s="229">
        <v>6.1000000000000004E-3</v>
      </c>
      <c r="AG179" s="228">
        <v>220</v>
      </c>
      <c r="AH179" s="228">
        <v>120</v>
      </c>
      <c r="AI179" s="228">
        <v>100</v>
      </c>
      <c r="AJ179" s="229">
        <v>8.2000000000000007E-3</v>
      </c>
      <c r="AK179" s="228">
        <v>-80</v>
      </c>
      <c r="AL179" s="228">
        <v>0</v>
      </c>
      <c r="AM179" s="228">
        <v>-80</v>
      </c>
      <c r="AN179" s="229">
        <v>-3.0000000000000001E-3</v>
      </c>
      <c r="AO179" s="231">
        <v>26818.46</v>
      </c>
      <c r="AP179" s="231">
        <v>26852.240000000002</v>
      </c>
      <c r="AQ179" s="228">
        <v>0</v>
      </c>
      <c r="AR179" s="230">
        <v>28300</v>
      </c>
      <c r="AS179" s="230">
        <v>36200</v>
      </c>
      <c r="AT179" s="230">
        <v>-7900</v>
      </c>
      <c r="AU179" s="229">
        <v>-0.21820000000000001</v>
      </c>
      <c r="AV179" s="230">
        <v>26975</v>
      </c>
      <c r="AW179" s="230">
        <v>35150</v>
      </c>
      <c r="AX179" s="230">
        <v>-8175</v>
      </c>
      <c r="AY179" s="229">
        <v>-0.2326</v>
      </c>
      <c r="AZ179" s="230">
        <v>1225</v>
      </c>
      <c r="BA179" s="230">
        <v>1050</v>
      </c>
      <c r="BB179" s="228">
        <v>175</v>
      </c>
      <c r="BC179" s="229">
        <v>0.16669999999999999</v>
      </c>
      <c r="BD179" s="228">
        <v>100</v>
      </c>
      <c r="BE179" s="228">
        <v>0</v>
      </c>
      <c r="BF179" s="228">
        <v>100</v>
      </c>
      <c r="BG179" s="229">
        <v>0</v>
      </c>
      <c r="BH179" s="230">
        <v>43500</v>
      </c>
      <c r="BI179" s="230">
        <v>26650</v>
      </c>
      <c r="BJ179" s="230">
        <v>16850</v>
      </c>
      <c r="BK179" s="229">
        <v>0.63229999999999997</v>
      </c>
      <c r="BL179" s="230">
        <v>31675</v>
      </c>
      <c r="BM179" s="230">
        <v>11975</v>
      </c>
      <c r="BN179" s="230">
        <v>19700</v>
      </c>
      <c r="BO179" s="229">
        <v>1.6451</v>
      </c>
      <c r="BP179" s="230">
        <v>103475</v>
      </c>
      <c r="BQ179" s="230">
        <v>74825</v>
      </c>
      <c r="BR179" s="230">
        <v>28650</v>
      </c>
      <c r="BS179" s="229">
        <v>0.38290000000000002</v>
      </c>
      <c r="BT179" s="230">
        <v>9654</v>
      </c>
      <c r="BU179" s="230">
        <v>25096</v>
      </c>
      <c r="BV179" s="230">
        <v>-15442</v>
      </c>
      <c r="BW179" s="229">
        <v>-0.61529999999999996</v>
      </c>
      <c r="BX179" s="230">
        <v>276850</v>
      </c>
      <c r="BY179" s="230">
        <v>280525</v>
      </c>
      <c r="BZ179" s="230">
        <v>-3675</v>
      </c>
      <c r="CA179" s="229">
        <v>-1.3100000000000001E-2</v>
      </c>
      <c r="CB179" s="230">
        <v>273450</v>
      </c>
      <c r="CC179" s="230">
        <v>277225</v>
      </c>
      <c r="CD179" s="230">
        <v>-3775</v>
      </c>
      <c r="CE179" s="229">
        <v>-1.3599999999999999E-2</v>
      </c>
      <c r="CF179" s="230">
        <v>3300</v>
      </c>
      <c r="CG179" s="230">
        <v>3300</v>
      </c>
      <c r="CH179" s="228">
        <v>0</v>
      </c>
      <c r="CI179" s="229">
        <v>0</v>
      </c>
      <c r="CJ179" s="228">
        <v>100</v>
      </c>
      <c r="CK179" s="228">
        <v>0</v>
      </c>
      <c r="CL179" s="228">
        <v>100</v>
      </c>
      <c r="CM179" s="229">
        <v>0</v>
      </c>
      <c r="CN179" s="230">
        <v>25775</v>
      </c>
      <c r="CO179" s="230">
        <v>21200</v>
      </c>
      <c r="CP179" s="230">
        <v>4575</v>
      </c>
      <c r="CQ179" s="229">
        <v>0.21579999999999999</v>
      </c>
      <c r="CR179" s="230">
        <v>22025</v>
      </c>
      <c r="CS179" s="230">
        <v>19750</v>
      </c>
      <c r="CT179" s="230">
        <v>2275</v>
      </c>
      <c r="CU179" s="229">
        <v>0.1152</v>
      </c>
      <c r="CV179" s="230">
        <v>324650</v>
      </c>
      <c r="CW179" s="230">
        <v>321475</v>
      </c>
      <c r="CX179" s="230">
        <v>3175</v>
      </c>
      <c r="CY179" s="229">
        <v>9.9000000000000008E-3</v>
      </c>
      <c r="CZ179" s="228">
        <v>20.309999999999999</v>
      </c>
      <c r="DA179" s="228">
        <v>18.309999999999999</v>
      </c>
      <c r="DB179" s="228">
        <v>2</v>
      </c>
      <c r="DC179" s="228">
        <v>2</v>
      </c>
      <c r="DD179" s="228">
        <v>24.37</v>
      </c>
      <c r="DE179" s="228">
        <v>24.37</v>
      </c>
      <c r="DF179" s="228">
        <v>-4.0599999999999996</v>
      </c>
      <c r="DG179" s="228">
        <v>0</v>
      </c>
      <c r="DH179" s="228">
        <v>17.93</v>
      </c>
      <c r="DI179" s="228">
        <v>18.260000000000002</v>
      </c>
      <c r="DJ179" s="228">
        <v>-0.33</v>
      </c>
      <c r="DK179" s="228">
        <v>-0.33</v>
      </c>
      <c r="DL179" s="228">
        <v>23.57</v>
      </c>
      <c r="DM179" s="228">
        <v>18.399999999999999</v>
      </c>
      <c r="DN179" s="228">
        <v>5.17</v>
      </c>
      <c r="DO179" s="228">
        <v>5.17</v>
      </c>
      <c r="DP179" s="228">
        <v>0.85</v>
      </c>
      <c r="DQ179" s="228">
        <v>0.93</v>
      </c>
      <c r="DR179" s="228">
        <v>-0.08</v>
      </c>
      <c r="DS179" s="229">
        <v>-8.5999999999999993E-2</v>
      </c>
      <c r="DT179" s="231">
        <v>28000</v>
      </c>
      <c r="DU179" s="231">
        <v>26500</v>
      </c>
      <c r="DV179" s="228">
        <v>0.73</v>
      </c>
      <c r="DW179" s="228">
        <v>0.45</v>
      </c>
      <c r="DX179" s="228">
        <v>0.28000000000000003</v>
      </c>
      <c r="DY179" s="229">
        <v>0.62219999999999998</v>
      </c>
      <c r="DZ179" s="229">
        <v>1.23E-2</v>
      </c>
      <c r="EA179" s="230">
        <v>3300</v>
      </c>
      <c r="EB179" s="229">
        <v>2E-3</v>
      </c>
      <c r="EC179" s="229">
        <v>1.23E-2</v>
      </c>
      <c r="ED179" s="228">
        <v>33.78</v>
      </c>
      <c r="EE179" s="229">
        <v>1.2999999999999999E-3</v>
      </c>
      <c r="EF179" s="230">
        <v>4267</v>
      </c>
      <c r="EG179" s="230">
        <v>18689</v>
      </c>
      <c r="EH179" s="229">
        <v>-0.77170000000000005</v>
      </c>
      <c r="EI179" s="229">
        <v>0.442</v>
      </c>
      <c r="EJ179" s="231">
        <v>12169.7</v>
      </c>
      <c r="EK179" s="231">
        <v>7815.91</v>
      </c>
      <c r="EL179" s="231">
        <v>7590.05</v>
      </c>
      <c r="EM179" s="231">
        <v>6284</v>
      </c>
      <c r="EN179" s="231">
        <v>27575.66</v>
      </c>
      <c r="EO179" s="231">
        <v>20099.27</v>
      </c>
      <c r="EP179" s="231">
        <v>7476.39</v>
      </c>
      <c r="EQ179" s="229">
        <v>0.372</v>
      </c>
      <c r="ER179" s="231">
        <v>7128</v>
      </c>
      <c r="ES179" s="231">
        <v>5714</v>
      </c>
      <c r="ET179" s="231">
        <v>74751</v>
      </c>
      <c r="EU179" s="231">
        <v>1568093</v>
      </c>
      <c r="EV179" s="231">
        <v>87593</v>
      </c>
      <c r="EW179" s="231">
        <v>85705</v>
      </c>
      <c r="EX179" s="231">
        <v>1888</v>
      </c>
      <c r="EY179" s="229">
        <v>2.1999999999999999E-2</v>
      </c>
      <c r="EZ179" s="229">
        <v>0.20699999999999999</v>
      </c>
      <c r="FA179" s="227" t="s">
        <v>556</v>
      </c>
      <c r="FB179" s="161">
        <f t="shared" si="4"/>
        <v>0</v>
      </c>
    </row>
    <row r="180" spans="1:158" ht="17.25" thickBot="1" x14ac:dyDescent="0.3">
      <c r="A180" s="226">
        <v>46023</v>
      </c>
      <c r="B180" s="227" t="s">
        <v>175</v>
      </c>
      <c r="C180" s="227" t="s">
        <v>562</v>
      </c>
      <c r="D180" s="228">
        <v>825</v>
      </c>
      <c r="E180" s="231">
        <v>1023.15</v>
      </c>
      <c r="F180" s="228">
        <v>998.8</v>
      </c>
      <c r="G180" s="228">
        <v>24.35</v>
      </c>
      <c r="H180" s="229">
        <v>2.4400000000000002E-2</v>
      </c>
      <c r="I180" s="231">
        <v>1019.7</v>
      </c>
      <c r="J180" s="228">
        <v>996.2</v>
      </c>
      <c r="K180" s="228">
        <v>23.5</v>
      </c>
      <c r="L180" s="229">
        <v>2.3599999999999999E-2</v>
      </c>
      <c r="M180" s="231">
        <v>1023.15</v>
      </c>
      <c r="N180" s="228">
        <v>998.8</v>
      </c>
      <c r="O180" s="228">
        <v>24.35</v>
      </c>
      <c r="P180" s="229">
        <v>2.4400000000000002E-2</v>
      </c>
      <c r="Q180" s="231">
        <v>1026.95</v>
      </c>
      <c r="R180" s="231">
        <v>1002.65</v>
      </c>
      <c r="S180" s="228">
        <v>24.3</v>
      </c>
      <c r="T180" s="229">
        <v>2.4199999999999999E-2</v>
      </c>
      <c r="U180" s="231">
        <v>1031.8</v>
      </c>
      <c r="V180" s="231">
        <v>1005.8</v>
      </c>
      <c r="W180" s="228">
        <v>26</v>
      </c>
      <c r="X180" s="229">
        <v>2.5899999999999999E-2</v>
      </c>
      <c r="Y180" s="228">
        <v>3.45</v>
      </c>
      <c r="Z180" s="228">
        <v>2.6</v>
      </c>
      <c r="AA180" s="228">
        <v>0.85</v>
      </c>
      <c r="AB180" s="229">
        <v>3.3999999999999998E-3</v>
      </c>
      <c r="AC180" s="228">
        <v>3.45</v>
      </c>
      <c r="AD180" s="228">
        <v>2.6</v>
      </c>
      <c r="AE180" s="228">
        <v>0.85</v>
      </c>
      <c r="AF180" s="229">
        <v>3.3999999999999998E-3</v>
      </c>
      <c r="AG180" s="228">
        <v>7.25</v>
      </c>
      <c r="AH180" s="228">
        <v>6.45</v>
      </c>
      <c r="AI180" s="228">
        <v>0.8</v>
      </c>
      <c r="AJ180" s="229">
        <v>7.1000000000000004E-3</v>
      </c>
      <c r="AK180" s="228">
        <v>12.1</v>
      </c>
      <c r="AL180" s="228">
        <v>9.6</v>
      </c>
      <c r="AM180" s="228">
        <v>2.5</v>
      </c>
      <c r="AN180" s="229">
        <v>1.1900000000000001E-2</v>
      </c>
      <c r="AO180" s="231">
        <v>1013.54</v>
      </c>
      <c r="AP180" s="231">
        <v>1016.93</v>
      </c>
      <c r="AQ180" s="228">
        <v>0</v>
      </c>
      <c r="AR180" s="230">
        <v>6416025</v>
      </c>
      <c r="AS180" s="230">
        <v>10795125</v>
      </c>
      <c r="AT180" s="230">
        <v>-4379100</v>
      </c>
      <c r="AU180" s="229">
        <v>-0.40570000000000001</v>
      </c>
      <c r="AV180" s="230">
        <v>5907000</v>
      </c>
      <c r="AW180" s="230">
        <v>10258050</v>
      </c>
      <c r="AX180" s="230">
        <v>-4351050</v>
      </c>
      <c r="AY180" s="229">
        <v>-0.42420000000000002</v>
      </c>
      <c r="AZ180" s="230">
        <v>417450</v>
      </c>
      <c r="BA180" s="230">
        <v>508200</v>
      </c>
      <c r="BB180" s="230">
        <v>-90750</v>
      </c>
      <c r="BC180" s="229">
        <v>-0.17860000000000001</v>
      </c>
      <c r="BD180" s="230">
        <v>91575</v>
      </c>
      <c r="BE180" s="230">
        <v>28875</v>
      </c>
      <c r="BF180" s="230">
        <v>62700</v>
      </c>
      <c r="BG180" s="229">
        <v>2.1714000000000002</v>
      </c>
      <c r="BH180" s="230">
        <v>26079900</v>
      </c>
      <c r="BI180" s="230">
        <v>29872425</v>
      </c>
      <c r="BJ180" s="230">
        <v>-3792525</v>
      </c>
      <c r="BK180" s="229">
        <v>-0.127</v>
      </c>
      <c r="BL180" s="230">
        <v>13431000</v>
      </c>
      <c r="BM180" s="230">
        <v>14512575</v>
      </c>
      <c r="BN180" s="230">
        <v>-1081575</v>
      </c>
      <c r="BO180" s="229">
        <v>-7.4499999999999997E-2</v>
      </c>
      <c r="BP180" s="230">
        <v>45926925</v>
      </c>
      <c r="BQ180" s="230">
        <v>55180125</v>
      </c>
      <c r="BR180" s="230">
        <v>-9253200</v>
      </c>
      <c r="BS180" s="229">
        <v>-0.16769999999999999</v>
      </c>
      <c r="BT180" s="230">
        <v>4446260</v>
      </c>
      <c r="BU180" s="230">
        <v>10079124</v>
      </c>
      <c r="BV180" s="230">
        <v>-5632864</v>
      </c>
      <c r="BW180" s="229">
        <v>-0.55889999999999995</v>
      </c>
      <c r="BX180" s="230">
        <v>49180725</v>
      </c>
      <c r="BY180" s="230">
        <v>48924975</v>
      </c>
      <c r="BZ180" s="230">
        <v>255750</v>
      </c>
      <c r="CA180" s="229">
        <v>5.1999999999999998E-3</v>
      </c>
      <c r="CB180" s="230">
        <v>46450800</v>
      </c>
      <c r="CC180" s="230">
        <v>46270125</v>
      </c>
      <c r="CD180" s="230">
        <v>180675</v>
      </c>
      <c r="CE180" s="229">
        <v>3.8999999999999998E-3</v>
      </c>
      <c r="CF180" s="230">
        <v>2669700</v>
      </c>
      <c r="CG180" s="230">
        <v>2635050</v>
      </c>
      <c r="CH180" s="230">
        <v>34650</v>
      </c>
      <c r="CI180" s="229">
        <v>1.3100000000000001E-2</v>
      </c>
      <c r="CJ180" s="230">
        <v>60225</v>
      </c>
      <c r="CK180" s="230">
        <v>19800</v>
      </c>
      <c r="CL180" s="230">
        <v>40425</v>
      </c>
      <c r="CM180" s="229">
        <v>2.0417000000000001</v>
      </c>
      <c r="CN180" s="230">
        <v>13672725</v>
      </c>
      <c r="CO180" s="230">
        <v>11518650</v>
      </c>
      <c r="CP180" s="230">
        <v>2154075</v>
      </c>
      <c r="CQ180" s="229">
        <v>0.187</v>
      </c>
      <c r="CR180" s="230">
        <v>12156375</v>
      </c>
      <c r="CS180" s="230">
        <v>9699525</v>
      </c>
      <c r="CT180" s="230">
        <v>2456850</v>
      </c>
      <c r="CU180" s="229">
        <v>0.25330000000000003</v>
      </c>
      <c r="CV180" s="230">
        <v>75009825</v>
      </c>
      <c r="CW180" s="230">
        <v>70143150</v>
      </c>
      <c r="CX180" s="230">
        <v>4866675</v>
      </c>
      <c r="CY180" s="229">
        <v>6.9400000000000003E-2</v>
      </c>
      <c r="CZ180" s="228">
        <v>28.73</v>
      </c>
      <c r="DA180" s="228">
        <v>29.11</v>
      </c>
      <c r="DB180" s="228">
        <v>-0.38</v>
      </c>
      <c r="DC180" s="228">
        <v>-0.38</v>
      </c>
      <c r="DD180" s="228">
        <v>39.35</v>
      </c>
      <c r="DE180" s="228">
        <v>39.33</v>
      </c>
      <c r="DF180" s="228">
        <v>-10.62</v>
      </c>
      <c r="DG180" s="228">
        <v>0.02</v>
      </c>
      <c r="DH180" s="228">
        <v>28.14</v>
      </c>
      <c r="DI180" s="228">
        <v>28.64</v>
      </c>
      <c r="DJ180" s="228">
        <v>-0.5</v>
      </c>
      <c r="DK180" s="228">
        <v>-0.5</v>
      </c>
      <c r="DL180" s="228">
        <v>29.88</v>
      </c>
      <c r="DM180" s="228">
        <v>30.1</v>
      </c>
      <c r="DN180" s="228">
        <v>-0.22</v>
      </c>
      <c r="DO180" s="228">
        <v>-0.22</v>
      </c>
      <c r="DP180" s="228">
        <v>0.89</v>
      </c>
      <c r="DQ180" s="228">
        <v>0.84</v>
      </c>
      <c r="DR180" s="228">
        <v>0.05</v>
      </c>
      <c r="DS180" s="229">
        <v>5.9499999999999997E-2</v>
      </c>
      <c r="DT180" s="231">
        <v>1000</v>
      </c>
      <c r="DU180" s="228">
        <v>900</v>
      </c>
      <c r="DV180" s="228">
        <v>0.51</v>
      </c>
      <c r="DW180" s="228">
        <v>0.49</v>
      </c>
      <c r="DX180" s="228">
        <v>0.02</v>
      </c>
      <c r="DY180" s="229">
        <v>4.0800000000000003E-2</v>
      </c>
      <c r="DZ180" s="229">
        <v>5.5500000000000001E-2</v>
      </c>
      <c r="EA180" s="230">
        <v>2654850</v>
      </c>
      <c r="EB180" s="229">
        <v>3.7000000000000002E-3</v>
      </c>
      <c r="EC180" s="229">
        <v>5.5500000000000001E-2</v>
      </c>
      <c r="ED180" s="228">
        <v>3.39</v>
      </c>
      <c r="EE180" s="229">
        <v>3.3E-3</v>
      </c>
      <c r="EF180" s="230">
        <v>1671548</v>
      </c>
      <c r="EG180" s="230">
        <v>5659565</v>
      </c>
      <c r="EH180" s="229">
        <v>-0.70469999999999999</v>
      </c>
      <c r="EI180" s="229">
        <v>0.37590000000000001</v>
      </c>
      <c r="EJ180" s="231">
        <v>275975.49</v>
      </c>
      <c r="EK180" s="231">
        <v>132063.6</v>
      </c>
      <c r="EL180" s="231">
        <v>65049.09</v>
      </c>
      <c r="EM180" s="231">
        <v>31692</v>
      </c>
      <c r="EN180" s="231">
        <v>473088.18</v>
      </c>
      <c r="EO180" s="231">
        <v>557898.16</v>
      </c>
      <c r="EP180" s="231">
        <v>-84809.98</v>
      </c>
      <c r="EQ180" s="229">
        <v>-0.152</v>
      </c>
      <c r="ER180" s="231">
        <v>138612</v>
      </c>
      <c r="ES180" s="231">
        <v>113247</v>
      </c>
      <c r="ET180" s="231">
        <v>503299</v>
      </c>
      <c r="EU180" s="231">
        <v>210513975</v>
      </c>
      <c r="EV180" s="231">
        <v>755159</v>
      </c>
      <c r="EW180" s="231">
        <v>692723</v>
      </c>
      <c r="EX180" s="231">
        <v>62436</v>
      </c>
      <c r="EY180" s="229">
        <v>9.01E-2</v>
      </c>
      <c r="EZ180" s="229">
        <v>0.35630000000000001</v>
      </c>
      <c r="FA180" s="227" t="s">
        <v>555</v>
      </c>
      <c r="FB180" s="161">
        <f t="shared" si="4"/>
        <v>0</v>
      </c>
    </row>
    <row r="181" spans="1:158" ht="17.25" thickBot="1" x14ac:dyDescent="0.3">
      <c r="A181" s="226">
        <v>46023</v>
      </c>
      <c r="B181" s="227" t="s">
        <v>184</v>
      </c>
      <c r="C181" s="227" t="s">
        <v>285</v>
      </c>
      <c r="D181" s="228">
        <v>175</v>
      </c>
      <c r="E181" s="231">
        <v>3107.8</v>
      </c>
      <c r="F181" s="231">
        <v>3077.2</v>
      </c>
      <c r="G181" s="228">
        <v>30.6</v>
      </c>
      <c r="H181" s="229">
        <v>9.9000000000000008E-3</v>
      </c>
      <c r="I181" s="231">
        <v>3091.3</v>
      </c>
      <c r="J181" s="231">
        <v>3063.3</v>
      </c>
      <c r="K181" s="228">
        <v>28</v>
      </c>
      <c r="L181" s="229">
        <v>9.1000000000000004E-3</v>
      </c>
      <c r="M181" s="231">
        <v>3107.8</v>
      </c>
      <c r="N181" s="231">
        <v>3077.2</v>
      </c>
      <c r="O181" s="228">
        <v>30.6</v>
      </c>
      <c r="P181" s="229">
        <v>9.9000000000000008E-3</v>
      </c>
      <c r="Q181" s="231">
        <v>3120.6</v>
      </c>
      <c r="R181" s="231">
        <v>3091.7</v>
      </c>
      <c r="S181" s="228">
        <v>28.9</v>
      </c>
      <c r="T181" s="229">
        <v>9.2999999999999992E-3</v>
      </c>
      <c r="U181" s="231">
        <v>3135.2</v>
      </c>
      <c r="V181" s="228">
        <v>0</v>
      </c>
      <c r="W181" s="231">
        <v>3135.2</v>
      </c>
      <c r="X181" s="229">
        <v>0</v>
      </c>
      <c r="Y181" s="228">
        <v>16.5</v>
      </c>
      <c r="Z181" s="228">
        <v>13.9</v>
      </c>
      <c r="AA181" s="228">
        <v>2.6</v>
      </c>
      <c r="AB181" s="229">
        <v>5.3E-3</v>
      </c>
      <c r="AC181" s="228">
        <v>16.5</v>
      </c>
      <c r="AD181" s="228">
        <v>13.9</v>
      </c>
      <c r="AE181" s="228">
        <v>2.6</v>
      </c>
      <c r="AF181" s="229">
        <v>5.3E-3</v>
      </c>
      <c r="AG181" s="228">
        <v>29.3</v>
      </c>
      <c r="AH181" s="228">
        <v>28.4</v>
      </c>
      <c r="AI181" s="228">
        <v>0.9</v>
      </c>
      <c r="AJ181" s="229">
        <v>9.4999999999999998E-3</v>
      </c>
      <c r="AK181" s="228">
        <v>43.9</v>
      </c>
      <c r="AL181" s="228">
        <v>0</v>
      </c>
      <c r="AM181" s="228">
        <v>43.9</v>
      </c>
      <c r="AN181" s="229">
        <v>1.4200000000000001E-2</v>
      </c>
      <c r="AO181" s="231">
        <v>3090.56</v>
      </c>
      <c r="AP181" s="231">
        <v>3101.63</v>
      </c>
      <c r="AQ181" s="228">
        <v>0</v>
      </c>
      <c r="AR181" s="230">
        <v>217175</v>
      </c>
      <c r="AS181" s="230">
        <v>320775</v>
      </c>
      <c r="AT181" s="230">
        <v>-103600</v>
      </c>
      <c r="AU181" s="229">
        <v>-0.32300000000000001</v>
      </c>
      <c r="AV181" s="230">
        <v>208075</v>
      </c>
      <c r="AW181" s="230">
        <v>308525</v>
      </c>
      <c r="AX181" s="230">
        <v>-100450</v>
      </c>
      <c r="AY181" s="229">
        <v>-0.3256</v>
      </c>
      <c r="AZ181" s="230">
        <v>7350</v>
      </c>
      <c r="BA181" s="230">
        <v>12250</v>
      </c>
      <c r="BB181" s="230">
        <v>-4900</v>
      </c>
      <c r="BC181" s="229">
        <v>-0.4</v>
      </c>
      <c r="BD181" s="230">
        <v>1750</v>
      </c>
      <c r="BE181" s="228">
        <v>0</v>
      </c>
      <c r="BF181" s="230">
        <v>1750</v>
      </c>
      <c r="BG181" s="229">
        <v>0</v>
      </c>
      <c r="BH181" s="230">
        <v>757225</v>
      </c>
      <c r="BI181" s="230">
        <v>1726025</v>
      </c>
      <c r="BJ181" s="230">
        <v>-968800</v>
      </c>
      <c r="BK181" s="229">
        <v>-0.56130000000000002</v>
      </c>
      <c r="BL181" s="230">
        <v>287525</v>
      </c>
      <c r="BM181" s="230">
        <v>599200</v>
      </c>
      <c r="BN181" s="230">
        <v>-311675</v>
      </c>
      <c r="BO181" s="229">
        <v>-0.5202</v>
      </c>
      <c r="BP181" s="230">
        <v>1261925</v>
      </c>
      <c r="BQ181" s="230">
        <v>2646000</v>
      </c>
      <c r="BR181" s="230">
        <v>-1384075</v>
      </c>
      <c r="BS181" s="229">
        <v>-0.52310000000000001</v>
      </c>
      <c r="BT181" s="230">
        <v>70085</v>
      </c>
      <c r="BU181" s="230">
        <v>121907</v>
      </c>
      <c r="BV181" s="230">
        <v>-51822</v>
      </c>
      <c r="BW181" s="229">
        <v>-0.42509999999999998</v>
      </c>
      <c r="BX181" s="230">
        <v>2534700</v>
      </c>
      <c r="BY181" s="230">
        <v>2553075</v>
      </c>
      <c r="BZ181" s="230">
        <v>-18375</v>
      </c>
      <c r="CA181" s="229">
        <v>-7.1999999999999998E-3</v>
      </c>
      <c r="CB181" s="230">
        <v>2455950</v>
      </c>
      <c r="CC181" s="230">
        <v>2478175</v>
      </c>
      <c r="CD181" s="230">
        <v>-22225</v>
      </c>
      <c r="CE181" s="229">
        <v>-8.9999999999999993E-3</v>
      </c>
      <c r="CF181" s="230">
        <v>77175</v>
      </c>
      <c r="CG181" s="230">
        <v>74900</v>
      </c>
      <c r="CH181" s="230">
        <v>2275</v>
      </c>
      <c r="CI181" s="229">
        <v>3.04E-2</v>
      </c>
      <c r="CJ181" s="230">
        <v>1575</v>
      </c>
      <c r="CK181" s="228">
        <v>0</v>
      </c>
      <c r="CL181" s="230">
        <v>1575</v>
      </c>
      <c r="CM181" s="229">
        <v>0</v>
      </c>
      <c r="CN181" s="230">
        <v>744975</v>
      </c>
      <c r="CO181" s="230">
        <v>747250</v>
      </c>
      <c r="CP181" s="230">
        <v>-2275</v>
      </c>
      <c r="CQ181" s="229">
        <v>-3.0000000000000001E-3</v>
      </c>
      <c r="CR181" s="230">
        <v>409150</v>
      </c>
      <c r="CS181" s="230">
        <v>404075</v>
      </c>
      <c r="CT181" s="230">
        <v>5075</v>
      </c>
      <c r="CU181" s="229">
        <v>1.26E-2</v>
      </c>
      <c r="CV181" s="230">
        <v>3688825</v>
      </c>
      <c r="CW181" s="230">
        <v>3704400</v>
      </c>
      <c r="CX181" s="230">
        <v>-15575</v>
      </c>
      <c r="CY181" s="229">
        <v>-4.1999999999999997E-3</v>
      </c>
      <c r="CZ181" s="228">
        <v>22.92</v>
      </c>
      <c r="DA181" s="228">
        <v>23.29</v>
      </c>
      <c r="DB181" s="228">
        <v>-0.37</v>
      </c>
      <c r="DC181" s="228">
        <v>-0.37</v>
      </c>
      <c r="DD181" s="228">
        <v>37.18</v>
      </c>
      <c r="DE181" s="228">
        <v>37.25</v>
      </c>
      <c r="DF181" s="228">
        <v>-14.26</v>
      </c>
      <c r="DG181" s="228">
        <v>-7.0000000000000007E-2</v>
      </c>
      <c r="DH181" s="228">
        <v>22.79</v>
      </c>
      <c r="DI181" s="228">
        <v>23.16</v>
      </c>
      <c r="DJ181" s="228">
        <v>-0.37</v>
      </c>
      <c r="DK181" s="228">
        <v>-0.37</v>
      </c>
      <c r="DL181" s="228">
        <v>23.24</v>
      </c>
      <c r="DM181" s="228">
        <v>23.69</v>
      </c>
      <c r="DN181" s="228">
        <v>-0.45</v>
      </c>
      <c r="DO181" s="228">
        <v>-0.45</v>
      </c>
      <c r="DP181" s="228">
        <v>0.55000000000000004</v>
      </c>
      <c r="DQ181" s="228">
        <v>0.54</v>
      </c>
      <c r="DR181" s="228">
        <v>0.01</v>
      </c>
      <c r="DS181" s="229">
        <v>1.8499999999999999E-2</v>
      </c>
      <c r="DT181" s="231">
        <v>3300</v>
      </c>
      <c r="DU181" s="231">
        <v>3100</v>
      </c>
      <c r="DV181" s="228">
        <v>0.38</v>
      </c>
      <c r="DW181" s="228">
        <v>0.35</v>
      </c>
      <c r="DX181" s="228">
        <v>0.03</v>
      </c>
      <c r="DY181" s="229">
        <v>8.5699999999999998E-2</v>
      </c>
      <c r="DZ181" s="229">
        <v>3.1099999999999999E-2</v>
      </c>
      <c r="EA181" s="230">
        <v>74900</v>
      </c>
      <c r="EB181" s="229">
        <v>4.1000000000000003E-3</v>
      </c>
      <c r="EC181" s="229">
        <v>3.1099999999999999E-2</v>
      </c>
      <c r="ED181" s="228">
        <v>11.07</v>
      </c>
      <c r="EE181" s="229">
        <v>3.5999999999999999E-3</v>
      </c>
      <c r="EF181" s="230">
        <v>18250</v>
      </c>
      <c r="EG181" s="230">
        <v>64949</v>
      </c>
      <c r="EH181" s="229">
        <v>-0.71899999999999997</v>
      </c>
      <c r="EI181" s="229">
        <v>0.26040000000000002</v>
      </c>
      <c r="EJ181" s="231">
        <v>24448.21</v>
      </c>
      <c r="EK181" s="231">
        <v>8713.92</v>
      </c>
      <c r="EL181" s="231">
        <v>6713.2</v>
      </c>
      <c r="EM181" s="231">
        <v>8336</v>
      </c>
      <c r="EN181" s="231">
        <v>39875.33</v>
      </c>
      <c r="EO181" s="231">
        <v>83109.13</v>
      </c>
      <c r="EP181" s="231">
        <v>-43233.8</v>
      </c>
      <c r="EQ181" s="229">
        <v>-0.5202</v>
      </c>
      <c r="ER181" s="231">
        <v>24077</v>
      </c>
      <c r="ES181" s="231">
        <v>12288</v>
      </c>
      <c r="ET181" s="231">
        <v>78784</v>
      </c>
      <c r="EU181" s="231">
        <v>13354588</v>
      </c>
      <c r="EV181" s="231">
        <v>115149</v>
      </c>
      <c r="EW181" s="231">
        <v>114713</v>
      </c>
      <c r="EX181" s="228">
        <v>436</v>
      </c>
      <c r="EY181" s="229">
        <v>3.8E-3</v>
      </c>
      <c r="EZ181" s="229">
        <v>0.2762</v>
      </c>
      <c r="FA181" s="227" t="s">
        <v>556</v>
      </c>
      <c r="FB181" s="161">
        <f t="shared" si="4"/>
        <v>0</v>
      </c>
    </row>
    <row r="182" spans="1:158" ht="17.25" thickBot="1" x14ac:dyDescent="0.3">
      <c r="A182" s="226">
        <v>46023</v>
      </c>
      <c r="B182" s="227" t="s">
        <v>498</v>
      </c>
      <c r="C182" s="227" t="s">
        <v>646</v>
      </c>
      <c r="D182" s="228">
        <v>50</v>
      </c>
      <c r="E182" s="231">
        <v>12220</v>
      </c>
      <c r="F182" s="231">
        <v>12298</v>
      </c>
      <c r="G182" s="228">
        <v>-78</v>
      </c>
      <c r="H182" s="229">
        <v>-6.3E-3</v>
      </c>
      <c r="I182" s="231">
        <v>12166</v>
      </c>
      <c r="J182" s="231">
        <v>12252</v>
      </c>
      <c r="K182" s="228">
        <v>-86</v>
      </c>
      <c r="L182" s="229">
        <v>-7.0000000000000001E-3</v>
      </c>
      <c r="M182" s="231">
        <v>12220</v>
      </c>
      <c r="N182" s="231">
        <v>12298</v>
      </c>
      <c r="O182" s="228">
        <v>-78</v>
      </c>
      <c r="P182" s="229">
        <v>-6.3E-3</v>
      </c>
      <c r="Q182" s="231">
        <v>12298</v>
      </c>
      <c r="R182" s="231">
        <v>12362</v>
      </c>
      <c r="S182" s="228">
        <v>-64</v>
      </c>
      <c r="T182" s="229">
        <v>-5.1999999999999998E-3</v>
      </c>
      <c r="U182" s="231">
        <v>12350</v>
      </c>
      <c r="V182" s="231">
        <v>12461</v>
      </c>
      <c r="W182" s="228">
        <v>-111</v>
      </c>
      <c r="X182" s="229">
        <v>-8.8999999999999999E-3</v>
      </c>
      <c r="Y182" s="228">
        <v>54</v>
      </c>
      <c r="Z182" s="228">
        <v>46</v>
      </c>
      <c r="AA182" s="228">
        <v>8</v>
      </c>
      <c r="AB182" s="229">
        <v>4.4000000000000003E-3</v>
      </c>
      <c r="AC182" s="228">
        <v>54</v>
      </c>
      <c r="AD182" s="228">
        <v>46</v>
      </c>
      <c r="AE182" s="228">
        <v>8</v>
      </c>
      <c r="AF182" s="229">
        <v>4.4000000000000003E-3</v>
      </c>
      <c r="AG182" s="228">
        <v>132</v>
      </c>
      <c r="AH182" s="228">
        <v>110</v>
      </c>
      <c r="AI182" s="228">
        <v>22</v>
      </c>
      <c r="AJ182" s="229">
        <v>1.0800000000000001E-2</v>
      </c>
      <c r="AK182" s="228">
        <v>184</v>
      </c>
      <c r="AL182" s="228">
        <v>209</v>
      </c>
      <c r="AM182" s="228">
        <v>-25</v>
      </c>
      <c r="AN182" s="229">
        <v>1.5100000000000001E-2</v>
      </c>
      <c r="AO182" s="231">
        <v>12219.97</v>
      </c>
      <c r="AP182" s="231">
        <v>12293.88</v>
      </c>
      <c r="AQ182" s="228">
        <v>0</v>
      </c>
      <c r="AR182" s="230">
        <v>64650</v>
      </c>
      <c r="AS182" s="230">
        <v>172000</v>
      </c>
      <c r="AT182" s="230">
        <v>-107350</v>
      </c>
      <c r="AU182" s="229">
        <v>-0.62409999999999999</v>
      </c>
      <c r="AV182" s="230">
        <v>61600</v>
      </c>
      <c r="AW182" s="230">
        <v>162400</v>
      </c>
      <c r="AX182" s="230">
        <v>-100800</v>
      </c>
      <c r="AY182" s="229">
        <v>-0.62070000000000003</v>
      </c>
      <c r="AZ182" s="230">
        <v>2450</v>
      </c>
      <c r="BA182" s="230">
        <v>7350</v>
      </c>
      <c r="BB182" s="230">
        <v>-4900</v>
      </c>
      <c r="BC182" s="229">
        <v>-0.66669999999999996</v>
      </c>
      <c r="BD182" s="228">
        <v>600</v>
      </c>
      <c r="BE182" s="230">
        <v>2250</v>
      </c>
      <c r="BF182" s="230">
        <v>-1650</v>
      </c>
      <c r="BG182" s="229">
        <v>-0.73329999999999995</v>
      </c>
      <c r="BH182" s="230">
        <v>307750</v>
      </c>
      <c r="BI182" s="230">
        <v>775350</v>
      </c>
      <c r="BJ182" s="230">
        <v>-467600</v>
      </c>
      <c r="BK182" s="229">
        <v>-0.60309999999999997</v>
      </c>
      <c r="BL182" s="230">
        <v>156900</v>
      </c>
      <c r="BM182" s="230">
        <v>228650</v>
      </c>
      <c r="BN182" s="230">
        <v>-71750</v>
      </c>
      <c r="BO182" s="229">
        <v>-0.31380000000000002</v>
      </c>
      <c r="BP182" s="230">
        <v>529300</v>
      </c>
      <c r="BQ182" s="230">
        <v>1176000</v>
      </c>
      <c r="BR182" s="230">
        <v>-646700</v>
      </c>
      <c r="BS182" s="229">
        <v>-0.54990000000000006</v>
      </c>
      <c r="BT182" s="230">
        <v>91652</v>
      </c>
      <c r="BU182" s="230">
        <v>181226</v>
      </c>
      <c r="BV182" s="230">
        <v>-89574</v>
      </c>
      <c r="BW182" s="229">
        <v>-0.49430000000000002</v>
      </c>
      <c r="BX182" s="230">
        <v>1199300</v>
      </c>
      <c r="BY182" s="230">
        <v>1200300</v>
      </c>
      <c r="BZ182" s="230">
        <v>-1000</v>
      </c>
      <c r="CA182" s="229">
        <v>-8.0000000000000004E-4</v>
      </c>
      <c r="CB182" s="230">
        <v>1132100</v>
      </c>
      <c r="CC182" s="230">
        <v>1133950</v>
      </c>
      <c r="CD182" s="230">
        <v>-1850</v>
      </c>
      <c r="CE182" s="229">
        <v>-1.6000000000000001E-3</v>
      </c>
      <c r="CF182" s="230">
        <v>64450</v>
      </c>
      <c r="CG182" s="230">
        <v>64150</v>
      </c>
      <c r="CH182" s="228">
        <v>300</v>
      </c>
      <c r="CI182" s="229">
        <v>4.7000000000000002E-3</v>
      </c>
      <c r="CJ182" s="230">
        <v>2750</v>
      </c>
      <c r="CK182" s="230">
        <v>2200</v>
      </c>
      <c r="CL182" s="228">
        <v>550</v>
      </c>
      <c r="CM182" s="229">
        <v>0.25</v>
      </c>
      <c r="CN182" s="230">
        <v>397850</v>
      </c>
      <c r="CO182" s="230">
        <v>362500</v>
      </c>
      <c r="CP182" s="230">
        <v>35350</v>
      </c>
      <c r="CQ182" s="229">
        <v>9.7500000000000003E-2</v>
      </c>
      <c r="CR182" s="230">
        <v>226200</v>
      </c>
      <c r="CS182" s="230">
        <v>225150</v>
      </c>
      <c r="CT182" s="230">
        <v>1050</v>
      </c>
      <c r="CU182" s="229">
        <v>4.7000000000000002E-3</v>
      </c>
      <c r="CV182" s="230">
        <v>1823350</v>
      </c>
      <c r="CW182" s="230">
        <v>1787950</v>
      </c>
      <c r="CX182" s="230">
        <v>35400</v>
      </c>
      <c r="CY182" s="229">
        <v>1.9800000000000002E-2</v>
      </c>
      <c r="CZ182" s="228">
        <v>33.119999999999997</v>
      </c>
      <c r="DA182" s="228">
        <v>31.46</v>
      </c>
      <c r="DB182" s="228">
        <v>1.66</v>
      </c>
      <c r="DC182" s="228">
        <v>1.66</v>
      </c>
      <c r="DD182" s="228">
        <v>39.26</v>
      </c>
      <c r="DE182" s="228">
        <v>39.35</v>
      </c>
      <c r="DF182" s="228">
        <v>-6.14</v>
      </c>
      <c r="DG182" s="228">
        <v>-0.09</v>
      </c>
      <c r="DH182" s="228">
        <v>32.49</v>
      </c>
      <c r="DI182" s="228">
        <v>31.34</v>
      </c>
      <c r="DJ182" s="228">
        <v>1.1499999999999999</v>
      </c>
      <c r="DK182" s="228">
        <v>1.1499999999999999</v>
      </c>
      <c r="DL182" s="228">
        <v>34.35</v>
      </c>
      <c r="DM182" s="228">
        <v>31.87</v>
      </c>
      <c r="DN182" s="228">
        <v>2.48</v>
      </c>
      <c r="DO182" s="228">
        <v>2.48</v>
      </c>
      <c r="DP182" s="228">
        <v>0.56999999999999995</v>
      </c>
      <c r="DQ182" s="228">
        <v>0.62</v>
      </c>
      <c r="DR182" s="228">
        <v>-0.05</v>
      </c>
      <c r="DS182" s="229">
        <v>-8.0600000000000005E-2</v>
      </c>
      <c r="DT182" s="231">
        <v>13000</v>
      </c>
      <c r="DU182" s="231">
        <v>12000</v>
      </c>
      <c r="DV182" s="228">
        <v>0.51</v>
      </c>
      <c r="DW182" s="228">
        <v>0.28999999999999998</v>
      </c>
      <c r="DX182" s="228">
        <v>0.22</v>
      </c>
      <c r="DY182" s="229">
        <v>0.75860000000000005</v>
      </c>
      <c r="DZ182" s="229">
        <v>5.6000000000000001E-2</v>
      </c>
      <c r="EA182" s="230">
        <v>66350</v>
      </c>
      <c r="EB182" s="229">
        <v>6.4000000000000003E-3</v>
      </c>
      <c r="EC182" s="229">
        <v>5.6000000000000001E-2</v>
      </c>
      <c r="ED182" s="228">
        <v>73.91</v>
      </c>
      <c r="EE182" s="229">
        <v>6.0000000000000001E-3</v>
      </c>
      <c r="EF182" s="230">
        <v>36122</v>
      </c>
      <c r="EG182" s="230">
        <v>72305</v>
      </c>
      <c r="EH182" s="229">
        <v>-0.50039999999999996</v>
      </c>
      <c r="EI182" s="229">
        <v>0.39410000000000001</v>
      </c>
      <c r="EJ182" s="231">
        <v>41527.410000000003</v>
      </c>
      <c r="EK182" s="231">
        <v>17740.060000000001</v>
      </c>
      <c r="EL182" s="231">
        <v>7902.77</v>
      </c>
      <c r="EM182" s="231">
        <v>12457</v>
      </c>
      <c r="EN182" s="231">
        <v>67170.240000000005</v>
      </c>
      <c r="EO182" s="231">
        <v>151111.4</v>
      </c>
      <c r="EP182" s="231">
        <v>-83941.16</v>
      </c>
      <c r="EQ182" s="229">
        <v>-0.55549999999999999</v>
      </c>
      <c r="ER182" s="231">
        <v>52444</v>
      </c>
      <c r="ES182" s="231">
        <v>27773</v>
      </c>
      <c r="ET182" s="231">
        <v>146608</v>
      </c>
      <c r="EU182" s="231">
        <v>3644817</v>
      </c>
      <c r="EV182" s="231">
        <v>226825</v>
      </c>
      <c r="EW182" s="231">
        <v>223161</v>
      </c>
      <c r="EX182" s="231">
        <v>3664</v>
      </c>
      <c r="EY182" s="229">
        <v>1.6400000000000001E-2</v>
      </c>
      <c r="EZ182" s="229">
        <v>0.50029999999999997</v>
      </c>
      <c r="FA182" s="227" t="s">
        <v>568</v>
      </c>
      <c r="FB182" s="161">
        <f t="shared" si="4"/>
        <v>0</v>
      </c>
    </row>
    <row r="183" spans="1:158" ht="17.25" thickBot="1" x14ac:dyDescent="0.3">
      <c r="A183" s="226">
        <v>46023</v>
      </c>
      <c r="B183" s="227" t="s">
        <v>162</v>
      </c>
      <c r="C183" s="227" t="s">
        <v>614</v>
      </c>
      <c r="D183" s="228">
        <v>1225</v>
      </c>
      <c r="E183" s="228">
        <v>476.85</v>
      </c>
      <c r="F183" s="228">
        <v>481.9</v>
      </c>
      <c r="G183" s="228">
        <v>-5.05</v>
      </c>
      <c r="H183" s="229">
        <v>-1.0500000000000001E-2</v>
      </c>
      <c r="I183" s="228">
        <v>474.3</v>
      </c>
      <c r="J183" s="228">
        <v>479.4</v>
      </c>
      <c r="K183" s="228">
        <v>-5.0999999999999996</v>
      </c>
      <c r="L183" s="229">
        <v>-1.06E-2</v>
      </c>
      <c r="M183" s="228">
        <v>476.85</v>
      </c>
      <c r="N183" s="228">
        <v>481.9</v>
      </c>
      <c r="O183" s="228">
        <v>-5.05</v>
      </c>
      <c r="P183" s="229">
        <v>-1.0500000000000001E-2</v>
      </c>
      <c r="Q183" s="228">
        <v>478.8</v>
      </c>
      <c r="R183" s="228">
        <v>484</v>
      </c>
      <c r="S183" s="228">
        <v>-5.2</v>
      </c>
      <c r="T183" s="229">
        <v>-1.0699999999999999E-2</v>
      </c>
      <c r="U183" s="228">
        <v>0</v>
      </c>
      <c r="V183" s="228">
        <v>0</v>
      </c>
      <c r="W183" s="228">
        <v>0</v>
      </c>
      <c r="X183" s="229">
        <v>0</v>
      </c>
      <c r="Y183" s="228">
        <v>2.5499999999999998</v>
      </c>
      <c r="Z183" s="228">
        <v>2.5</v>
      </c>
      <c r="AA183" s="228">
        <v>0.05</v>
      </c>
      <c r="AB183" s="229">
        <v>5.4000000000000003E-3</v>
      </c>
      <c r="AC183" s="228">
        <v>2.5499999999999998</v>
      </c>
      <c r="AD183" s="228">
        <v>2.5</v>
      </c>
      <c r="AE183" s="228">
        <v>0.05</v>
      </c>
      <c r="AF183" s="229">
        <v>5.4000000000000003E-3</v>
      </c>
      <c r="AG183" s="228">
        <v>4.5</v>
      </c>
      <c r="AH183" s="228">
        <v>4.5999999999999996</v>
      </c>
      <c r="AI183" s="228">
        <v>-0.1</v>
      </c>
      <c r="AJ183" s="229">
        <v>9.4999999999999998E-3</v>
      </c>
      <c r="AK183" s="228">
        <v>0</v>
      </c>
      <c r="AL183" s="228">
        <v>0</v>
      </c>
      <c r="AM183" s="228">
        <v>0</v>
      </c>
      <c r="AN183" s="229">
        <v>0</v>
      </c>
      <c r="AO183" s="228">
        <v>477.84</v>
      </c>
      <c r="AP183" s="228">
        <v>479.85</v>
      </c>
      <c r="AQ183" s="228">
        <v>0</v>
      </c>
      <c r="AR183" s="230">
        <v>785225</v>
      </c>
      <c r="AS183" s="230">
        <v>1296050</v>
      </c>
      <c r="AT183" s="230">
        <v>-510825</v>
      </c>
      <c r="AU183" s="229">
        <v>-0.39410000000000001</v>
      </c>
      <c r="AV183" s="230">
        <v>744800</v>
      </c>
      <c r="AW183" s="230">
        <v>1229900</v>
      </c>
      <c r="AX183" s="230">
        <v>-485100</v>
      </c>
      <c r="AY183" s="229">
        <v>-0.39439999999999997</v>
      </c>
      <c r="AZ183" s="230">
        <v>40425</v>
      </c>
      <c r="BA183" s="230">
        <v>66150</v>
      </c>
      <c r="BB183" s="230">
        <v>-25725</v>
      </c>
      <c r="BC183" s="229">
        <v>-0.38890000000000002</v>
      </c>
      <c r="BD183" s="228">
        <v>0</v>
      </c>
      <c r="BE183" s="228">
        <v>0</v>
      </c>
      <c r="BF183" s="228">
        <v>0</v>
      </c>
      <c r="BG183" s="229">
        <v>0</v>
      </c>
      <c r="BH183" s="230">
        <v>900375</v>
      </c>
      <c r="BI183" s="230">
        <v>1232350</v>
      </c>
      <c r="BJ183" s="230">
        <v>-331975</v>
      </c>
      <c r="BK183" s="229">
        <v>-0.26939999999999997</v>
      </c>
      <c r="BL183" s="230">
        <v>319725</v>
      </c>
      <c r="BM183" s="230">
        <v>595350</v>
      </c>
      <c r="BN183" s="230">
        <v>-275625</v>
      </c>
      <c r="BO183" s="229">
        <v>-0.46300000000000002</v>
      </c>
      <c r="BP183" s="230">
        <v>2005325</v>
      </c>
      <c r="BQ183" s="230">
        <v>3123750</v>
      </c>
      <c r="BR183" s="230">
        <v>-1118425</v>
      </c>
      <c r="BS183" s="229">
        <v>-0.35799999999999998</v>
      </c>
      <c r="BT183" s="230">
        <v>551182</v>
      </c>
      <c r="BU183" s="230">
        <v>634414</v>
      </c>
      <c r="BV183" s="230">
        <v>-83232</v>
      </c>
      <c r="BW183" s="229">
        <v>-0.13120000000000001</v>
      </c>
      <c r="BX183" s="230">
        <v>14551775</v>
      </c>
      <c r="BY183" s="230">
        <v>14534625</v>
      </c>
      <c r="BZ183" s="230">
        <v>17150</v>
      </c>
      <c r="CA183" s="229">
        <v>1.1999999999999999E-3</v>
      </c>
      <c r="CB183" s="230">
        <v>14266350</v>
      </c>
      <c r="CC183" s="230">
        <v>14262675</v>
      </c>
      <c r="CD183" s="230">
        <v>3675</v>
      </c>
      <c r="CE183" s="229">
        <v>2.9999999999999997E-4</v>
      </c>
      <c r="CF183" s="230">
        <v>285425</v>
      </c>
      <c r="CG183" s="230">
        <v>271950</v>
      </c>
      <c r="CH183" s="230">
        <v>13475</v>
      </c>
      <c r="CI183" s="229">
        <v>4.9500000000000002E-2</v>
      </c>
      <c r="CJ183" s="228">
        <v>0</v>
      </c>
      <c r="CK183" s="228">
        <v>0</v>
      </c>
      <c r="CL183" s="228">
        <v>0</v>
      </c>
      <c r="CM183" s="229">
        <v>0</v>
      </c>
      <c r="CN183" s="230">
        <v>1762775</v>
      </c>
      <c r="CO183" s="230">
        <v>1509200</v>
      </c>
      <c r="CP183" s="230">
        <v>253575</v>
      </c>
      <c r="CQ183" s="229">
        <v>0.16800000000000001</v>
      </c>
      <c r="CR183" s="230">
        <v>1195600</v>
      </c>
      <c r="CS183" s="230">
        <v>1135575</v>
      </c>
      <c r="CT183" s="230">
        <v>60025</v>
      </c>
      <c r="CU183" s="229">
        <v>5.2900000000000003E-2</v>
      </c>
      <c r="CV183" s="230">
        <v>17510150</v>
      </c>
      <c r="CW183" s="230">
        <v>17179400</v>
      </c>
      <c r="CX183" s="230">
        <v>330750</v>
      </c>
      <c r="CY183" s="229">
        <v>1.9300000000000001E-2</v>
      </c>
      <c r="CZ183" s="228">
        <v>28.74</v>
      </c>
      <c r="DA183" s="228">
        <v>29.37</v>
      </c>
      <c r="DB183" s="228">
        <v>-0.63</v>
      </c>
      <c r="DC183" s="228">
        <v>-0.63</v>
      </c>
      <c r="DD183" s="228">
        <v>38.270000000000003</v>
      </c>
      <c r="DE183" s="228">
        <v>38.340000000000003</v>
      </c>
      <c r="DF183" s="228">
        <v>-9.5299999999999994</v>
      </c>
      <c r="DG183" s="228">
        <v>-7.0000000000000007E-2</v>
      </c>
      <c r="DH183" s="228">
        <v>28.78</v>
      </c>
      <c r="DI183" s="228">
        <v>29.45</v>
      </c>
      <c r="DJ183" s="228">
        <v>-0.67</v>
      </c>
      <c r="DK183" s="228">
        <v>-0.67</v>
      </c>
      <c r="DL183" s="228">
        <v>28.6</v>
      </c>
      <c r="DM183" s="228">
        <v>29.19</v>
      </c>
      <c r="DN183" s="228">
        <v>-0.59</v>
      </c>
      <c r="DO183" s="228">
        <v>-0.59</v>
      </c>
      <c r="DP183" s="228">
        <v>0.68</v>
      </c>
      <c r="DQ183" s="228">
        <v>0.75</v>
      </c>
      <c r="DR183" s="228">
        <v>-7.0000000000000007E-2</v>
      </c>
      <c r="DS183" s="229">
        <v>-9.3299999999999994E-2</v>
      </c>
      <c r="DT183" s="228">
        <v>480</v>
      </c>
      <c r="DU183" s="228">
        <v>480</v>
      </c>
      <c r="DV183" s="228">
        <v>0.36</v>
      </c>
      <c r="DW183" s="228">
        <v>0.48</v>
      </c>
      <c r="DX183" s="228">
        <v>-0.12</v>
      </c>
      <c r="DY183" s="229">
        <v>-0.25</v>
      </c>
      <c r="DZ183" s="229">
        <v>1.9599999999999999E-2</v>
      </c>
      <c r="EA183" s="230">
        <v>271950</v>
      </c>
      <c r="EB183" s="229">
        <v>4.1000000000000003E-3</v>
      </c>
      <c r="EC183" s="229">
        <v>1.9599999999999999E-2</v>
      </c>
      <c r="ED183" s="228">
        <v>2.0099999999999998</v>
      </c>
      <c r="EE183" s="229">
        <v>4.1999999999999997E-3</v>
      </c>
      <c r="EF183" s="230">
        <v>191112</v>
      </c>
      <c r="EG183" s="230">
        <v>272406</v>
      </c>
      <c r="EH183" s="229">
        <v>-0.2984</v>
      </c>
      <c r="EI183" s="229">
        <v>0.34670000000000001</v>
      </c>
      <c r="EJ183" s="231">
        <v>4528.8</v>
      </c>
      <c r="EK183" s="231">
        <v>1495.15</v>
      </c>
      <c r="EL183" s="231">
        <v>3752.94</v>
      </c>
      <c r="EM183" s="231">
        <v>6949</v>
      </c>
      <c r="EN183" s="231">
        <v>9776.89</v>
      </c>
      <c r="EO183" s="231">
        <v>15338.79</v>
      </c>
      <c r="EP183" s="231">
        <v>-5561.9</v>
      </c>
      <c r="EQ183" s="229">
        <v>-0.36259999999999998</v>
      </c>
      <c r="ER183" s="231">
        <v>8864</v>
      </c>
      <c r="ES183" s="231">
        <v>5572</v>
      </c>
      <c r="ET183" s="231">
        <v>69396</v>
      </c>
      <c r="EU183" s="231">
        <v>67126548</v>
      </c>
      <c r="EV183" s="231">
        <v>83832</v>
      </c>
      <c r="EW183" s="231">
        <v>82978</v>
      </c>
      <c r="EX183" s="228">
        <v>854</v>
      </c>
      <c r="EY183" s="229">
        <v>1.03E-2</v>
      </c>
      <c r="EZ183" s="229">
        <v>0.26090000000000002</v>
      </c>
      <c r="FA183" s="227" t="s">
        <v>567</v>
      </c>
      <c r="FB183" s="161">
        <f t="shared" si="4"/>
        <v>0</v>
      </c>
    </row>
    <row r="184" spans="1:158" ht="17.25" thickBot="1" x14ac:dyDescent="0.3">
      <c r="A184" s="226">
        <v>46023</v>
      </c>
      <c r="B184" s="227" t="s">
        <v>197</v>
      </c>
      <c r="C184" s="227" t="s">
        <v>286</v>
      </c>
      <c r="D184" s="228">
        <v>200</v>
      </c>
      <c r="E184" s="231">
        <v>3073.6</v>
      </c>
      <c r="F184" s="231">
        <v>3092.1</v>
      </c>
      <c r="G184" s="228">
        <v>-18.5</v>
      </c>
      <c r="H184" s="229">
        <v>-6.0000000000000001E-3</v>
      </c>
      <c r="I184" s="231">
        <v>3057.3</v>
      </c>
      <c r="J184" s="231">
        <v>3075</v>
      </c>
      <c r="K184" s="228">
        <v>-17.7</v>
      </c>
      <c r="L184" s="229">
        <v>-5.7999999999999996E-3</v>
      </c>
      <c r="M184" s="231">
        <v>3073.6</v>
      </c>
      <c r="N184" s="231">
        <v>3092.1</v>
      </c>
      <c r="O184" s="228">
        <v>-18.5</v>
      </c>
      <c r="P184" s="229">
        <v>-6.0000000000000001E-3</v>
      </c>
      <c r="Q184" s="231">
        <v>3090.2</v>
      </c>
      <c r="R184" s="231">
        <v>3107.8</v>
      </c>
      <c r="S184" s="228">
        <v>-17.600000000000001</v>
      </c>
      <c r="T184" s="229">
        <v>-5.7000000000000002E-3</v>
      </c>
      <c r="U184" s="231">
        <v>3105</v>
      </c>
      <c r="V184" s="231">
        <v>3133.9</v>
      </c>
      <c r="W184" s="228">
        <v>-28.9</v>
      </c>
      <c r="X184" s="229">
        <v>-9.1999999999999998E-3</v>
      </c>
      <c r="Y184" s="228">
        <v>16.3</v>
      </c>
      <c r="Z184" s="228">
        <v>17.100000000000001</v>
      </c>
      <c r="AA184" s="228">
        <v>-0.8</v>
      </c>
      <c r="AB184" s="229">
        <v>5.3E-3</v>
      </c>
      <c r="AC184" s="228">
        <v>16.3</v>
      </c>
      <c r="AD184" s="228">
        <v>17.100000000000001</v>
      </c>
      <c r="AE184" s="228">
        <v>-0.8</v>
      </c>
      <c r="AF184" s="229">
        <v>5.3E-3</v>
      </c>
      <c r="AG184" s="228">
        <v>32.9</v>
      </c>
      <c r="AH184" s="228">
        <v>32.799999999999997</v>
      </c>
      <c r="AI184" s="228">
        <v>0.1</v>
      </c>
      <c r="AJ184" s="229">
        <v>1.0800000000000001E-2</v>
      </c>
      <c r="AK184" s="228">
        <v>47.7</v>
      </c>
      <c r="AL184" s="228">
        <v>58.9</v>
      </c>
      <c r="AM184" s="228">
        <v>-11.2</v>
      </c>
      <c r="AN184" s="229">
        <v>1.5599999999999999E-2</v>
      </c>
      <c r="AO184" s="231">
        <v>3076.56</v>
      </c>
      <c r="AP184" s="231">
        <v>3095</v>
      </c>
      <c r="AQ184" s="228">
        <v>0</v>
      </c>
      <c r="AR184" s="230">
        <v>220800</v>
      </c>
      <c r="AS184" s="230">
        <v>548000</v>
      </c>
      <c r="AT184" s="230">
        <v>-327200</v>
      </c>
      <c r="AU184" s="229">
        <v>-0.59709999999999996</v>
      </c>
      <c r="AV184" s="230">
        <v>215200</v>
      </c>
      <c r="AW184" s="230">
        <v>530800</v>
      </c>
      <c r="AX184" s="230">
        <v>-315600</v>
      </c>
      <c r="AY184" s="229">
        <v>-0.59460000000000002</v>
      </c>
      <c r="AZ184" s="230">
        <v>4400</v>
      </c>
      <c r="BA184" s="230">
        <v>16000</v>
      </c>
      <c r="BB184" s="230">
        <v>-11600</v>
      </c>
      <c r="BC184" s="229">
        <v>-0.72499999999999998</v>
      </c>
      <c r="BD184" s="230">
        <v>1200</v>
      </c>
      <c r="BE184" s="230">
        <v>1200</v>
      </c>
      <c r="BF184" s="228">
        <v>0</v>
      </c>
      <c r="BG184" s="229">
        <v>0</v>
      </c>
      <c r="BH184" s="230">
        <v>503200</v>
      </c>
      <c r="BI184" s="230">
        <v>1426800</v>
      </c>
      <c r="BJ184" s="230">
        <v>-923600</v>
      </c>
      <c r="BK184" s="229">
        <v>-0.64729999999999999</v>
      </c>
      <c r="BL184" s="230">
        <v>317200</v>
      </c>
      <c r="BM184" s="230">
        <v>575400</v>
      </c>
      <c r="BN184" s="230">
        <v>-258200</v>
      </c>
      <c r="BO184" s="229">
        <v>-0.44869999999999999</v>
      </c>
      <c r="BP184" s="230">
        <v>1041200</v>
      </c>
      <c r="BQ184" s="230">
        <v>2550200</v>
      </c>
      <c r="BR184" s="230">
        <v>-1509000</v>
      </c>
      <c r="BS184" s="229">
        <v>-0.5917</v>
      </c>
      <c r="BT184" s="230">
        <v>75971</v>
      </c>
      <c r="BU184" s="230">
        <v>225101</v>
      </c>
      <c r="BV184" s="230">
        <v>-149130</v>
      </c>
      <c r="BW184" s="229">
        <v>-0.66249999999999998</v>
      </c>
      <c r="BX184" s="230">
        <v>3621200</v>
      </c>
      <c r="BY184" s="230">
        <v>3632800</v>
      </c>
      <c r="BZ184" s="230">
        <v>-11600</v>
      </c>
      <c r="CA184" s="229">
        <v>-3.2000000000000002E-3</v>
      </c>
      <c r="CB184" s="230">
        <v>3576400</v>
      </c>
      <c r="CC184" s="230">
        <v>3589600</v>
      </c>
      <c r="CD184" s="230">
        <v>-13200</v>
      </c>
      <c r="CE184" s="229">
        <v>-3.7000000000000002E-3</v>
      </c>
      <c r="CF184" s="230">
        <v>42800</v>
      </c>
      <c r="CG184" s="230">
        <v>42000</v>
      </c>
      <c r="CH184" s="228">
        <v>800</v>
      </c>
      <c r="CI184" s="229">
        <v>1.9E-2</v>
      </c>
      <c r="CJ184" s="230">
        <v>2000</v>
      </c>
      <c r="CK184" s="230">
        <v>1200</v>
      </c>
      <c r="CL184" s="228">
        <v>800</v>
      </c>
      <c r="CM184" s="229">
        <v>0.66669999999999996</v>
      </c>
      <c r="CN184" s="230">
        <v>781800</v>
      </c>
      <c r="CO184" s="230">
        <v>739600</v>
      </c>
      <c r="CP184" s="230">
        <v>42200</v>
      </c>
      <c r="CQ184" s="229">
        <v>5.7099999999999998E-2</v>
      </c>
      <c r="CR184" s="230">
        <v>622000</v>
      </c>
      <c r="CS184" s="230">
        <v>536000</v>
      </c>
      <c r="CT184" s="230">
        <v>86000</v>
      </c>
      <c r="CU184" s="229">
        <v>0.16039999999999999</v>
      </c>
      <c r="CV184" s="230">
        <v>5025000</v>
      </c>
      <c r="CW184" s="230">
        <v>4908400</v>
      </c>
      <c r="CX184" s="230">
        <v>116600</v>
      </c>
      <c r="CY184" s="229">
        <v>2.3800000000000002E-2</v>
      </c>
      <c r="CZ184" s="228">
        <v>21.42</v>
      </c>
      <c r="DA184" s="228">
        <v>21.64</v>
      </c>
      <c r="DB184" s="228">
        <v>-0.22</v>
      </c>
      <c r="DC184" s="228">
        <v>-0.22</v>
      </c>
      <c r="DD184" s="228">
        <v>30.47</v>
      </c>
      <c r="DE184" s="228">
        <v>30.53</v>
      </c>
      <c r="DF184" s="228">
        <v>-9.0500000000000007</v>
      </c>
      <c r="DG184" s="228">
        <v>-0.06</v>
      </c>
      <c r="DH184" s="228">
        <v>21.53</v>
      </c>
      <c r="DI184" s="228">
        <v>21.73</v>
      </c>
      <c r="DJ184" s="228">
        <v>-0.2</v>
      </c>
      <c r="DK184" s="228">
        <v>-0.2</v>
      </c>
      <c r="DL184" s="228">
        <v>21.25</v>
      </c>
      <c r="DM184" s="228">
        <v>21.43</v>
      </c>
      <c r="DN184" s="228">
        <v>-0.18</v>
      </c>
      <c r="DO184" s="228">
        <v>-0.18</v>
      </c>
      <c r="DP184" s="228">
        <v>0.8</v>
      </c>
      <c r="DQ184" s="228">
        <v>0.72</v>
      </c>
      <c r="DR184" s="228">
        <v>0.08</v>
      </c>
      <c r="DS184" s="229">
        <v>0.1111</v>
      </c>
      <c r="DT184" s="231">
        <v>3100</v>
      </c>
      <c r="DU184" s="231">
        <v>3050</v>
      </c>
      <c r="DV184" s="228">
        <v>0.63</v>
      </c>
      <c r="DW184" s="228">
        <v>0.4</v>
      </c>
      <c r="DX184" s="228">
        <v>0.23</v>
      </c>
      <c r="DY184" s="229">
        <v>0.57499999999999996</v>
      </c>
      <c r="DZ184" s="229">
        <v>1.24E-2</v>
      </c>
      <c r="EA184" s="230">
        <v>43200</v>
      </c>
      <c r="EB184" s="229">
        <v>5.4000000000000003E-3</v>
      </c>
      <c r="EC184" s="229">
        <v>1.24E-2</v>
      </c>
      <c r="ED184" s="228">
        <v>18.440000000000001</v>
      </c>
      <c r="EE184" s="229">
        <v>6.0000000000000001E-3</v>
      </c>
      <c r="EF184" s="230">
        <v>36103</v>
      </c>
      <c r="EG184" s="230">
        <v>122770</v>
      </c>
      <c r="EH184" s="229">
        <v>-0.70589999999999997</v>
      </c>
      <c r="EI184" s="229">
        <v>0.47520000000000001</v>
      </c>
      <c r="EJ184" s="231">
        <v>16112.9</v>
      </c>
      <c r="EK184" s="231">
        <v>9754.57</v>
      </c>
      <c r="EL184" s="231">
        <v>6794.22</v>
      </c>
      <c r="EM184" s="231">
        <v>9471</v>
      </c>
      <c r="EN184" s="231">
        <v>32661.69</v>
      </c>
      <c r="EO184" s="231">
        <v>80640.25</v>
      </c>
      <c r="EP184" s="231">
        <v>-47978.559999999998</v>
      </c>
      <c r="EQ184" s="229">
        <v>-0.59499999999999997</v>
      </c>
      <c r="ER184" s="231">
        <v>24746</v>
      </c>
      <c r="ES184" s="231">
        <v>18817</v>
      </c>
      <c r="ET184" s="231">
        <v>111309</v>
      </c>
      <c r="EU184" s="231">
        <v>18529108</v>
      </c>
      <c r="EV184" s="231">
        <v>154872</v>
      </c>
      <c r="EW184" s="231">
        <v>151890</v>
      </c>
      <c r="EX184" s="231">
        <v>2982</v>
      </c>
      <c r="EY184" s="229">
        <v>1.9599999999999999E-2</v>
      </c>
      <c r="EZ184" s="229">
        <v>0.2712</v>
      </c>
      <c r="FA184" s="227" t="s">
        <v>568</v>
      </c>
      <c r="FB184" s="161">
        <f t="shared" si="4"/>
        <v>0</v>
      </c>
    </row>
    <row r="185" spans="1:158" ht="17.25" thickBot="1" x14ac:dyDescent="0.3">
      <c r="A185" s="226">
        <v>46023</v>
      </c>
      <c r="B185" s="227" t="s">
        <v>170</v>
      </c>
      <c r="C185" s="227" t="s">
        <v>288</v>
      </c>
      <c r="D185" s="228">
        <v>350</v>
      </c>
      <c r="E185" s="231">
        <v>1728.9</v>
      </c>
      <c r="F185" s="231">
        <v>1728.9</v>
      </c>
      <c r="G185" s="228">
        <v>0</v>
      </c>
      <c r="H185" s="229">
        <v>0</v>
      </c>
      <c r="I185" s="231">
        <v>1721.1</v>
      </c>
      <c r="J185" s="231">
        <v>1719.7</v>
      </c>
      <c r="K185" s="228">
        <v>1.4</v>
      </c>
      <c r="L185" s="229">
        <v>8.0000000000000004E-4</v>
      </c>
      <c r="M185" s="231">
        <v>1728.9</v>
      </c>
      <c r="N185" s="231">
        <v>1728.9</v>
      </c>
      <c r="O185" s="228">
        <v>0</v>
      </c>
      <c r="P185" s="229">
        <v>0</v>
      </c>
      <c r="Q185" s="231">
        <v>1729.8</v>
      </c>
      <c r="R185" s="231">
        <v>1729.2</v>
      </c>
      <c r="S185" s="228">
        <v>0.6</v>
      </c>
      <c r="T185" s="229">
        <v>2.9999999999999997E-4</v>
      </c>
      <c r="U185" s="231">
        <v>1743.8</v>
      </c>
      <c r="V185" s="228">
        <v>0</v>
      </c>
      <c r="W185" s="231">
        <v>1743.8</v>
      </c>
      <c r="X185" s="229">
        <v>0</v>
      </c>
      <c r="Y185" s="228">
        <v>7.8</v>
      </c>
      <c r="Z185" s="228">
        <v>9.1999999999999993</v>
      </c>
      <c r="AA185" s="228">
        <v>-1.4</v>
      </c>
      <c r="AB185" s="229">
        <v>4.4999999999999997E-3</v>
      </c>
      <c r="AC185" s="228">
        <v>7.8</v>
      </c>
      <c r="AD185" s="228">
        <v>9.1999999999999993</v>
      </c>
      <c r="AE185" s="228">
        <v>-1.4</v>
      </c>
      <c r="AF185" s="229">
        <v>4.4999999999999997E-3</v>
      </c>
      <c r="AG185" s="228">
        <v>8.6999999999999993</v>
      </c>
      <c r="AH185" s="228">
        <v>9.5</v>
      </c>
      <c r="AI185" s="228">
        <v>-0.8</v>
      </c>
      <c r="AJ185" s="229">
        <v>5.1000000000000004E-3</v>
      </c>
      <c r="AK185" s="228">
        <v>22.7</v>
      </c>
      <c r="AL185" s="228">
        <v>0</v>
      </c>
      <c r="AM185" s="228">
        <v>22.7</v>
      </c>
      <c r="AN185" s="229">
        <v>1.32E-2</v>
      </c>
      <c r="AO185" s="231">
        <v>1724.95</v>
      </c>
      <c r="AP185" s="231">
        <v>1725.65</v>
      </c>
      <c r="AQ185" s="228">
        <v>0</v>
      </c>
      <c r="AR185" s="230">
        <v>535150</v>
      </c>
      <c r="AS185" s="230">
        <v>1002750</v>
      </c>
      <c r="AT185" s="230">
        <v>-467600</v>
      </c>
      <c r="AU185" s="229">
        <v>-0.46629999999999999</v>
      </c>
      <c r="AV185" s="230">
        <v>492800</v>
      </c>
      <c r="AW185" s="230">
        <v>970550</v>
      </c>
      <c r="AX185" s="230">
        <v>-477750</v>
      </c>
      <c r="AY185" s="229">
        <v>-0.49220000000000003</v>
      </c>
      <c r="AZ185" s="230">
        <v>29400</v>
      </c>
      <c r="BA185" s="230">
        <v>32200</v>
      </c>
      <c r="BB185" s="230">
        <v>-2800</v>
      </c>
      <c r="BC185" s="229">
        <v>-8.6999999999999994E-2</v>
      </c>
      <c r="BD185" s="230">
        <v>12950</v>
      </c>
      <c r="BE185" s="228">
        <v>0</v>
      </c>
      <c r="BF185" s="230">
        <v>12950</v>
      </c>
      <c r="BG185" s="229">
        <v>0</v>
      </c>
      <c r="BH185" s="230">
        <v>2911650</v>
      </c>
      <c r="BI185" s="230">
        <v>4864650</v>
      </c>
      <c r="BJ185" s="230">
        <v>-1953000</v>
      </c>
      <c r="BK185" s="229">
        <v>-0.40150000000000002</v>
      </c>
      <c r="BL185" s="230">
        <v>1475600</v>
      </c>
      <c r="BM185" s="230">
        <v>1758750</v>
      </c>
      <c r="BN185" s="230">
        <v>-283150</v>
      </c>
      <c r="BO185" s="229">
        <v>-0.161</v>
      </c>
      <c r="BP185" s="230">
        <v>4922400</v>
      </c>
      <c r="BQ185" s="230">
        <v>7626150</v>
      </c>
      <c r="BR185" s="230">
        <v>-2703750</v>
      </c>
      <c r="BS185" s="229">
        <v>-0.35449999999999998</v>
      </c>
      <c r="BT185" s="230">
        <v>923001</v>
      </c>
      <c r="BU185" s="230">
        <v>1460670</v>
      </c>
      <c r="BV185" s="230">
        <v>-537669</v>
      </c>
      <c r="BW185" s="229">
        <v>-0.36809999999999998</v>
      </c>
      <c r="BX185" s="230">
        <v>16817150</v>
      </c>
      <c r="BY185" s="230">
        <v>16834300</v>
      </c>
      <c r="BZ185" s="230">
        <v>-17150</v>
      </c>
      <c r="CA185" s="229">
        <v>-1E-3</v>
      </c>
      <c r="CB185" s="230">
        <v>16655800</v>
      </c>
      <c r="CC185" s="230">
        <v>16688350</v>
      </c>
      <c r="CD185" s="230">
        <v>-32550</v>
      </c>
      <c r="CE185" s="229">
        <v>-2E-3</v>
      </c>
      <c r="CF185" s="230">
        <v>149450</v>
      </c>
      <c r="CG185" s="230">
        <v>145950</v>
      </c>
      <c r="CH185" s="230">
        <v>3500</v>
      </c>
      <c r="CI185" s="229">
        <v>2.4E-2</v>
      </c>
      <c r="CJ185" s="230">
        <v>11900</v>
      </c>
      <c r="CK185" s="228">
        <v>0</v>
      </c>
      <c r="CL185" s="230">
        <v>11900</v>
      </c>
      <c r="CM185" s="229">
        <v>0</v>
      </c>
      <c r="CN185" s="230">
        <v>5023550</v>
      </c>
      <c r="CO185" s="230">
        <v>4609500</v>
      </c>
      <c r="CP185" s="230">
        <v>414050</v>
      </c>
      <c r="CQ185" s="229">
        <v>8.9800000000000005E-2</v>
      </c>
      <c r="CR185" s="230">
        <v>2133600</v>
      </c>
      <c r="CS185" s="230">
        <v>1986950</v>
      </c>
      <c r="CT185" s="230">
        <v>146650</v>
      </c>
      <c r="CU185" s="229">
        <v>7.3800000000000004E-2</v>
      </c>
      <c r="CV185" s="230">
        <v>23974300</v>
      </c>
      <c r="CW185" s="230">
        <v>23430750</v>
      </c>
      <c r="CX185" s="230">
        <v>543550</v>
      </c>
      <c r="CY185" s="229">
        <v>2.3199999999999998E-2</v>
      </c>
      <c r="CZ185" s="228">
        <v>14.3</v>
      </c>
      <c r="DA185" s="228">
        <v>14.96</v>
      </c>
      <c r="DB185" s="228">
        <v>-0.66</v>
      </c>
      <c r="DC185" s="228">
        <v>-0.66</v>
      </c>
      <c r="DD185" s="228">
        <v>22.44</v>
      </c>
      <c r="DE185" s="228">
        <v>22.5</v>
      </c>
      <c r="DF185" s="228">
        <v>-8.14</v>
      </c>
      <c r="DG185" s="228">
        <v>-0.06</v>
      </c>
      <c r="DH185" s="228">
        <v>14.05</v>
      </c>
      <c r="DI185" s="228">
        <v>14.8</v>
      </c>
      <c r="DJ185" s="228">
        <v>-0.75</v>
      </c>
      <c r="DK185" s="228">
        <v>-0.75</v>
      </c>
      <c r="DL185" s="228">
        <v>14.8</v>
      </c>
      <c r="DM185" s="228">
        <v>15.4</v>
      </c>
      <c r="DN185" s="228">
        <v>-0.6</v>
      </c>
      <c r="DO185" s="228">
        <v>-0.6</v>
      </c>
      <c r="DP185" s="228">
        <v>0.42</v>
      </c>
      <c r="DQ185" s="228">
        <v>0.43</v>
      </c>
      <c r="DR185" s="228">
        <v>-0.01</v>
      </c>
      <c r="DS185" s="229">
        <v>-2.3300000000000001E-2</v>
      </c>
      <c r="DT185" s="231">
        <v>1760</v>
      </c>
      <c r="DU185" s="231">
        <v>1620</v>
      </c>
      <c r="DV185" s="228">
        <v>0.51</v>
      </c>
      <c r="DW185" s="228">
        <v>0.36</v>
      </c>
      <c r="DX185" s="228">
        <v>0.15</v>
      </c>
      <c r="DY185" s="229">
        <v>0.41670000000000001</v>
      </c>
      <c r="DZ185" s="229">
        <v>9.5999999999999992E-3</v>
      </c>
      <c r="EA185" s="230">
        <v>145950</v>
      </c>
      <c r="EB185" s="229">
        <v>5.0000000000000001E-4</v>
      </c>
      <c r="EC185" s="229">
        <v>9.5999999999999992E-3</v>
      </c>
      <c r="ED185" s="228">
        <v>0.7</v>
      </c>
      <c r="EE185" s="229">
        <v>4.0000000000000002E-4</v>
      </c>
      <c r="EF185" s="230">
        <v>586786</v>
      </c>
      <c r="EG185" s="230">
        <v>1046508</v>
      </c>
      <c r="EH185" s="229">
        <v>-0.43930000000000002</v>
      </c>
      <c r="EI185" s="229">
        <v>0.63570000000000004</v>
      </c>
      <c r="EJ185" s="231">
        <v>51678.44</v>
      </c>
      <c r="EK185" s="231">
        <v>25280.82</v>
      </c>
      <c r="EL185" s="231">
        <v>9233.34</v>
      </c>
      <c r="EM185" s="231">
        <v>15671</v>
      </c>
      <c r="EN185" s="231">
        <v>86192.6</v>
      </c>
      <c r="EO185" s="231">
        <v>134334.79999999999</v>
      </c>
      <c r="EP185" s="231">
        <v>-48142.2</v>
      </c>
      <c r="EQ185" s="229">
        <v>-0.3584</v>
      </c>
      <c r="ER185" s="231">
        <v>89847</v>
      </c>
      <c r="ES185" s="231">
        <v>36120</v>
      </c>
      <c r="ET185" s="231">
        <v>290755</v>
      </c>
      <c r="EU185" s="231">
        <v>109220043</v>
      </c>
      <c r="EV185" s="231">
        <v>416722</v>
      </c>
      <c r="EW185" s="231">
        <v>407265</v>
      </c>
      <c r="EX185" s="231">
        <v>9457</v>
      </c>
      <c r="EY185" s="229">
        <v>2.3199999999999998E-2</v>
      </c>
      <c r="EZ185" s="229">
        <v>0.2195</v>
      </c>
      <c r="FA185" s="227" t="s">
        <v>237</v>
      </c>
      <c r="FB185" s="161">
        <f t="shared" si="4"/>
        <v>0</v>
      </c>
    </row>
    <row r="186" spans="1:158" ht="17.25" thickBot="1" x14ac:dyDescent="0.3">
      <c r="A186" s="226">
        <v>46023</v>
      </c>
      <c r="B186" s="227" t="s">
        <v>184</v>
      </c>
      <c r="C186" s="227" t="s">
        <v>574</v>
      </c>
      <c r="D186" s="228">
        <v>175</v>
      </c>
      <c r="E186" s="231">
        <v>3498.4</v>
      </c>
      <c r="F186" s="231">
        <v>3364.6</v>
      </c>
      <c r="G186" s="228">
        <v>133.80000000000001</v>
      </c>
      <c r="H186" s="229">
        <v>3.9800000000000002E-2</v>
      </c>
      <c r="I186" s="231">
        <v>3484.4</v>
      </c>
      <c r="J186" s="231">
        <v>3353.8</v>
      </c>
      <c r="K186" s="228">
        <v>130.6</v>
      </c>
      <c r="L186" s="229">
        <v>3.8899999999999997E-2</v>
      </c>
      <c r="M186" s="231">
        <v>3498.4</v>
      </c>
      <c r="N186" s="231">
        <v>3364.6</v>
      </c>
      <c r="O186" s="228">
        <v>133.80000000000001</v>
      </c>
      <c r="P186" s="229">
        <v>3.9800000000000002E-2</v>
      </c>
      <c r="Q186" s="231">
        <v>3512.1</v>
      </c>
      <c r="R186" s="231">
        <v>3380</v>
      </c>
      <c r="S186" s="228">
        <v>132.1</v>
      </c>
      <c r="T186" s="229">
        <v>3.9100000000000003E-2</v>
      </c>
      <c r="U186" s="231">
        <v>3534</v>
      </c>
      <c r="V186" s="231">
        <v>3385</v>
      </c>
      <c r="W186" s="228">
        <v>149</v>
      </c>
      <c r="X186" s="229">
        <v>4.3999999999999997E-2</v>
      </c>
      <c r="Y186" s="228">
        <v>14</v>
      </c>
      <c r="Z186" s="228">
        <v>10.8</v>
      </c>
      <c r="AA186" s="228">
        <v>3.2</v>
      </c>
      <c r="AB186" s="229">
        <v>4.0000000000000001E-3</v>
      </c>
      <c r="AC186" s="228">
        <v>14</v>
      </c>
      <c r="AD186" s="228">
        <v>10.8</v>
      </c>
      <c r="AE186" s="228">
        <v>3.2</v>
      </c>
      <c r="AF186" s="229">
        <v>4.0000000000000001E-3</v>
      </c>
      <c r="AG186" s="228">
        <v>27.7</v>
      </c>
      <c r="AH186" s="228">
        <v>26.2</v>
      </c>
      <c r="AI186" s="228">
        <v>1.5</v>
      </c>
      <c r="AJ186" s="229">
        <v>7.9000000000000008E-3</v>
      </c>
      <c r="AK186" s="228">
        <v>49.6</v>
      </c>
      <c r="AL186" s="228">
        <v>31.2</v>
      </c>
      <c r="AM186" s="228">
        <v>18.399999999999999</v>
      </c>
      <c r="AN186" s="229">
        <v>1.4200000000000001E-2</v>
      </c>
      <c r="AO186" s="231">
        <v>3456.94</v>
      </c>
      <c r="AP186" s="231">
        <v>3468.69</v>
      </c>
      <c r="AQ186" s="228">
        <v>0</v>
      </c>
      <c r="AR186" s="230">
        <v>608125</v>
      </c>
      <c r="AS186" s="230">
        <v>486675</v>
      </c>
      <c r="AT186" s="230">
        <v>121450</v>
      </c>
      <c r="AU186" s="229">
        <v>0.24959999999999999</v>
      </c>
      <c r="AV186" s="230">
        <v>572075</v>
      </c>
      <c r="AW186" s="230">
        <v>470400</v>
      </c>
      <c r="AX186" s="230">
        <v>101675</v>
      </c>
      <c r="AY186" s="229">
        <v>0.21609999999999999</v>
      </c>
      <c r="AZ186" s="230">
        <v>34475</v>
      </c>
      <c r="BA186" s="230">
        <v>15050</v>
      </c>
      <c r="BB186" s="230">
        <v>19425</v>
      </c>
      <c r="BC186" s="229">
        <v>1.2907</v>
      </c>
      <c r="BD186" s="230">
        <v>1575</v>
      </c>
      <c r="BE186" s="230">
        <v>1225</v>
      </c>
      <c r="BF186" s="228">
        <v>350</v>
      </c>
      <c r="BG186" s="229">
        <v>0.28570000000000001</v>
      </c>
      <c r="BH186" s="230">
        <v>3571925</v>
      </c>
      <c r="BI186" s="230">
        <v>2085125</v>
      </c>
      <c r="BJ186" s="230">
        <v>1486800</v>
      </c>
      <c r="BK186" s="229">
        <v>0.71309999999999996</v>
      </c>
      <c r="BL186" s="230">
        <v>885150</v>
      </c>
      <c r="BM186" s="230">
        <v>558950</v>
      </c>
      <c r="BN186" s="230">
        <v>326200</v>
      </c>
      <c r="BO186" s="229">
        <v>0.58360000000000001</v>
      </c>
      <c r="BP186" s="230">
        <v>5065200</v>
      </c>
      <c r="BQ186" s="230">
        <v>3130750</v>
      </c>
      <c r="BR186" s="230">
        <v>1934450</v>
      </c>
      <c r="BS186" s="229">
        <v>0.6179</v>
      </c>
      <c r="BT186" s="230">
        <v>397699</v>
      </c>
      <c r="BU186" s="230">
        <v>250231</v>
      </c>
      <c r="BV186" s="230">
        <v>147468</v>
      </c>
      <c r="BW186" s="229">
        <v>0.58930000000000005</v>
      </c>
      <c r="BX186" s="230">
        <v>1810725</v>
      </c>
      <c r="BY186" s="230">
        <v>1812825</v>
      </c>
      <c r="BZ186" s="230">
        <v>-2100</v>
      </c>
      <c r="CA186" s="229">
        <v>-1.1999999999999999E-3</v>
      </c>
      <c r="CB186" s="230">
        <v>1754725</v>
      </c>
      <c r="CC186" s="230">
        <v>1758925</v>
      </c>
      <c r="CD186" s="230">
        <v>-4200</v>
      </c>
      <c r="CE186" s="229">
        <v>-2.3999999999999998E-3</v>
      </c>
      <c r="CF186" s="230">
        <v>53550</v>
      </c>
      <c r="CG186" s="230">
        <v>52850</v>
      </c>
      <c r="CH186" s="228">
        <v>700</v>
      </c>
      <c r="CI186" s="229">
        <v>1.32E-2</v>
      </c>
      <c r="CJ186" s="230">
        <v>2450</v>
      </c>
      <c r="CK186" s="230">
        <v>1050</v>
      </c>
      <c r="CL186" s="230">
        <v>1400</v>
      </c>
      <c r="CM186" s="229">
        <v>1.3332999999999999</v>
      </c>
      <c r="CN186" s="230">
        <v>489300</v>
      </c>
      <c r="CO186" s="230">
        <v>406700</v>
      </c>
      <c r="CP186" s="230">
        <v>82600</v>
      </c>
      <c r="CQ186" s="229">
        <v>0.2031</v>
      </c>
      <c r="CR186" s="230">
        <v>455700</v>
      </c>
      <c r="CS186" s="230">
        <v>356825</v>
      </c>
      <c r="CT186" s="230">
        <v>98875</v>
      </c>
      <c r="CU186" s="229">
        <v>0.27710000000000001</v>
      </c>
      <c r="CV186" s="230">
        <v>2755725</v>
      </c>
      <c r="CW186" s="230">
        <v>2576350</v>
      </c>
      <c r="CX186" s="230">
        <v>179375</v>
      </c>
      <c r="CY186" s="229">
        <v>6.9599999999999995E-2</v>
      </c>
      <c r="CZ186" s="228">
        <v>28.9</v>
      </c>
      <c r="DA186" s="228">
        <v>28.91</v>
      </c>
      <c r="DB186" s="228">
        <v>-0.01</v>
      </c>
      <c r="DC186" s="228">
        <v>-0.01</v>
      </c>
      <c r="DD186" s="228">
        <v>39.51</v>
      </c>
      <c r="DE186" s="228">
        <v>39.26</v>
      </c>
      <c r="DF186" s="228">
        <v>-10.61</v>
      </c>
      <c r="DG186" s="228">
        <v>0.25</v>
      </c>
      <c r="DH186" s="228">
        <v>28.84</v>
      </c>
      <c r="DI186" s="228">
        <v>28.83</v>
      </c>
      <c r="DJ186" s="228">
        <v>0.01</v>
      </c>
      <c r="DK186" s="228">
        <v>0.01</v>
      </c>
      <c r="DL186" s="228">
        <v>29.11</v>
      </c>
      <c r="DM186" s="228">
        <v>29.23</v>
      </c>
      <c r="DN186" s="228">
        <v>-0.12</v>
      </c>
      <c r="DO186" s="228">
        <v>-0.12</v>
      </c>
      <c r="DP186" s="228">
        <v>0.93</v>
      </c>
      <c r="DQ186" s="228">
        <v>0.88</v>
      </c>
      <c r="DR186" s="228">
        <v>0.05</v>
      </c>
      <c r="DS186" s="229">
        <v>5.6800000000000003E-2</v>
      </c>
      <c r="DT186" s="231">
        <v>3500</v>
      </c>
      <c r="DU186" s="231">
        <v>3300</v>
      </c>
      <c r="DV186" s="228">
        <v>0.25</v>
      </c>
      <c r="DW186" s="228">
        <v>0.27</v>
      </c>
      <c r="DX186" s="228">
        <v>-0.02</v>
      </c>
      <c r="DY186" s="229">
        <v>-7.4099999999999999E-2</v>
      </c>
      <c r="DZ186" s="229">
        <v>3.09E-2</v>
      </c>
      <c r="EA186" s="230">
        <v>53900</v>
      </c>
      <c r="EB186" s="229">
        <v>3.8999999999999998E-3</v>
      </c>
      <c r="EC186" s="229">
        <v>3.09E-2</v>
      </c>
      <c r="ED186" s="228">
        <v>11.75</v>
      </c>
      <c r="EE186" s="229">
        <v>3.3999999999999998E-3</v>
      </c>
      <c r="EF186" s="230">
        <v>116310</v>
      </c>
      <c r="EG186" s="230">
        <v>96516</v>
      </c>
      <c r="EH186" s="229">
        <v>0.2051</v>
      </c>
      <c r="EI186" s="229">
        <v>0.29249999999999998</v>
      </c>
      <c r="EJ186" s="231">
        <v>129603.01</v>
      </c>
      <c r="EK186" s="231">
        <v>29985.22</v>
      </c>
      <c r="EL186" s="231">
        <v>21027.57</v>
      </c>
      <c r="EM186" s="231">
        <v>6123</v>
      </c>
      <c r="EN186" s="231">
        <v>180615.8</v>
      </c>
      <c r="EO186" s="231">
        <v>108497.01</v>
      </c>
      <c r="EP186" s="231">
        <v>72118.789999999994</v>
      </c>
      <c r="EQ186" s="229">
        <v>0.66469999999999996</v>
      </c>
      <c r="ER186" s="231">
        <v>17541</v>
      </c>
      <c r="ES186" s="231">
        <v>15107</v>
      </c>
      <c r="ET186" s="231">
        <v>63355</v>
      </c>
      <c r="EU186" s="231">
        <v>9736357</v>
      </c>
      <c r="EV186" s="231">
        <v>96003</v>
      </c>
      <c r="EW186" s="231">
        <v>86961</v>
      </c>
      <c r="EX186" s="231">
        <v>9042</v>
      </c>
      <c r="EY186" s="229">
        <v>0.104</v>
      </c>
      <c r="EZ186" s="229">
        <v>0.28299999999999997</v>
      </c>
      <c r="FA186" s="227" t="s">
        <v>556</v>
      </c>
      <c r="FB186" s="161">
        <f t="shared" si="4"/>
        <v>0</v>
      </c>
    </row>
    <row r="187" spans="1:158" ht="17.25" thickBot="1" x14ac:dyDescent="0.3">
      <c r="A187" s="226">
        <v>46023</v>
      </c>
      <c r="B187" s="227" t="s">
        <v>161</v>
      </c>
      <c r="C187" s="227" t="s">
        <v>684</v>
      </c>
      <c r="D187" s="228">
        <v>9025</v>
      </c>
      <c r="E187" s="228">
        <v>52.73</v>
      </c>
      <c r="F187" s="228">
        <v>53</v>
      </c>
      <c r="G187" s="228">
        <v>-0.27</v>
      </c>
      <c r="H187" s="229">
        <v>-5.1000000000000004E-3</v>
      </c>
      <c r="I187" s="228">
        <v>52.47</v>
      </c>
      <c r="J187" s="228">
        <v>52.67</v>
      </c>
      <c r="K187" s="228">
        <v>-0.2</v>
      </c>
      <c r="L187" s="229">
        <v>-3.8E-3</v>
      </c>
      <c r="M187" s="228">
        <v>52.73</v>
      </c>
      <c r="N187" s="228">
        <v>53</v>
      </c>
      <c r="O187" s="228">
        <v>-0.27</v>
      </c>
      <c r="P187" s="229">
        <v>-5.1000000000000004E-3</v>
      </c>
      <c r="Q187" s="228">
        <v>53.05</v>
      </c>
      <c r="R187" s="228">
        <v>53.3</v>
      </c>
      <c r="S187" s="228">
        <v>-0.25</v>
      </c>
      <c r="T187" s="229">
        <v>-4.7000000000000002E-3</v>
      </c>
      <c r="U187" s="228">
        <v>53.32</v>
      </c>
      <c r="V187" s="228">
        <v>53.6</v>
      </c>
      <c r="W187" s="228">
        <v>-0.28000000000000003</v>
      </c>
      <c r="X187" s="229">
        <v>-5.1999999999999998E-3</v>
      </c>
      <c r="Y187" s="228">
        <v>0.26</v>
      </c>
      <c r="Z187" s="228">
        <v>0.33</v>
      </c>
      <c r="AA187" s="228">
        <v>-7.0000000000000007E-2</v>
      </c>
      <c r="AB187" s="229">
        <v>5.0000000000000001E-3</v>
      </c>
      <c r="AC187" s="228">
        <v>0.26</v>
      </c>
      <c r="AD187" s="228">
        <v>0.33</v>
      </c>
      <c r="AE187" s="228">
        <v>-7.0000000000000007E-2</v>
      </c>
      <c r="AF187" s="229">
        <v>5.0000000000000001E-3</v>
      </c>
      <c r="AG187" s="228">
        <v>0.57999999999999996</v>
      </c>
      <c r="AH187" s="228">
        <v>0.63</v>
      </c>
      <c r="AI187" s="228">
        <v>-0.05</v>
      </c>
      <c r="AJ187" s="229">
        <v>1.11E-2</v>
      </c>
      <c r="AK187" s="228">
        <v>0.85</v>
      </c>
      <c r="AL187" s="228">
        <v>0.93</v>
      </c>
      <c r="AM187" s="228">
        <v>-0.08</v>
      </c>
      <c r="AN187" s="229">
        <v>1.6199999999999999E-2</v>
      </c>
      <c r="AO187" s="228">
        <v>52.69</v>
      </c>
      <c r="AP187" s="228">
        <v>53.03</v>
      </c>
      <c r="AQ187" s="228">
        <v>0</v>
      </c>
      <c r="AR187" s="230">
        <v>19620350</v>
      </c>
      <c r="AS187" s="230">
        <v>38536750</v>
      </c>
      <c r="AT187" s="230">
        <v>-18916400</v>
      </c>
      <c r="AU187" s="229">
        <v>-0.4909</v>
      </c>
      <c r="AV187" s="230">
        <v>17472400</v>
      </c>
      <c r="AW187" s="230">
        <v>35964625</v>
      </c>
      <c r="AX187" s="230">
        <v>-18492225</v>
      </c>
      <c r="AY187" s="229">
        <v>-0.51419999999999999</v>
      </c>
      <c r="AZ187" s="230">
        <v>1768900</v>
      </c>
      <c r="BA187" s="230">
        <v>2129900</v>
      </c>
      <c r="BB187" s="230">
        <v>-361000</v>
      </c>
      <c r="BC187" s="229">
        <v>-0.16950000000000001</v>
      </c>
      <c r="BD187" s="230">
        <v>379050</v>
      </c>
      <c r="BE187" s="230">
        <v>442225</v>
      </c>
      <c r="BF187" s="230">
        <v>-63175</v>
      </c>
      <c r="BG187" s="229">
        <v>-0.1429</v>
      </c>
      <c r="BH187" s="230">
        <v>45847000</v>
      </c>
      <c r="BI187" s="230">
        <v>83806150</v>
      </c>
      <c r="BJ187" s="230">
        <v>-37959150</v>
      </c>
      <c r="BK187" s="229">
        <v>-0.45290000000000002</v>
      </c>
      <c r="BL187" s="230">
        <v>16082550</v>
      </c>
      <c r="BM187" s="230">
        <v>27129150</v>
      </c>
      <c r="BN187" s="230">
        <v>-11046600</v>
      </c>
      <c r="BO187" s="229">
        <v>-0.40720000000000001</v>
      </c>
      <c r="BP187" s="230">
        <v>81549900</v>
      </c>
      <c r="BQ187" s="230">
        <v>149472050</v>
      </c>
      <c r="BR187" s="230">
        <v>-67922150</v>
      </c>
      <c r="BS187" s="229">
        <v>-0.45440000000000003</v>
      </c>
      <c r="BT187" s="230">
        <v>29913069</v>
      </c>
      <c r="BU187" s="230">
        <v>43593741</v>
      </c>
      <c r="BV187" s="230">
        <v>-13680672</v>
      </c>
      <c r="BW187" s="229">
        <v>-0.31380000000000002</v>
      </c>
      <c r="BX187" s="230">
        <v>304259825</v>
      </c>
      <c r="BY187" s="230">
        <v>300875450</v>
      </c>
      <c r="BZ187" s="230">
        <v>3384375</v>
      </c>
      <c r="CA187" s="229">
        <v>1.12E-2</v>
      </c>
      <c r="CB187" s="230">
        <v>289494925</v>
      </c>
      <c r="CC187" s="230">
        <v>287220625</v>
      </c>
      <c r="CD187" s="230">
        <v>2274300</v>
      </c>
      <c r="CE187" s="229">
        <v>7.9000000000000008E-3</v>
      </c>
      <c r="CF187" s="230">
        <v>14331700</v>
      </c>
      <c r="CG187" s="230">
        <v>13465300</v>
      </c>
      <c r="CH187" s="230">
        <v>866400</v>
      </c>
      <c r="CI187" s="229">
        <v>6.4299999999999996E-2</v>
      </c>
      <c r="CJ187" s="230">
        <v>433200</v>
      </c>
      <c r="CK187" s="230">
        <v>189525</v>
      </c>
      <c r="CL187" s="230">
        <v>243675</v>
      </c>
      <c r="CM187" s="229">
        <v>1.2857000000000001</v>
      </c>
      <c r="CN187" s="230">
        <v>102126900</v>
      </c>
      <c r="CO187" s="230">
        <v>88363775</v>
      </c>
      <c r="CP187" s="230">
        <v>13763125</v>
      </c>
      <c r="CQ187" s="229">
        <v>0.15579999999999999</v>
      </c>
      <c r="CR187" s="230">
        <v>62768875</v>
      </c>
      <c r="CS187" s="230">
        <v>59429625</v>
      </c>
      <c r="CT187" s="230">
        <v>3339250</v>
      </c>
      <c r="CU187" s="229">
        <v>5.62E-2</v>
      </c>
      <c r="CV187" s="230">
        <v>469155600</v>
      </c>
      <c r="CW187" s="230">
        <v>448668850</v>
      </c>
      <c r="CX187" s="230">
        <v>20486750</v>
      </c>
      <c r="CY187" s="229">
        <v>4.5699999999999998E-2</v>
      </c>
      <c r="CZ187" s="228">
        <v>33.03</v>
      </c>
      <c r="DA187" s="228">
        <v>32.49</v>
      </c>
      <c r="DB187" s="228">
        <v>0.54</v>
      </c>
      <c r="DC187" s="228">
        <v>0.54</v>
      </c>
      <c r="DD187" s="228">
        <v>46.62</v>
      </c>
      <c r="DE187" s="228">
        <v>46.73</v>
      </c>
      <c r="DF187" s="228">
        <v>-13.59</v>
      </c>
      <c r="DG187" s="228">
        <v>-0.11</v>
      </c>
      <c r="DH187" s="228">
        <v>33.590000000000003</v>
      </c>
      <c r="DI187" s="228">
        <v>32.9</v>
      </c>
      <c r="DJ187" s="228">
        <v>0.69</v>
      </c>
      <c r="DK187" s="228">
        <v>0.69</v>
      </c>
      <c r="DL187" s="228">
        <v>31.44</v>
      </c>
      <c r="DM187" s="228">
        <v>31.21</v>
      </c>
      <c r="DN187" s="228">
        <v>0.23</v>
      </c>
      <c r="DO187" s="228">
        <v>0.23</v>
      </c>
      <c r="DP187" s="228">
        <v>0.61</v>
      </c>
      <c r="DQ187" s="228">
        <v>0.67</v>
      </c>
      <c r="DR187" s="228">
        <v>-0.06</v>
      </c>
      <c r="DS187" s="229">
        <v>-8.9599999999999999E-2</v>
      </c>
      <c r="DT187" s="228">
        <v>60</v>
      </c>
      <c r="DU187" s="228">
        <v>54</v>
      </c>
      <c r="DV187" s="228">
        <v>0.35</v>
      </c>
      <c r="DW187" s="228">
        <v>0.32</v>
      </c>
      <c r="DX187" s="228">
        <v>0.03</v>
      </c>
      <c r="DY187" s="229">
        <v>9.3700000000000006E-2</v>
      </c>
      <c r="DZ187" s="229">
        <v>4.8500000000000001E-2</v>
      </c>
      <c r="EA187" s="230">
        <v>13654825</v>
      </c>
      <c r="EB187" s="229">
        <v>6.1000000000000004E-3</v>
      </c>
      <c r="EC187" s="229">
        <v>4.8500000000000001E-2</v>
      </c>
      <c r="ED187" s="228">
        <v>0.34</v>
      </c>
      <c r="EE187" s="229">
        <v>6.4999999999999997E-3</v>
      </c>
      <c r="EF187" s="230">
        <v>13524284</v>
      </c>
      <c r="EG187" s="230">
        <v>20290389</v>
      </c>
      <c r="EH187" s="229">
        <v>-0.33350000000000002</v>
      </c>
      <c r="EI187" s="229">
        <v>0.4521</v>
      </c>
      <c r="EJ187" s="231">
        <v>26230.99</v>
      </c>
      <c r="EK187" s="231">
        <v>8387.41</v>
      </c>
      <c r="EL187" s="231">
        <v>10345.43</v>
      </c>
      <c r="EM187" s="231">
        <v>16922</v>
      </c>
      <c r="EN187" s="231">
        <v>44963.83</v>
      </c>
      <c r="EO187" s="231">
        <v>82709.5</v>
      </c>
      <c r="EP187" s="231">
        <v>-37745.67</v>
      </c>
      <c r="EQ187" s="229">
        <v>-0.45639999999999997</v>
      </c>
      <c r="ER187" s="231">
        <v>58133</v>
      </c>
      <c r="ES187" s="231">
        <v>33188</v>
      </c>
      <c r="ET187" s="231">
        <v>160485</v>
      </c>
      <c r="EU187" s="231">
        <v>1814982173</v>
      </c>
      <c r="EV187" s="231">
        <v>251805</v>
      </c>
      <c r="EW187" s="231">
        <v>241398</v>
      </c>
      <c r="EX187" s="231">
        <v>10407</v>
      </c>
      <c r="EY187" s="229">
        <v>4.3099999999999999E-2</v>
      </c>
      <c r="EZ187" s="229">
        <v>0.25850000000000001</v>
      </c>
      <c r="FA187" s="227" t="s">
        <v>567</v>
      </c>
      <c r="FB187" s="161">
        <f t="shared" si="4"/>
        <v>0</v>
      </c>
    </row>
    <row r="188" spans="1:158" ht="17.25" thickBot="1" x14ac:dyDescent="0.3">
      <c r="A188" s="226">
        <v>46023</v>
      </c>
      <c r="B188" s="227" t="s">
        <v>694</v>
      </c>
      <c r="C188" s="227" t="s">
        <v>693</v>
      </c>
      <c r="D188" s="228">
        <v>1300</v>
      </c>
      <c r="E188" s="228">
        <v>393.25</v>
      </c>
      <c r="F188" s="228">
        <v>388.4</v>
      </c>
      <c r="G188" s="228">
        <v>4.8499999999999996</v>
      </c>
      <c r="H188" s="229">
        <v>1.2500000000000001E-2</v>
      </c>
      <c r="I188" s="228">
        <v>390.7</v>
      </c>
      <c r="J188" s="228">
        <v>386.25</v>
      </c>
      <c r="K188" s="228">
        <v>4.45</v>
      </c>
      <c r="L188" s="229">
        <v>1.15E-2</v>
      </c>
      <c r="M188" s="228">
        <v>393.25</v>
      </c>
      <c r="N188" s="228">
        <v>388.4</v>
      </c>
      <c r="O188" s="228">
        <v>4.8499999999999996</v>
      </c>
      <c r="P188" s="229">
        <v>1.2500000000000001E-2</v>
      </c>
      <c r="Q188" s="228">
        <v>393.9</v>
      </c>
      <c r="R188" s="228">
        <v>389.2</v>
      </c>
      <c r="S188" s="228">
        <v>4.7</v>
      </c>
      <c r="T188" s="229">
        <v>1.21E-2</v>
      </c>
      <c r="U188" s="228">
        <v>398.3</v>
      </c>
      <c r="V188" s="228">
        <v>391</v>
      </c>
      <c r="W188" s="228">
        <v>7.3</v>
      </c>
      <c r="X188" s="229">
        <v>1.8700000000000001E-2</v>
      </c>
      <c r="Y188" s="228">
        <v>2.5499999999999998</v>
      </c>
      <c r="Z188" s="228">
        <v>2.15</v>
      </c>
      <c r="AA188" s="228">
        <v>0.4</v>
      </c>
      <c r="AB188" s="229">
        <v>6.4999999999999997E-3</v>
      </c>
      <c r="AC188" s="228">
        <v>2.5499999999999998</v>
      </c>
      <c r="AD188" s="228">
        <v>2.15</v>
      </c>
      <c r="AE188" s="228">
        <v>0.4</v>
      </c>
      <c r="AF188" s="229">
        <v>6.4999999999999997E-3</v>
      </c>
      <c r="AG188" s="228">
        <v>3.2</v>
      </c>
      <c r="AH188" s="228">
        <v>2.95</v>
      </c>
      <c r="AI188" s="228">
        <v>0.25</v>
      </c>
      <c r="AJ188" s="229">
        <v>8.2000000000000007E-3</v>
      </c>
      <c r="AK188" s="228">
        <v>7.6</v>
      </c>
      <c r="AL188" s="228">
        <v>4.75</v>
      </c>
      <c r="AM188" s="228">
        <v>2.85</v>
      </c>
      <c r="AN188" s="229">
        <v>1.95E-2</v>
      </c>
      <c r="AO188" s="228">
        <v>392.19</v>
      </c>
      <c r="AP188" s="228">
        <v>393.02</v>
      </c>
      <c r="AQ188" s="228">
        <v>0</v>
      </c>
      <c r="AR188" s="230">
        <v>3773900</v>
      </c>
      <c r="AS188" s="230">
        <v>4412200</v>
      </c>
      <c r="AT188" s="230">
        <v>-638300</v>
      </c>
      <c r="AU188" s="229">
        <v>-0.1447</v>
      </c>
      <c r="AV188" s="230">
        <v>3728400</v>
      </c>
      <c r="AW188" s="230">
        <v>4357600</v>
      </c>
      <c r="AX188" s="230">
        <v>-629200</v>
      </c>
      <c r="AY188" s="229">
        <v>-0.1444</v>
      </c>
      <c r="AZ188" s="230">
        <v>33800</v>
      </c>
      <c r="BA188" s="230">
        <v>33800</v>
      </c>
      <c r="BB188" s="228">
        <v>0</v>
      </c>
      <c r="BC188" s="229">
        <v>0</v>
      </c>
      <c r="BD188" s="230">
        <v>11700</v>
      </c>
      <c r="BE188" s="230">
        <v>20800</v>
      </c>
      <c r="BF188" s="230">
        <v>-9100</v>
      </c>
      <c r="BG188" s="229">
        <v>-0.4375</v>
      </c>
      <c r="BH188" s="230">
        <v>2830100</v>
      </c>
      <c r="BI188" s="230">
        <v>2581800</v>
      </c>
      <c r="BJ188" s="230">
        <v>248300</v>
      </c>
      <c r="BK188" s="229">
        <v>9.6199999999999994E-2</v>
      </c>
      <c r="BL188" s="230">
        <v>1267500</v>
      </c>
      <c r="BM188" s="230">
        <v>1560000</v>
      </c>
      <c r="BN188" s="230">
        <v>-292500</v>
      </c>
      <c r="BO188" s="229">
        <v>-0.1875</v>
      </c>
      <c r="BP188" s="230">
        <v>7871500</v>
      </c>
      <c r="BQ188" s="230">
        <v>8554000</v>
      </c>
      <c r="BR188" s="230">
        <v>-682500</v>
      </c>
      <c r="BS188" s="229">
        <v>-7.9799999999999996E-2</v>
      </c>
      <c r="BT188" s="230">
        <v>5158253</v>
      </c>
      <c r="BU188" s="230">
        <v>7184388</v>
      </c>
      <c r="BV188" s="230">
        <v>-2026135</v>
      </c>
      <c r="BW188" s="229">
        <v>-0.28199999999999997</v>
      </c>
      <c r="BX188" s="230">
        <v>5057000</v>
      </c>
      <c r="BY188" s="230">
        <v>2574000</v>
      </c>
      <c r="BZ188" s="230">
        <v>2483000</v>
      </c>
      <c r="CA188" s="229">
        <v>0.96460000000000001</v>
      </c>
      <c r="CB188" s="230">
        <v>5014100</v>
      </c>
      <c r="CC188" s="230">
        <v>2541500</v>
      </c>
      <c r="CD188" s="230">
        <v>2472600</v>
      </c>
      <c r="CE188" s="229">
        <v>0.97289999999999999</v>
      </c>
      <c r="CF188" s="230">
        <v>18200</v>
      </c>
      <c r="CG188" s="230">
        <v>16900</v>
      </c>
      <c r="CH188" s="230">
        <v>1300</v>
      </c>
      <c r="CI188" s="229">
        <v>7.6899999999999996E-2</v>
      </c>
      <c r="CJ188" s="230">
        <v>24700</v>
      </c>
      <c r="CK188" s="230">
        <v>15600</v>
      </c>
      <c r="CL188" s="230">
        <v>9100</v>
      </c>
      <c r="CM188" s="229">
        <v>0.58330000000000004</v>
      </c>
      <c r="CN188" s="230">
        <v>1567800</v>
      </c>
      <c r="CO188" s="230">
        <v>890500</v>
      </c>
      <c r="CP188" s="230">
        <v>677300</v>
      </c>
      <c r="CQ188" s="229">
        <v>0.76060000000000005</v>
      </c>
      <c r="CR188" s="230">
        <v>1427400</v>
      </c>
      <c r="CS188" s="230">
        <v>880100</v>
      </c>
      <c r="CT188" s="230">
        <v>547300</v>
      </c>
      <c r="CU188" s="229">
        <v>0.62190000000000001</v>
      </c>
      <c r="CV188" s="230">
        <v>8052200</v>
      </c>
      <c r="CW188" s="230">
        <v>4344600</v>
      </c>
      <c r="CX188" s="230">
        <v>3707600</v>
      </c>
      <c r="CY188" s="229">
        <v>0.85340000000000005</v>
      </c>
      <c r="CZ188" s="228">
        <v>32.090000000000003</v>
      </c>
      <c r="DA188" s="228">
        <v>34.51</v>
      </c>
      <c r="DB188" s="228">
        <v>-2.42</v>
      </c>
      <c r="DC188" s="228">
        <v>-2.42</v>
      </c>
      <c r="DD188" s="228">
        <v>44.15</v>
      </c>
      <c r="DE188" s="228">
        <v>44.24</v>
      </c>
      <c r="DF188" s="228">
        <v>-12.06</v>
      </c>
      <c r="DG188" s="228">
        <v>-0.09</v>
      </c>
      <c r="DH188" s="228">
        <v>32.130000000000003</v>
      </c>
      <c r="DI188" s="228">
        <v>34.85</v>
      </c>
      <c r="DJ188" s="228">
        <v>-2.72</v>
      </c>
      <c r="DK188" s="228">
        <v>-2.72</v>
      </c>
      <c r="DL188" s="228">
        <v>32.020000000000003</v>
      </c>
      <c r="DM188" s="228">
        <v>33.96</v>
      </c>
      <c r="DN188" s="228">
        <v>-1.94</v>
      </c>
      <c r="DO188" s="228">
        <v>-1.94</v>
      </c>
      <c r="DP188" s="228">
        <v>0.91</v>
      </c>
      <c r="DQ188" s="228">
        <v>0.99</v>
      </c>
      <c r="DR188" s="228">
        <v>-0.08</v>
      </c>
      <c r="DS188" s="229">
        <v>-8.0799999999999997E-2</v>
      </c>
      <c r="DT188" s="228">
        <v>400</v>
      </c>
      <c r="DU188" s="228">
        <v>380</v>
      </c>
      <c r="DV188" s="228">
        <v>0.45</v>
      </c>
      <c r="DW188" s="228">
        <v>0.6</v>
      </c>
      <c r="DX188" s="228">
        <v>-0.15</v>
      </c>
      <c r="DY188" s="229">
        <v>-0.25</v>
      </c>
      <c r="DZ188" s="229">
        <v>8.5000000000000006E-3</v>
      </c>
      <c r="EA188" s="230">
        <v>32500</v>
      </c>
      <c r="EB188" s="229">
        <v>1.6999999999999999E-3</v>
      </c>
      <c r="EC188" s="229">
        <v>8.5000000000000006E-3</v>
      </c>
      <c r="ED188" s="228">
        <v>0.83</v>
      </c>
      <c r="EE188" s="229">
        <v>2.0999999999999999E-3</v>
      </c>
      <c r="EF188" s="230">
        <v>2947200</v>
      </c>
      <c r="EG188" s="230">
        <v>3696259</v>
      </c>
      <c r="EH188" s="229">
        <v>-0.20269999999999999</v>
      </c>
      <c r="EI188" s="229">
        <v>0.57140000000000002</v>
      </c>
      <c r="EJ188" s="231">
        <v>11761.06</v>
      </c>
      <c r="EK188" s="231">
        <v>4871.8599999999997</v>
      </c>
      <c r="EL188" s="231">
        <v>14801.3</v>
      </c>
      <c r="EM188" s="231">
        <v>3394</v>
      </c>
      <c r="EN188" s="231">
        <v>31434.22</v>
      </c>
      <c r="EO188" s="231">
        <v>34135.01</v>
      </c>
      <c r="EP188" s="231">
        <v>-2700.79</v>
      </c>
      <c r="EQ188" s="229">
        <v>-7.9100000000000004E-2</v>
      </c>
      <c r="ER188" s="231">
        <v>6377</v>
      </c>
      <c r="ES188" s="231">
        <v>5370</v>
      </c>
      <c r="ET188" s="231">
        <v>19888</v>
      </c>
      <c r="EU188" s="231">
        <v>375529891</v>
      </c>
      <c r="EV188" s="231">
        <v>31635</v>
      </c>
      <c r="EW188" s="231">
        <v>16886</v>
      </c>
      <c r="EX188" s="231">
        <v>14749</v>
      </c>
      <c r="EY188" s="229">
        <v>0.87339999999999995</v>
      </c>
      <c r="EZ188" s="229">
        <v>2.1399999999999999E-2</v>
      </c>
      <c r="FA188" s="227" t="s">
        <v>555</v>
      </c>
      <c r="FB188" s="161">
        <f t="shared" si="4"/>
        <v>0</v>
      </c>
    </row>
    <row r="189" spans="1:158" ht="17.25" thickBot="1" x14ac:dyDescent="0.3">
      <c r="A189" s="226">
        <v>46023</v>
      </c>
      <c r="B189" s="227" t="s">
        <v>170</v>
      </c>
      <c r="C189" s="227" t="s">
        <v>520</v>
      </c>
      <c r="D189" s="228">
        <v>1000</v>
      </c>
      <c r="E189" s="228">
        <v>652.79999999999995</v>
      </c>
      <c r="F189" s="228">
        <v>653.65</v>
      </c>
      <c r="G189" s="228">
        <v>-0.85</v>
      </c>
      <c r="H189" s="229">
        <v>-1.2999999999999999E-3</v>
      </c>
      <c r="I189" s="228">
        <v>650.20000000000005</v>
      </c>
      <c r="J189" s="228">
        <v>651</v>
      </c>
      <c r="K189" s="228">
        <v>-0.8</v>
      </c>
      <c r="L189" s="229">
        <v>-1.1999999999999999E-3</v>
      </c>
      <c r="M189" s="228">
        <v>652.79999999999995</v>
      </c>
      <c r="N189" s="228">
        <v>653.65</v>
      </c>
      <c r="O189" s="228">
        <v>-0.85</v>
      </c>
      <c r="P189" s="229">
        <v>-1.2999999999999999E-3</v>
      </c>
      <c r="Q189" s="228">
        <v>656.35</v>
      </c>
      <c r="R189" s="228">
        <v>657.65</v>
      </c>
      <c r="S189" s="228">
        <v>-1.3</v>
      </c>
      <c r="T189" s="229">
        <v>-2E-3</v>
      </c>
      <c r="U189" s="228">
        <v>655</v>
      </c>
      <c r="V189" s="228">
        <v>0</v>
      </c>
      <c r="W189" s="228">
        <v>655</v>
      </c>
      <c r="X189" s="229">
        <v>0</v>
      </c>
      <c r="Y189" s="228">
        <v>2.6</v>
      </c>
      <c r="Z189" s="228">
        <v>2.65</v>
      </c>
      <c r="AA189" s="228">
        <v>-0.05</v>
      </c>
      <c r="AB189" s="229">
        <v>4.0000000000000001E-3</v>
      </c>
      <c r="AC189" s="228">
        <v>2.6</v>
      </c>
      <c r="AD189" s="228">
        <v>2.65</v>
      </c>
      <c r="AE189" s="228">
        <v>-0.05</v>
      </c>
      <c r="AF189" s="229">
        <v>4.0000000000000001E-3</v>
      </c>
      <c r="AG189" s="228">
        <v>6.15</v>
      </c>
      <c r="AH189" s="228">
        <v>6.65</v>
      </c>
      <c r="AI189" s="228">
        <v>-0.5</v>
      </c>
      <c r="AJ189" s="229">
        <v>9.4999999999999998E-3</v>
      </c>
      <c r="AK189" s="228">
        <v>4.8</v>
      </c>
      <c r="AL189" s="228">
        <v>0</v>
      </c>
      <c r="AM189" s="228">
        <v>4.8</v>
      </c>
      <c r="AN189" s="229">
        <v>7.4000000000000003E-3</v>
      </c>
      <c r="AO189" s="228">
        <v>649.52</v>
      </c>
      <c r="AP189" s="228">
        <v>653.91</v>
      </c>
      <c r="AQ189" s="228">
        <v>0</v>
      </c>
      <c r="AR189" s="230">
        <v>517000</v>
      </c>
      <c r="AS189" s="230">
        <v>752000</v>
      </c>
      <c r="AT189" s="230">
        <v>-235000</v>
      </c>
      <c r="AU189" s="229">
        <v>-0.3125</v>
      </c>
      <c r="AV189" s="230">
        <v>493000</v>
      </c>
      <c r="AW189" s="230">
        <v>731000</v>
      </c>
      <c r="AX189" s="230">
        <v>-238000</v>
      </c>
      <c r="AY189" s="229">
        <v>-0.3256</v>
      </c>
      <c r="AZ189" s="230">
        <v>23000</v>
      </c>
      <c r="BA189" s="230">
        <v>21000</v>
      </c>
      <c r="BB189" s="230">
        <v>2000</v>
      </c>
      <c r="BC189" s="229">
        <v>9.5200000000000007E-2</v>
      </c>
      <c r="BD189" s="230">
        <v>1000</v>
      </c>
      <c r="BE189" s="228">
        <v>0</v>
      </c>
      <c r="BF189" s="230">
        <v>1000</v>
      </c>
      <c r="BG189" s="229">
        <v>0</v>
      </c>
      <c r="BH189" s="230">
        <v>749000</v>
      </c>
      <c r="BI189" s="230">
        <v>733000</v>
      </c>
      <c r="BJ189" s="230">
        <v>16000</v>
      </c>
      <c r="BK189" s="229">
        <v>2.18E-2</v>
      </c>
      <c r="BL189" s="230">
        <v>455000</v>
      </c>
      <c r="BM189" s="230">
        <v>381000</v>
      </c>
      <c r="BN189" s="230">
        <v>74000</v>
      </c>
      <c r="BO189" s="229">
        <v>0.19420000000000001</v>
      </c>
      <c r="BP189" s="230">
        <v>1721000</v>
      </c>
      <c r="BQ189" s="230">
        <v>1866000</v>
      </c>
      <c r="BR189" s="230">
        <v>-145000</v>
      </c>
      <c r="BS189" s="229">
        <v>-7.7700000000000005E-2</v>
      </c>
      <c r="BT189" s="230">
        <v>154718</v>
      </c>
      <c r="BU189" s="230">
        <v>226893</v>
      </c>
      <c r="BV189" s="230">
        <v>-72175</v>
      </c>
      <c r="BW189" s="229">
        <v>-0.31809999999999999</v>
      </c>
      <c r="BX189" s="230">
        <v>7810000</v>
      </c>
      <c r="BY189" s="230">
        <v>7760000</v>
      </c>
      <c r="BZ189" s="230">
        <v>50000</v>
      </c>
      <c r="CA189" s="229">
        <v>6.4000000000000003E-3</v>
      </c>
      <c r="CB189" s="230">
        <v>7723000</v>
      </c>
      <c r="CC189" s="230">
        <v>7676000</v>
      </c>
      <c r="CD189" s="230">
        <v>47000</v>
      </c>
      <c r="CE189" s="229">
        <v>6.1000000000000004E-3</v>
      </c>
      <c r="CF189" s="230">
        <v>86000</v>
      </c>
      <c r="CG189" s="230">
        <v>84000</v>
      </c>
      <c r="CH189" s="230">
        <v>2000</v>
      </c>
      <c r="CI189" s="229">
        <v>2.3800000000000002E-2</v>
      </c>
      <c r="CJ189" s="230">
        <v>1000</v>
      </c>
      <c r="CK189" s="228">
        <v>0</v>
      </c>
      <c r="CL189" s="230">
        <v>1000</v>
      </c>
      <c r="CM189" s="229">
        <v>0</v>
      </c>
      <c r="CN189" s="230">
        <v>1471000</v>
      </c>
      <c r="CO189" s="230">
        <v>1287000</v>
      </c>
      <c r="CP189" s="230">
        <v>184000</v>
      </c>
      <c r="CQ189" s="229">
        <v>0.14299999999999999</v>
      </c>
      <c r="CR189" s="230">
        <v>1216000</v>
      </c>
      <c r="CS189" s="230">
        <v>1092000</v>
      </c>
      <c r="CT189" s="230">
        <v>124000</v>
      </c>
      <c r="CU189" s="229">
        <v>0.11360000000000001</v>
      </c>
      <c r="CV189" s="230">
        <v>10497000</v>
      </c>
      <c r="CW189" s="230">
        <v>10139000</v>
      </c>
      <c r="CX189" s="230">
        <v>358000</v>
      </c>
      <c r="CY189" s="229">
        <v>3.5299999999999998E-2</v>
      </c>
      <c r="CZ189" s="228">
        <v>24.79</v>
      </c>
      <c r="DA189" s="228">
        <v>24.99</v>
      </c>
      <c r="DB189" s="228">
        <v>-0.2</v>
      </c>
      <c r="DC189" s="228">
        <v>-0.2</v>
      </c>
      <c r="DD189" s="228">
        <v>31.86</v>
      </c>
      <c r="DE189" s="228">
        <v>31.94</v>
      </c>
      <c r="DF189" s="228">
        <v>-7.07</v>
      </c>
      <c r="DG189" s="228">
        <v>-0.08</v>
      </c>
      <c r="DH189" s="228">
        <v>24.62</v>
      </c>
      <c r="DI189" s="228">
        <v>25.03</v>
      </c>
      <c r="DJ189" s="228">
        <v>-0.41</v>
      </c>
      <c r="DK189" s="228">
        <v>-0.41</v>
      </c>
      <c r="DL189" s="228">
        <v>25.07</v>
      </c>
      <c r="DM189" s="228">
        <v>24.92</v>
      </c>
      <c r="DN189" s="228">
        <v>0.15</v>
      </c>
      <c r="DO189" s="228">
        <v>0.15</v>
      </c>
      <c r="DP189" s="228">
        <v>0.83</v>
      </c>
      <c r="DQ189" s="228">
        <v>0.85</v>
      </c>
      <c r="DR189" s="228">
        <v>-0.02</v>
      </c>
      <c r="DS189" s="229">
        <v>-2.35E-2</v>
      </c>
      <c r="DT189" s="228">
        <v>700</v>
      </c>
      <c r="DU189" s="228">
        <v>650</v>
      </c>
      <c r="DV189" s="228">
        <v>0.61</v>
      </c>
      <c r="DW189" s="228">
        <v>0.52</v>
      </c>
      <c r="DX189" s="228">
        <v>0.09</v>
      </c>
      <c r="DY189" s="229">
        <v>0.1731</v>
      </c>
      <c r="DZ189" s="229">
        <v>1.11E-2</v>
      </c>
      <c r="EA189" s="230">
        <v>84000</v>
      </c>
      <c r="EB189" s="229">
        <v>5.4000000000000003E-3</v>
      </c>
      <c r="EC189" s="229">
        <v>1.11E-2</v>
      </c>
      <c r="ED189" s="228">
        <v>4.3899999999999997</v>
      </c>
      <c r="EE189" s="229">
        <v>6.7999999999999996E-3</v>
      </c>
      <c r="EF189" s="230">
        <v>62044</v>
      </c>
      <c r="EG189" s="230">
        <v>141980</v>
      </c>
      <c r="EH189" s="229">
        <v>-0.56299999999999994</v>
      </c>
      <c r="EI189" s="229">
        <v>0.40100000000000002</v>
      </c>
      <c r="EJ189" s="231">
        <v>5181.28</v>
      </c>
      <c r="EK189" s="231">
        <v>2894.04</v>
      </c>
      <c r="EL189" s="231">
        <v>3359.08</v>
      </c>
      <c r="EM189" s="231">
        <v>3563</v>
      </c>
      <c r="EN189" s="231">
        <v>11434.4</v>
      </c>
      <c r="EO189" s="231">
        <v>12416.29</v>
      </c>
      <c r="EP189" s="228">
        <v>-981.89</v>
      </c>
      <c r="EQ189" s="229">
        <v>-7.9100000000000004E-2</v>
      </c>
      <c r="ER189" s="231">
        <v>10092</v>
      </c>
      <c r="ES189" s="231">
        <v>7725</v>
      </c>
      <c r="ET189" s="231">
        <v>50987</v>
      </c>
      <c r="EU189" s="231">
        <v>24733183</v>
      </c>
      <c r="EV189" s="231">
        <v>68804</v>
      </c>
      <c r="EW189" s="231">
        <v>66509</v>
      </c>
      <c r="EX189" s="231">
        <v>2295</v>
      </c>
      <c r="EY189" s="229">
        <v>3.4500000000000003E-2</v>
      </c>
      <c r="EZ189" s="229">
        <v>0.4244</v>
      </c>
      <c r="FA189" s="227" t="s">
        <v>567</v>
      </c>
      <c r="FB189" s="161">
        <f t="shared" si="4"/>
        <v>0</v>
      </c>
    </row>
    <row r="190" spans="1:158" ht="17.25" thickBot="1" x14ac:dyDescent="0.3">
      <c r="A190" s="226">
        <v>46023</v>
      </c>
      <c r="B190" s="227" t="s">
        <v>168</v>
      </c>
      <c r="C190" s="227" t="s">
        <v>291</v>
      </c>
      <c r="D190" s="228">
        <v>550</v>
      </c>
      <c r="E190" s="231">
        <v>1185.3</v>
      </c>
      <c r="F190" s="231">
        <v>1198.5</v>
      </c>
      <c r="G190" s="228">
        <v>-13.2</v>
      </c>
      <c r="H190" s="229">
        <v>-1.0999999999999999E-2</v>
      </c>
      <c r="I190" s="231">
        <v>1176.9000000000001</v>
      </c>
      <c r="J190" s="231">
        <v>1192</v>
      </c>
      <c r="K190" s="228">
        <v>-15.1</v>
      </c>
      <c r="L190" s="229">
        <v>-1.2699999999999999E-2</v>
      </c>
      <c r="M190" s="231">
        <v>1185.3</v>
      </c>
      <c r="N190" s="231">
        <v>1198.5</v>
      </c>
      <c r="O190" s="228">
        <v>-13.2</v>
      </c>
      <c r="P190" s="229">
        <v>-1.0999999999999999E-2</v>
      </c>
      <c r="Q190" s="231">
        <v>1192.3</v>
      </c>
      <c r="R190" s="231">
        <v>1205.0999999999999</v>
      </c>
      <c r="S190" s="228">
        <v>-12.8</v>
      </c>
      <c r="T190" s="229">
        <v>-1.06E-2</v>
      </c>
      <c r="U190" s="231">
        <v>1200</v>
      </c>
      <c r="V190" s="231">
        <v>1212.9000000000001</v>
      </c>
      <c r="W190" s="228">
        <v>-12.9</v>
      </c>
      <c r="X190" s="229">
        <v>-1.06E-2</v>
      </c>
      <c r="Y190" s="228">
        <v>8.4</v>
      </c>
      <c r="Z190" s="228">
        <v>6.5</v>
      </c>
      <c r="AA190" s="228">
        <v>1.9</v>
      </c>
      <c r="AB190" s="229">
        <v>7.1000000000000004E-3</v>
      </c>
      <c r="AC190" s="228">
        <v>8.4</v>
      </c>
      <c r="AD190" s="228">
        <v>6.5</v>
      </c>
      <c r="AE190" s="228">
        <v>1.9</v>
      </c>
      <c r="AF190" s="229">
        <v>7.1000000000000004E-3</v>
      </c>
      <c r="AG190" s="228">
        <v>15.4</v>
      </c>
      <c r="AH190" s="228">
        <v>13.1</v>
      </c>
      <c r="AI190" s="228">
        <v>2.2999999999999998</v>
      </c>
      <c r="AJ190" s="229">
        <v>1.3100000000000001E-2</v>
      </c>
      <c r="AK190" s="228">
        <v>23.1</v>
      </c>
      <c r="AL190" s="228">
        <v>20.9</v>
      </c>
      <c r="AM190" s="228">
        <v>2.2000000000000002</v>
      </c>
      <c r="AN190" s="229">
        <v>1.9599999999999999E-2</v>
      </c>
      <c r="AO190" s="231">
        <v>1188.94</v>
      </c>
      <c r="AP190" s="231">
        <v>1196.8699999999999</v>
      </c>
      <c r="AQ190" s="228">
        <v>0</v>
      </c>
      <c r="AR190" s="230">
        <v>1107150</v>
      </c>
      <c r="AS190" s="230">
        <v>1587300</v>
      </c>
      <c r="AT190" s="230">
        <v>-480150</v>
      </c>
      <c r="AU190" s="229">
        <v>-0.30249999999999999</v>
      </c>
      <c r="AV190" s="230">
        <v>1074150</v>
      </c>
      <c r="AW190" s="230">
        <v>1542750</v>
      </c>
      <c r="AX190" s="230">
        <v>-468600</v>
      </c>
      <c r="AY190" s="229">
        <v>-0.30370000000000003</v>
      </c>
      <c r="AZ190" s="230">
        <v>19800</v>
      </c>
      <c r="BA190" s="230">
        <v>36850</v>
      </c>
      <c r="BB190" s="230">
        <v>-17050</v>
      </c>
      <c r="BC190" s="229">
        <v>-0.4627</v>
      </c>
      <c r="BD190" s="230">
        <v>13200</v>
      </c>
      <c r="BE190" s="230">
        <v>7700</v>
      </c>
      <c r="BF190" s="230">
        <v>5500</v>
      </c>
      <c r="BG190" s="229">
        <v>0.71430000000000005</v>
      </c>
      <c r="BH190" s="230">
        <v>1971750</v>
      </c>
      <c r="BI190" s="230">
        <v>3400650</v>
      </c>
      <c r="BJ190" s="230">
        <v>-1428900</v>
      </c>
      <c r="BK190" s="229">
        <v>-0.42020000000000002</v>
      </c>
      <c r="BL190" s="230">
        <v>1123650</v>
      </c>
      <c r="BM190" s="230">
        <v>944900</v>
      </c>
      <c r="BN190" s="230">
        <v>178750</v>
      </c>
      <c r="BO190" s="229">
        <v>0.18920000000000001</v>
      </c>
      <c r="BP190" s="230">
        <v>4202550</v>
      </c>
      <c r="BQ190" s="230">
        <v>5932850</v>
      </c>
      <c r="BR190" s="230">
        <v>-1730300</v>
      </c>
      <c r="BS190" s="229">
        <v>-0.29160000000000003</v>
      </c>
      <c r="BT190" s="230">
        <v>984214</v>
      </c>
      <c r="BU190" s="230">
        <v>1043011</v>
      </c>
      <c r="BV190" s="230">
        <v>-58797</v>
      </c>
      <c r="BW190" s="229">
        <v>-5.6399999999999999E-2</v>
      </c>
      <c r="BX190" s="230">
        <v>11660000</v>
      </c>
      <c r="BY190" s="230">
        <v>11486750</v>
      </c>
      <c r="BZ190" s="230">
        <v>173250</v>
      </c>
      <c r="CA190" s="229">
        <v>1.5100000000000001E-2</v>
      </c>
      <c r="CB190" s="230">
        <v>11518650</v>
      </c>
      <c r="CC190" s="230">
        <v>11364650</v>
      </c>
      <c r="CD190" s="230">
        <v>154000</v>
      </c>
      <c r="CE190" s="229">
        <v>1.3599999999999999E-2</v>
      </c>
      <c r="CF190" s="230">
        <v>120450</v>
      </c>
      <c r="CG190" s="230">
        <v>114400</v>
      </c>
      <c r="CH190" s="230">
        <v>6050</v>
      </c>
      <c r="CI190" s="229">
        <v>5.2900000000000003E-2</v>
      </c>
      <c r="CJ190" s="230">
        <v>20900</v>
      </c>
      <c r="CK190" s="230">
        <v>7700</v>
      </c>
      <c r="CL190" s="230">
        <v>13200</v>
      </c>
      <c r="CM190" s="229">
        <v>1.7142999999999999</v>
      </c>
      <c r="CN190" s="230">
        <v>2485450</v>
      </c>
      <c r="CO190" s="230">
        <v>2255000</v>
      </c>
      <c r="CP190" s="230">
        <v>230450</v>
      </c>
      <c r="CQ190" s="229">
        <v>0.1022</v>
      </c>
      <c r="CR190" s="230">
        <v>1590050</v>
      </c>
      <c r="CS190" s="230">
        <v>1179200</v>
      </c>
      <c r="CT190" s="230">
        <v>410850</v>
      </c>
      <c r="CU190" s="229">
        <v>0.34839999999999999</v>
      </c>
      <c r="CV190" s="230">
        <v>15735500</v>
      </c>
      <c r="CW190" s="230">
        <v>14920950</v>
      </c>
      <c r="CX190" s="230">
        <v>814550</v>
      </c>
      <c r="CY190" s="229">
        <v>5.4600000000000003E-2</v>
      </c>
      <c r="CZ190" s="228">
        <v>19.87</v>
      </c>
      <c r="DA190" s="228">
        <v>19.75</v>
      </c>
      <c r="DB190" s="228">
        <v>0.12</v>
      </c>
      <c r="DC190" s="228">
        <v>0.12</v>
      </c>
      <c r="DD190" s="228">
        <v>25.68</v>
      </c>
      <c r="DE190" s="228">
        <v>25.68</v>
      </c>
      <c r="DF190" s="228">
        <v>-5.81</v>
      </c>
      <c r="DG190" s="228">
        <v>0</v>
      </c>
      <c r="DH190" s="228">
        <v>19.670000000000002</v>
      </c>
      <c r="DI190" s="228">
        <v>19.62</v>
      </c>
      <c r="DJ190" s="228">
        <v>0.05</v>
      </c>
      <c r="DK190" s="228">
        <v>0.05</v>
      </c>
      <c r="DL190" s="228">
        <v>20.22</v>
      </c>
      <c r="DM190" s="228">
        <v>20.21</v>
      </c>
      <c r="DN190" s="228">
        <v>0.01</v>
      </c>
      <c r="DO190" s="228">
        <v>0.01</v>
      </c>
      <c r="DP190" s="228">
        <v>0.64</v>
      </c>
      <c r="DQ190" s="228">
        <v>0.52</v>
      </c>
      <c r="DR190" s="228">
        <v>0.12</v>
      </c>
      <c r="DS190" s="229">
        <v>0.23080000000000001</v>
      </c>
      <c r="DT190" s="231">
        <v>1200</v>
      </c>
      <c r="DU190" s="231">
        <v>1080</v>
      </c>
      <c r="DV190" s="228">
        <v>0.56999999999999995</v>
      </c>
      <c r="DW190" s="228">
        <v>0.28000000000000003</v>
      </c>
      <c r="DX190" s="228">
        <v>0.28999999999999998</v>
      </c>
      <c r="DY190" s="229">
        <v>1.0357000000000001</v>
      </c>
      <c r="DZ190" s="229">
        <v>1.21E-2</v>
      </c>
      <c r="EA190" s="230">
        <v>122100</v>
      </c>
      <c r="EB190" s="229">
        <v>5.8999999999999999E-3</v>
      </c>
      <c r="EC190" s="229">
        <v>1.21E-2</v>
      </c>
      <c r="ED190" s="228">
        <v>7.93</v>
      </c>
      <c r="EE190" s="229">
        <v>6.7000000000000002E-3</v>
      </c>
      <c r="EF190" s="230">
        <v>638947</v>
      </c>
      <c r="EG190" s="230">
        <v>664808</v>
      </c>
      <c r="EH190" s="229">
        <v>-3.8899999999999997E-2</v>
      </c>
      <c r="EI190" s="229">
        <v>0.6492</v>
      </c>
      <c r="EJ190" s="231">
        <v>24536.91</v>
      </c>
      <c r="EK190" s="231">
        <v>12923.87</v>
      </c>
      <c r="EL190" s="231">
        <v>13167.2</v>
      </c>
      <c r="EM190" s="231">
        <v>9352</v>
      </c>
      <c r="EN190" s="231">
        <v>50627.98</v>
      </c>
      <c r="EO190" s="231">
        <v>72253.98</v>
      </c>
      <c r="EP190" s="231">
        <v>-21626</v>
      </c>
      <c r="EQ190" s="229">
        <v>-0.29930000000000001</v>
      </c>
      <c r="ER190" s="231">
        <v>30761</v>
      </c>
      <c r="ES190" s="231">
        <v>18021</v>
      </c>
      <c r="ET190" s="231">
        <v>138217</v>
      </c>
      <c r="EU190" s="231">
        <v>65472326</v>
      </c>
      <c r="EV190" s="231">
        <v>186999</v>
      </c>
      <c r="EW190" s="231">
        <v>179193</v>
      </c>
      <c r="EX190" s="231">
        <v>7806</v>
      </c>
      <c r="EY190" s="229">
        <v>4.36E-2</v>
      </c>
      <c r="EZ190" s="229">
        <v>0.24030000000000001</v>
      </c>
      <c r="FA190" s="227" t="s">
        <v>567</v>
      </c>
      <c r="FB190" s="161">
        <f t="shared" si="4"/>
        <v>0</v>
      </c>
    </row>
    <row r="191" spans="1:158" ht="17.25" thickBot="1" x14ac:dyDescent="0.3">
      <c r="A191" s="226">
        <v>46023</v>
      </c>
      <c r="B191" s="227" t="s">
        <v>221</v>
      </c>
      <c r="C191" s="227" t="s">
        <v>604</v>
      </c>
      <c r="D191" s="228">
        <v>100</v>
      </c>
      <c r="E191" s="231">
        <v>5241</v>
      </c>
      <c r="F191" s="231">
        <v>5266.5</v>
      </c>
      <c r="G191" s="228">
        <v>-25.5</v>
      </c>
      <c r="H191" s="229">
        <v>-4.7999999999999996E-3</v>
      </c>
      <c r="I191" s="231">
        <v>5211.5</v>
      </c>
      <c r="J191" s="231">
        <v>5240.5</v>
      </c>
      <c r="K191" s="228">
        <v>-29</v>
      </c>
      <c r="L191" s="229">
        <v>-5.4999999999999997E-3</v>
      </c>
      <c r="M191" s="231">
        <v>5241</v>
      </c>
      <c r="N191" s="231">
        <v>5266.5</v>
      </c>
      <c r="O191" s="228">
        <v>-25.5</v>
      </c>
      <c r="P191" s="229">
        <v>-4.7999999999999996E-3</v>
      </c>
      <c r="Q191" s="231">
        <v>5264.5</v>
      </c>
      <c r="R191" s="231">
        <v>5292.5</v>
      </c>
      <c r="S191" s="228">
        <v>-28</v>
      </c>
      <c r="T191" s="229">
        <v>-5.3E-3</v>
      </c>
      <c r="U191" s="228">
        <v>0</v>
      </c>
      <c r="V191" s="228">
        <v>0</v>
      </c>
      <c r="W191" s="228">
        <v>0</v>
      </c>
      <c r="X191" s="229">
        <v>0</v>
      </c>
      <c r="Y191" s="228">
        <v>29.5</v>
      </c>
      <c r="Z191" s="228">
        <v>26</v>
      </c>
      <c r="AA191" s="228">
        <v>3.5</v>
      </c>
      <c r="AB191" s="229">
        <v>5.7000000000000002E-3</v>
      </c>
      <c r="AC191" s="228">
        <v>29.5</v>
      </c>
      <c r="AD191" s="228">
        <v>26</v>
      </c>
      <c r="AE191" s="228">
        <v>3.5</v>
      </c>
      <c r="AF191" s="229">
        <v>5.7000000000000002E-3</v>
      </c>
      <c r="AG191" s="228">
        <v>53</v>
      </c>
      <c r="AH191" s="228">
        <v>52</v>
      </c>
      <c r="AI191" s="228">
        <v>1</v>
      </c>
      <c r="AJ191" s="229">
        <v>1.0200000000000001E-2</v>
      </c>
      <c r="AK191" s="228">
        <v>0</v>
      </c>
      <c r="AL191" s="228">
        <v>0</v>
      </c>
      <c r="AM191" s="228">
        <v>0</v>
      </c>
      <c r="AN191" s="229">
        <v>0</v>
      </c>
      <c r="AO191" s="231">
        <v>5240.1400000000003</v>
      </c>
      <c r="AP191" s="231">
        <v>5264.26</v>
      </c>
      <c r="AQ191" s="228">
        <v>0</v>
      </c>
      <c r="AR191" s="230">
        <v>91500</v>
      </c>
      <c r="AS191" s="230">
        <v>188200</v>
      </c>
      <c r="AT191" s="230">
        <v>-96700</v>
      </c>
      <c r="AU191" s="229">
        <v>-0.51380000000000003</v>
      </c>
      <c r="AV191" s="230">
        <v>86100</v>
      </c>
      <c r="AW191" s="230">
        <v>177200</v>
      </c>
      <c r="AX191" s="230">
        <v>-91100</v>
      </c>
      <c r="AY191" s="229">
        <v>-0.5141</v>
      </c>
      <c r="AZ191" s="230">
        <v>5400</v>
      </c>
      <c r="BA191" s="230">
        <v>11000</v>
      </c>
      <c r="BB191" s="230">
        <v>-5600</v>
      </c>
      <c r="BC191" s="229">
        <v>-0.5091</v>
      </c>
      <c r="BD191" s="228">
        <v>0</v>
      </c>
      <c r="BE191" s="228">
        <v>0</v>
      </c>
      <c r="BF191" s="228">
        <v>0</v>
      </c>
      <c r="BG191" s="229">
        <v>0</v>
      </c>
      <c r="BH191" s="230">
        <v>319600</v>
      </c>
      <c r="BI191" s="230">
        <v>599200</v>
      </c>
      <c r="BJ191" s="230">
        <v>-279600</v>
      </c>
      <c r="BK191" s="229">
        <v>-0.46660000000000001</v>
      </c>
      <c r="BL191" s="230">
        <v>132600</v>
      </c>
      <c r="BM191" s="230">
        <v>257000</v>
      </c>
      <c r="BN191" s="230">
        <v>-124400</v>
      </c>
      <c r="BO191" s="229">
        <v>-0.48399999999999999</v>
      </c>
      <c r="BP191" s="230">
        <v>543700</v>
      </c>
      <c r="BQ191" s="230">
        <v>1044400</v>
      </c>
      <c r="BR191" s="230">
        <v>-500700</v>
      </c>
      <c r="BS191" s="229">
        <v>-0.47939999999999999</v>
      </c>
      <c r="BT191" s="230">
        <v>47459</v>
      </c>
      <c r="BU191" s="230">
        <v>85971</v>
      </c>
      <c r="BV191" s="230">
        <v>-38512</v>
      </c>
      <c r="BW191" s="229">
        <v>-0.44800000000000001</v>
      </c>
      <c r="BX191" s="230">
        <v>1477000</v>
      </c>
      <c r="BY191" s="230">
        <v>1475100</v>
      </c>
      <c r="BZ191" s="230">
        <v>1900</v>
      </c>
      <c r="CA191" s="229">
        <v>1.2999999999999999E-3</v>
      </c>
      <c r="CB191" s="230">
        <v>1426400</v>
      </c>
      <c r="CC191" s="230">
        <v>1427100</v>
      </c>
      <c r="CD191" s="228">
        <v>-700</v>
      </c>
      <c r="CE191" s="229">
        <v>-5.0000000000000001E-4</v>
      </c>
      <c r="CF191" s="230">
        <v>50600</v>
      </c>
      <c r="CG191" s="230">
        <v>48000</v>
      </c>
      <c r="CH191" s="230">
        <v>2600</v>
      </c>
      <c r="CI191" s="229">
        <v>5.4199999999999998E-2</v>
      </c>
      <c r="CJ191" s="228">
        <v>0</v>
      </c>
      <c r="CK191" s="228">
        <v>0</v>
      </c>
      <c r="CL191" s="228">
        <v>0</v>
      </c>
      <c r="CM191" s="229">
        <v>0</v>
      </c>
      <c r="CN191" s="230">
        <v>528100</v>
      </c>
      <c r="CO191" s="230">
        <v>490500</v>
      </c>
      <c r="CP191" s="230">
        <v>37600</v>
      </c>
      <c r="CQ191" s="229">
        <v>7.6700000000000004E-2</v>
      </c>
      <c r="CR191" s="230">
        <v>355100</v>
      </c>
      <c r="CS191" s="230">
        <v>346800</v>
      </c>
      <c r="CT191" s="230">
        <v>8300</v>
      </c>
      <c r="CU191" s="229">
        <v>2.3900000000000001E-2</v>
      </c>
      <c r="CV191" s="230">
        <v>2360200</v>
      </c>
      <c r="CW191" s="230">
        <v>2312400</v>
      </c>
      <c r="CX191" s="230">
        <v>47800</v>
      </c>
      <c r="CY191" s="229">
        <v>2.07E-2</v>
      </c>
      <c r="CZ191" s="228">
        <v>28.51</v>
      </c>
      <c r="DA191" s="228">
        <v>28.67</v>
      </c>
      <c r="DB191" s="228">
        <v>-0.16</v>
      </c>
      <c r="DC191" s="228">
        <v>-0.16</v>
      </c>
      <c r="DD191" s="228">
        <v>35.6</v>
      </c>
      <c r="DE191" s="228">
        <v>35.69</v>
      </c>
      <c r="DF191" s="228">
        <v>-7.09</v>
      </c>
      <c r="DG191" s="228">
        <v>-0.09</v>
      </c>
      <c r="DH191" s="228">
        <v>28.63</v>
      </c>
      <c r="DI191" s="228">
        <v>28.84</v>
      </c>
      <c r="DJ191" s="228">
        <v>-0.21</v>
      </c>
      <c r="DK191" s="228">
        <v>-0.21</v>
      </c>
      <c r="DL191" s="228">
        <v>28.22</v>
      </c>
      <c r="DM191" s="228">
        <v>28.26</v>
      </c>
      <c r="DN191" s="228">
        <v>-0.04</v>
      </c>
      <c r="DO191" s="228">
        <v>-0.04</v>
      </c>
      <c r="DP191" s="228">
        <v>0.67</v>
      </c>
      <c r="DQ191" s="228">
        <v>0.71</v>
      </c>
      <c r="DR191" s="228">
        <v>-0.04</v>
      </c>
      <c r="DS191" s="229">
        <v>-5.6300000000000003E-2</v>
      </c>
      <c r="DT191" s="231">
        <v>6000</v>
      </c>
      <c r="DU191" s="231">
        <v>5300</v>
      </c>
      <c r="DV191" s="228">
        <v>0.41</v>
      </c>
      <c r="DW191" s="228">
        <v>0.43</v>
      </c>
      <c r="DX191" s="228">
        <v>-0.02</v>
      </c>
      <c r="DY191" s="229">
        <v>-4.65E-2</v>
      </c>
      <c r="DZ191" s="229">
        <v>3.4299999999999997E-2</v>
      </c>
      <c r="EA191" s="230">
        <v>48000</v>
      </c>
      <c r="EB191" s="229">
        <v>4.4999999999999997E-3</v>
      </c>
      <c r="EC191" s="229">
        <v>3.4299999999999997E-2</v>
      </c>
      <c r="ED191" s="228">
        <v>24.12</v>
      </c>
      <c r="EE191" s="229">
        <v>4.5999999999999999E-3</v>
      </c>
      <c r="EF191" s="230">
        <v>16748</v>
      </c>
      <c r="EG191" s="230">
        <v>26822</v>
      </c>
      <c r="EH191" s="229">
        <v>-0.37559999999999999</v>
      </c>
      <c r="EI191" s="229">
        <v>0.35289999999999999</v>
      </c>
      <c r="EJ191" s="231">
        <v>17789.21</v>
      </c>
      <c r="EK191" s="231">
        <v>6901.69</v>
      </c>
      <c r="EL191" s="231">
        <v>4796.03</v>
      </c>
      <c r="EM191" s="231">
        <v>8023</v>
      </c>
      <c r="EN191" s="231">
        <v>29486.93</v>
      </c>
      <c r="EO191" s="231">
        <v>56774.44</v>
      </c>
      <c r="EP191" s="231">
        <v>-27287.51</v>
      </c>
      <c r="EQ191" s="229">
        <v>-0.48060000000000003</v>
      </c>
      <c r="ER191" s="231">
        <v>29578</v>
      </c>
      <c r="ES191" s="231">
        <v>18361</v>
      </c>
      <c r="ET191" s="231">
        <v>77421</v>
      </c>
      <c r="EU191" s="231">
        <v>5241546</v>
      </c>
      <c r="EV191" s="231">
        <v>125361</v>
      </c>
      <c r="EW191" s="231">
        <v>123217</v>
      </c>
      <c r="EX191" s="231">
        <v>2144</v>
      </c>
      <c r="EY191" s="229">
        <v>1.7399999999999999E-2</v>
      </c>
      <c r="EZ191" s="229">
        <v>0.45029999999999998</v>
      </c>
      <c r="FA191" s="227" t="s">
        <v>567</v>
      </c>
      <c r="FB191" s="161">
        <f t="shared" si="4"/>
        <v>0</v>
      </c>
    </row>
    <row r="192" spans="1:158" ht="17.25" thickBot="1" x14ac:dyDescent="0.3">
      <c r="A192" s="226">
        <v>46023</v>
      </c>
      <c r="B192" s="227" t="s">
        <v>161</v>
      </c>
      <c r="C192" s="227" t="s">
        <v>293</v>
      </c>
      <c r="D192" s="228">
        <v>1450</v>
      </c>
      <c r="E192" s="228">
        <v>384.4</v>
      </c>
      <c r="F192" s="228">
        <v>382.05</v>
      </c>
      <c r="G192" s="228">
        <v>2.35</v>
      </c>
      <c r="H192" s="229">
        <v>6.1999999999999998E-3</v>
      </c>
      <c r="I192" s="228">
        <v>381.85</v>
      </c>
      <c r="J192" s="228">
        <v>379.6</v>
      </c>
      <c r="K192" s="228">
        <v>2.25</v>
      </c>
      <c r="L192" s="229">
        <v>5.8999999999999999E-3</v>
      </c>
      <c r="M192" s="228">
        <v>384.4</v>
      </c>
      <c r="N192" s="228">
        <v>382.05</v>
      </c>
      <c r="O192" s="228">
        <v>2.35</v>
      </c>
      <c r="P192" s="229">
        <v>6.1999999999999998E-3</v>
      </c>
      <c r="Q192" s="228">
        <v>386.7</v>
      </c>
      <c r="R192" s="228">
        <v>384.4</v>
      </c>
      <c r="S192" s="228">
        <v>2.2999999999999998</v>
      </c>
      <c r="T192" s="229">
        <v>6.0000000000000001E-3</v>
      </c>
      <c r="U192" s="228">
        <v>389.15</v>
      </c>
      <c r="V192" s="228">
        <v>386.35</v>
      </c>
      <c r="W192" s="228">
        <v>2.8</v>
      </c>
      <c r="X192" s="229">
        <v>7.1999999999999998E-3</v>
      </c>
      <c r="Y192" s="228">
        <v>2.5499999999999998</v>
      </c>
      <c r="Z192" s="228">
        <v>2.4500000000000002</v>
      </c>
      <c r="AA192" s="228">
        <v>0.1</v>
      </c>
      <c r="AB192" s="229">
        <v>6.7000000000000002E-3</v>
      </c>
      <c r="AC192" s="228">
        <v>2.5499999999999998</v>
      </c>
      <c r="AD192" s="228">
        <v>2.4500000000000002</v>
      </c>
      <c r="AE192" s="228">
        <v>0.1</v>
      </c>
      <c r="AF192" s="229">
        <v>6.7000000000000002E-3</v>
      </c>
      <c r="AG192" s="228">
        <v>4.8499999999999996</v>
      </c>
      <c r="AH192" s="228">
        <v>4.8</v>
      </c>
      <c r="AI192" s="228">
        <v>0.05</v>
      </c>
      <c r="AJ192" s="229">
        <v>1.2699999999999999E-2</v>
      </c>
      <c r="AK192" s="228">
        <v>7.3</v>
      </c>
      <c r="AL192" s="228">
        <v>6.75</v>
      </c>
      <c r="AM192" s="228">
        <v>0.55000000000000004</v>
      </c>
      <c r="AN192" s="229">
        <v>1.9099999999999999E-2</v>
      </c>
      <c r="AO192" s="228">
        <v>383.3</v>
      </c>
      <c r="AP192" s="228">
        <v>385.53</v>
      </c>
      <c r="AQ192" s="228">
        <v>0</v>
      </c>
      <c r="AR192" s="230">
        <v>3952700</v>
      </c>
      <c r="AS192" s="230">
        <v>6207450</v>
      </c>
      <c r="AT192" s="230">
        <v>-2254750</v>
      </c>
      <c r="AU192" s="229">
        <v>-0.36320000000000002</v>
      </c>
      <c r="AV192" s="230">
        <v>3665600</v>
      </c>
      <c r="AW192" s="230">
        <v>5601350</v>
      </c>
      <c r="AX192" s="230">
        <v>-1935750</v>
      </c>
      <c r="AY192" s="229">
        <v>-0.34560000000000002</v>
      </c>
      <c r="AZ192" s="230">
        <v>256650</v>
      </c>
      <c r="BA192" s="230">
        <v>581450</v>
      </c>
      <c r="BB192" s="230">
        <v>-324800</v>
      </c>
      <c r="BC192" s="229">
        <v>-0.55859999999999999</v>
      </c>
      <c r="BD192" s="230">
        <v>30450</v>
      </c>
      <c r="BE192" s="230">
        <v>24650</v>
      </c>
      <c r="BF192" s="230">
        <v>5800</v>
      </c>
      <c r="BG192" s="229">
        <v>0.23530000000000001</v>
      </c>
      <c r="BH192" s="230">
        <v>16853350</v>
      </c>
      <c r="BI192" s="230">
        <v>15254000</v>
      </c>
      <c r="BJ192" s="230">
        <v>1599350</v>
      </c>
      <c r="BK192" s="229">
        <v>0.1048</v>
      </c>
      <c r="BL192" s="230">
        <v>7754600</v>
      </c>
      <c r="BM192" s="230">
        <v>11373800</v>
      </c>
      <c r="BN192" s="230">
        <v>-3619200</v>
      </c>
      <c r="BO192" s="229">
        <v>-0.31819999999999998</v>
      </c>
      <c r="BP192" s="230">
        <v>28560650</v>
      </c>
      <c r="BQ192" s="230">
        <v>32835250</v>
      </c>
      <c r="BR192" s="230">
        <v>-4274600</v>
      </c>
      <c r="BS192" s="229">
        <v>-0.13020000000000001</v>
      </c>
      <c r="BT192" s="230">
        <v>1901982</v>
      </c>
      <c r="BU192" s="230">
        <v>2368074</v>
      </c>
      <c r="BV192" s="230">
        <v>-466092</v>
      </c>
      <c r="BW192" s="229">
        <v>-0.1968</v>
      </c>
      <c r="BX192" s="230">
        <v>56738500</v>
      </c>
      <c r="BY192" s="230">
        <v>56838550</v>
      </c>
      <c r="BZ192" s="230">
        <v>-100050</v>
      </c>
      <c r="CA192" s="229">
        <v>-1.8E-3</v>
      </c>
      <c r="CB192" s="230">
        <v>55086950</v>
      </c>
      <c r="CC192" s="230">
        <v>55198600</v>
      </c>
      <c r="CD192" s="230">
        <v>-111650</v>
      </c>
      <c r="CE192" s="229">
        <v>-2E-3</v>
      </c>
      <c r="CF192" s="230">
        <v>1624000</v>
      </c>
      <c r="CG192" s="230">
        <v>1624000</v>
      </c>
      <c r="CH192" s="228">
        <v>0</v>
      </c>
      <c r="CI192" s="229">
        <v>0</v>
      </c>
      <c r="CJ192" s="230">
        <v>27550</v>
      </c>
      <c r="CK192" s="230">
        <v>15950</v>
      </c>
      <c r="CL192" s="230">
        <v>11600</v>
      </c>
      <c r="CM192" s="229">
        <v>0.72729999999999995</v>
      </c>
      <c r="CN192" s="230">
        <v>20856800</v>
      </c>
      <c r="CO192" s="230">
        <v>19614150</v>
      </c>
      <c r="CP192" s="230">
        <v>1242650</v>
      </c>
      <c r="CQ192" s="229">
        <v>6.3399999999999998E-2</v>
      </c>
      <c r="CR192" s="230">
        <v>20695850</v>
      </c>
      <c r="CS192" s="230">
        <v>20543600</v>
      </c>
      <c r="CT192" s="230">
        <v>152250</v>
      </c>
      <c r="CU192" s="229">
        <v>7.4000000000000003E-3</v>
      </c>
      <c r="CV192" s="230">
        <v>98291150</v>
      </c>
      <c r="CW192" s="230">
        <v>96996300</v>
      </c>
      <c r="CX192" s="230">
        <v>1294850</v>
      </c>
      <c r="CY192" s="229">
        <v>1.3299999999999999E-2</v>
      </c>
      <c r="CZ192" s="228">
        <v>17.989999999999998</v>
      </c>
      <c r="DA192" s="228">
        <v>18.760000000000002</v>
      </c>
      <c r="DB192" s="228">
        <v>-0.77</v>
      </c>
      <c r="DC192" s="228">
        <v>-0.77</v>
      </c>
      <c r="DD192" s="228">
        <v>30.92</v>
      </c>
      <c r="DE192" s="228">
        <v>30.98</v>
      </c>
      <c r="DF192" s="228">
        <v>-12.93</v>
      </c>
      <c r="DG192" s="228">
        <v>-0.06</v>
      </c>
      <c r="DH192" s="228">
        <v>17.93</v>
      </c>
      <c r="DI192" s="228">
        <v>18.760000000000002</v>
      </c>
      <c r="DJ192" s="228">
        <v>-0.83</v>
      </c>
      <c r="DK192" s="228">
        <v>-0.83</v>
      </c>
      <c r="DL192" s="228">
        <v>18.11</v>
      </c>
      <c r="DM192" s="228">
        <v>18.760000000000002</v>
      </c>
      <c r="DN192" s="228">
        <v>-0.65</v>
      </c>
      <c r="DO192" s="228">
        <v>-0.65</v>
      </c>
      <c r="DP192" s="228">
        <v>0.99</v>
      </c>
      <c r="DQ192" s="228">
        <v>1.05</v>
      </c>
      <c r="DR192" s="228">
        <v>-0.06</v>
      </c>
      <c r="DS192" s="229">
        <v>-5.7099999999999998E-2</v>
      </c>
      <c r="DT192" s="228">
        <v>400</v>
      </c>
      <c r="DU192" s="228">
        <v>380</v>
      </c>
      <c r="DV192" s="228">
        <v>0.46</v>
      </c>
      <c r="DW192" s="228">
        <v>0.75</v>
      </c>
      <c r="DX192" s="228">
        <v>-0.28999999999999998</v>
      </c>
      <c r="DY192" s="229">
        <v>-0.38669999999999999</v>
      </c>
      <c r="DZ192" s="229">
        <v>2.9100000000000001E-2</v>
      </c>
      <c r="EA192" s="230">
        <v>1639950</v>
      </c>
      <c r="EB192" s="229">
        <v>6.0000000000000001E-3</v>
      </c>
      <c r="EC192" s="229">
        <v>2.9100000000000001E-2</v>
      </c>
      <c r="ED192" s="228">
        <v>2.23</v>
      </c>
      <c r="EE192" s="229">
        <v>5.7999999999999996E-3</v>
      </c>
      <c r="EF192" s="230">
        <v>877198</v>
      </c>
      <c r="EG192" s="230">
        <v>1275646</v>
      </c>
      <c r="EH192" s="229">
        <v>-0.31230000000000002</v>
      </c>
      <c r="EI192" s="229">
        <v>0.4612</v>
      </c>
      <c r="EJ192" s="231">
        <v>66986.02</v>
      </c>
      <c r="EK192" s="231">
        <v>29399.17</v>
      </c>
      <c r="EL192" s="231">
        <v>15157.71</v>
      </c>
      <c r="EM192" s="231">
        <v>16951</v>
      </c>
      <c r="EN192" s="231">
        <v>111542.9</v>
      </c>
      <c r="EO192" s="231">
        <v>126985.23</v>
      </c>
      <c r="EP192" s="231">
        <v>-15442.33</v>
      </c>
      <c r="EQ192" s="229">
        <v>-0.1216</v>
      </c>
      <c r="ER192" s="231">
        <v>82290</v>
      </c>
      <c r="ES192" s="231">
        <v>80899</v>
      </c>
      <c r="ET192" s="231">
        <v>218141</v>
      </c>
      <c r="EU192" s="231">
        <v>202215001</v>
      </c>
      <c r="EV192" s="231">
        <v>381331</v>
      </c>
      <c r="EW192" s="231">
        <v>374637</v>
      </c>
      <c r="EX192" s="231">
        <v>6694</v>
      </c>
      <c r="EY192" s="229">
        <v>1.7899999999999999E-2</v>
      </c>
      <c r="EZ192" s="229">
        <v>0.48609999999999998</v>
      </c>
      <c r="FA192" s="227" t="s">
        <v>556</v>
      </c>
      <c r="FB192" s="161">
        <f t="shared" si="4"/>
        <v>0</v>
      </c>
    </row>
    <row r="193" spans="1:158" ht="17.25" thickBot="1" x14ac:dyDescent="0.3">
      <c r="A193" s="226">
        <v>46023</v>
      </c>
      <c r="B193" s="227" t="s">
        <v>227</v>
      </c>
      <c r="C193" s="227" t="s">
        <v>294</v>
      </c>
      <c r="D193" s="228">
        <v>5500</v>
      </c>
      <c r="E193" s="228">
        <v>182.67</v>
      </c>
      <c r="F193" s="228">
        <v>181.06</v>
      </c>
      <c r="G193" s="228">
        <v>1.61</v>
      </c>
      <c r="H193" s="229">
        <v>8.8999999999999999E-3</v>
      </c>
      <c r="I193" s="228">
        <v>181.89</v>
      </c>
      <c r="J193" s="228">
        <v>180.08</v>
      </c>
      <c r="K193" s="228">
        <v>1.81</v>
      </c>
      <c r="L193" s="229">
        <v>1.01E-2</v>
      </c>
      <c r="M193" s="228">
        <v>182.67</v>
      </c>
      <c r="N193" s="228">
        <v>181.06</v>
      </c>
      <c r="O193" s="228">
        <v>1.61</v>
      </c>
      <c r="P193" s="229">
        <v>8.8999999999999999E-3</v>
      </c>
      <c r="Q193" s="228">
        <v>183.68</v>
      </c>
      <c r="R193" s="228">
        <v>182.13</v>
      </c>
      <c r="S193" s="228">
        <v>1.55</v>
      </c>
      <c r="T193" s="229">
        <v>8.5000000000000006E-3</v>
      </c>
      <c r="U193" s="228">
        <v>184.87</v>
      </c>
      <c r="V193" s="228">
        <v>183.32</v>
      </c>
      <c r="W193" s="228">
        <v>1.55</v>
      </c>
      <c r="X193" s="229">
        <v>8.5000000000000006E-3</v>
      </c>
      <c r="Y193" s="228">
        <v>0.78</v>
      </c>
      <c r="Z193" s="228">
        <v>0.98</v>
      </c>
      <c r="AA193" s="228">
        <v>-0.2</v>
      </c>
      <c r="AB193" s="229">
        <v>4.3E-3</v>
      </c>
      <c r="AC193" s="228">
        <v>0.78</v>
      </c>
      <c r="AD193" s="228">
        <v>0.98</v>
      </c>
      <c r="AE193" s="228">
        <v>-0.2</v>
      </c>
      <c r="AF193" s="229">
        <v>4.3E-3</v>
      </c>
      <c r="AG193" s="228">
        <v>1.79</v>
      </c>
      <c r="AH193" s="228">
        <v>2.0499999999999998</v>
      </c>
      <c r="AI193" s="228">
        <v>-0.26</v>
      </c>
      <c r="AJ193" s="229">
        <v>9.7999999999999997E-3</v>
      </c>
      <c r="AK193" s="228">
        <v>2.98</v>
      </c>
      <c r="AL193" s="228">
        <v>3.24</v>
      </c>
      <c r="AM193" s="228">
        <v>-0.26</v>
      </c>
      <c r="AN193" s="229">
        <v>1.6400000000000001E-2</v>
      </c>
      <c r="AO193" s="228">
        <v>182.06</v>
      </c>
      <c r="AP193" s="228">
        <v>183.14</v>
      </c>
      <c r="AQ193" s="228">
        <v>0</v>
      </c>
      <c r="AR193" s="230">
        <v>30618500</v>
      </c>
      <c r="AS193" s="230">
        <v>80063500</v>
      </c>
      <c r="AT193" s="230">
        <v>-49445000</v>
      </c>
      <c r="AU193" s="229">
        <v>-0.61760000000000004</v>
      </c>
      <c r="AV193" s="230">
        <v>28363500</v>
      </c>
      <c r="AW193" s="230">
        <v>74756000</v>
      </c>
      <c r="AX193" s="230">
        <v>-46392500</v>
      </c>
      <c r="AY193" s="229">
        <v>-0.62060000000000004</v>
      </c>
      <c r="AZ193" s="230">
        <v>1859000</v>
      </c>
      <c r="BA193" s="230">
        <v>4768500</v>
      </c>
      <c r="BB193" s="230">
        <v>-2909500</v>
      </c>
      <c r="BC193" s="229">
        <v>-0.61009999999999998</v>
      </c>
      <c r="BD193" s="230">
        <v>396000</v>
      </c>
      <c r="BE193" s="230">
        <v>539000</v>
      </c>
      <c r="BF193" s="230">
        <v>-143000</v>
      </c>
      <c r="BG193" s="229">
        <v>-0.26529999999999998</v>
      </c>
      <c r="BH193" s="230">
        <v>121352000</v>
      </c>
      <c r="BI193" s="230">
        <v>331666500</v>
      </c>
      <c r="BJ193" s="230">
        <v>-210314500</v>
      </c>
      <c r="BK193" s="229">
        <v>-0.6341</v>
      </c>
      <c r="BL193" s="230">
        <v>59851000</v>
      </c>
      <c r="BM193" s="230">
        <v>163564500</v>
      </c>
      <c r="BN193" s="230">
        <v>-103713500</v>
      </c>
      <c r="BO193" s="229">
        <v>-0.6341</v>
      </c>
      <c r="BP193" s="230">
        <v>211821500</v>
      </c>
      <c r="BQ193" s="230">
        <v>575294500</v>
      </c>
      <c r="BR193" s="230">
        <v>-363473000</v>
      </c>
      <c r="BS193" s="229">
        <v>-0.63180000000000003</v>
      </c>
      <c r="BT193" s="230">
        <v>22678118</v>
      </c>
      <c r="BU193" s="230">
        <v>53484592</v>
      </c>
      <c r="BV193" s="230">
        <v>-30806474</v>
      </c>
      <c r="BW193" s="229">
        <v>-0.57599999999999996</v>
      </c>
      <c r="BX193" s="230">
        <v>255150500</v>
      </c>
      <c r="BY193" s="230">
        <v>256883000</v>
      </c>
      <c r="BZ193" s="230">
        <v>-1732500</v>
      </c>
      <c r="CA193" s="229">
        <v>-6.7000000000000002E-3</v>
      </c>
      <c r="CB193" s="230">
        <v>248842000</v>
      </c>
      <c r="CC193" s="230">
        <v>250965000</v>
      </c>
      <c r="CD193" s="230">
        <v>-2123000</v>
      </c>
      <c r="CE193" s="229">
        <v>-8.5000000000000006E-3</v>
      </c>
      <c r="CF193" s="230">
        <v>5857500</v>
      </c>
      <c r="CG193" s="230">
        <v>5626500</v>
      </c>
      <c r="CH193" s="230">
        <v>231000</v>
      </c>
      <c r="CI193" s="229">
        <v>4.1099999999999998E-2</v>
      </c>
      <c r="CJ193" s="230">
        <v>451000</v>
      </c>
      <c r="CK193" s="230">
        <v>291500</v>
      </c>
      <c r="CL193" s="230">
        <v>159500</v>
      </c>
      <c r="CM193" s="229">
        <v>0.54720000000000002</v>
      </c>
      <c r="CN193" s="230">
        <v>106716500</v>
      </c>
      <c r="CO193" s="230">
        <v>104236000</v>
      </c>
      <c r="CP193" s="230">
        <v>2480500</v>
      </c>
      <c r="CQ193" s="229">
        <v>2.3800000000000002E-2</v>
      </c>
      <c r="CR193" s="230">
        <v>78111000</v>
      </c>
      <c r="CS193" s="230">
        <v>73326000</v>
      </c>
      <c r="CT193" s="230">
        <v>4785000</v>
      </c>
      <c r="CU193" s="229">
        <v>6.5299999999999997E-2</v>
      </c>
      <c r="CV193" s="230">
        <v>439978000</v>
      </c>
      <c r="CW193" s="230">
        <v>434445000</v>
      </c>
      <c r="CX193" s="230">
        <v>5533000</v>
      </c>
      <c r="CY193" s="229">
        <v>1.2699999999999999E-2</v>
      </c>
      <c r="CZ193" s="228">
        <v>22.99</v>
      </c>
      <c r="DA193" s="228">
        <v>24.2</v>
      </c>
      <c r="DB193" s="228">
        <v>-1.21</v>
      </c>
      <c r="DC193" s="228">
        <v>-1.21</v>
      </c>
      <c r="DD193" s="228">
        <v>32.51</v>
      </c>
      <c r="DE193" s="228">
        <v>32.57</v>
      </c>
      <c r="DF193" s="228">
        <v>-9.52</v>
      </c>
      <c r="DG193" s="228">
        <v>-0.06</v>
      </c>
      <c r="DH193" s="228">
        <v>22.77</v>
      </c>
      <c r="DI193" s="228">
        <v>24.11</v>
      </c>
      <c r="DJ193" s="228">
        <v>-1.34</v>
      </c>
      <c r="DK193" s="228">
        <v>-1.34</v>
      </c>
      <c r="DL193" s="228">
        <v>23.42</v>
      </c>
      <c r="DM193" s="228">
        <v>24.39</v>
      </c>
      <c r="DN193" s="228">
        <v>-0.97</v>
      </c>
      <c r="DO193" s="228">
        <v>-0.97</v>
      </c>
      <c r="DP193" s="228">
        <v>0.73</v>
      </c>
      <c r="DQ193" s="228">
        <v>0.7</v>
      </c>
      <c r="DR193" s="228">
        <v>0.03</v>
      </c>
      <c r="DS193" s="229">
        <v>4.2900000000000001E-2</v>
      </c>
      <c r="DT193" s="228">
        <v>200</v>
      </c>
      <c r="DU193" s="228">
        <v>170</v>
      </c>
      <c r="DV193" s="228">
        <v>0.49</v>
      </c>
      <c r="DW193" s="228">
        <v>0.49</v>
      </c>
      <c r="DX193" s="228">
        <v>0</v>
      </c>
      <c r="DY193" s="229">
        <v>0</v>
      </c>
      <c r="DZ193" s="229">
        <v>2.47E-2</v>
      </c>
      <c r="EA193" s="230">
        <v>5918000</v>
      </c>
      <c r="EB193" s="229">
        <v>5.4999999999999997E-3</v>
      </c>
      <c r="EC193" s="229">
        <v>2.47E-2</v>
      </c>
      <c r="ED193" s="228">
        <v>1.08</v>
      </c>
      <c r="EE193" s="229">
        <v>5.8999999999999999E-3</v>
      </c>
      <c r="EF193" s="230">
        <v>9441217</v>
      </c>
      <c r="EG193" s="230">
        <v>23467359</v>
      </c>
      <c r="EH193" s="229">
        <v>-0.59770000000000001</v>
      </c>
      <c r="EI193" s="229">
        <v>0.4163</v>
      </c>
      <c r="EJ193" s="231">
        <v>232510.36</v>
      </c>
      <c r="EK193" s="231">
        <v>106080.73</v>
      </c>
      <c r="EL193" s="231">
        <v>55773.29</v>
      </c>
      <c r="EM193" s="231">
        <v>23569</v>
      </c>
      <c r="EN193" s="231">
        <v>394364.38</v>
      </c>
      <c r="EO193" s="231">
        <v>1063057.01</v>
      </c>
      <c r="EP193" s="231">
        <v>-668692.63</v>
      </c>
      <c r="EQ193" s="229">
        <v>-0.629</v>
      </c>
      <c r="ER193" s="231">
        <v>198758</v>
      </c>
      <c r="ES193" s="231">
        <v>134199</v>
      </c>
      <c r="ET193" s="231">
        <v>466153</v>
      </c>
      <c r="EU193" s="231">
        <v>872935214</v>
      </c>
      <c r="EV193" s="231">
        <v>799109</v>
      </c>
      <c r="EW193" s="231">
        <v>784135</v>
      </c>
      <c r="EX193" s="231">
        <v>14974</v>
      </c>
      <c r="EY193" s="229">
        <v>1.9099999999999999E-2</v>
      </c>
      <c r="EZ193" s="229">
        <v>0.504</v>
      </c>
      <c r="FA193" s="227" t="s">
        <v>556</v>
      </c>
      <c r="FB193" s="161">
        <f t="shared" si="4"/>
        <v>0</v>
      </c>
    </row>
    <row r="194" spans="1:158" ht="17.25" thickBot="1" x14ac:dyDescent="0.3">
      <c r="A194" s="226">
        <v>46023</v>
      </c>
      <c r="B194" s="227" t="s">
        <v>221</v>
      </c>
      <c r="C194" s="227" t="s">
        <v>663</v>
      </c>
      <c r="D194" s="228">
        <v>800</v>
      </c>
      <c r="E194" s="228">
        <v>647.54999999999995</v>
      </c>
      <c r="F194" s="228">
        <v>646.79999999999995</v>
      </c>
      <c r="G194" s="228">
        <v>0.75</v>
      </c>
      <c r="H194" s="229">
        <v>1.1999999999999999E-3</v>
      </c>
      <c r="I194" s="228">
        <v>644.25</v>
      </c>
      <c r="J194" s="228">
        <v>643</v>
      </c>
      <c r="K194" s="228">
        <v>1.25</v>
      </c>
      <c r="L194" s="229">
        <v>1.9E-3</v>
      </c>
      <c r="M194" s="228">
        <v>647.54999999999995</v>
      </c>
      <c r="N194" s="228">
        <v>646.79999999999995</v>
      </c>
      <c r="O194" s="228">
        <v>0.75</v>
      </c>
      <c r="P194" s="229">
        <v>1.1999999999999999E-3</v>
      </c>
      <c r="Q194" s="228">
        <v>650.04999999999995</v>
      </c>
      <c r="R194" s="228">
        <v>649.85</v>
      </c>
      <c r="S194" s="228">
        <v>0.2</v>
      </c>
      <c r="T194" s="229">
        <v>2.9999999999999997E-4</v>
      </c>
      <c r="U194" s="228">
        <v>649.5</v>
      </c>
      <c r="V194" s="228">
        <v>649.65</v>
      </c>
      <c r="W194" s="228">
        <v>-0.15</v>
      </c>
      <c r="X194" s="229">
        <v>-2.0000000000000001E-4</v>
      </c>
      <c r="Y194" s="228">
        <v>3.3</v>
      </c>
      <c r="Z194" s="228">
        <v>3.8</v>
      </c>
      <c r="AA194" s="228">
        <v>-0.5</v>
      </c>
      <c r="AB194" s="229">
        <v>5.1000000000000004E-3</v>
      </c>
      <c r="AC194" s="228">
        <v>3.3</v>
      </c>
      <c r="AD194" s="228">
        <v>3.8</v>
      </c>
      <c r="AE194" s="228">
        <v>-0.5</v>
      </c>
      <c r="AF194" s="229">
        <v>5.1000000000000004E-3</v>
      </c>
      <c r="AG194" s="228">
        <v>5.8</v>
      </c>
      <c r="AH194" s="228">
        <v>6.85</v>
      </c>
      <c r="AI194" s="228">
        <v>-1.05</v>
      </c>
      <c r="AJ194" s="229">
        <v>8.9999999999999993E-3</v>
      </c>
      <c r="AK194" s="228">
        <v>5.25</v>
      </c>
      <c r="AL194" s="228">
        <v>6.65</v>
      </c>
      <c r="AM194" s="228">
        <v>-1.4</v>
      </c>
      <c r="AN194" s="229">
        <v>8.0999999999999996E-3</v>
      </c>
      <c r="AO194" s="228">
        <v>645.54</v>
      </c>
      <c r="AP194" s="228">
        <v>648.44000000000005</v>
      </c>
      <c r="AQ194" s="228">
        <v>0</v>
      </c>
      <c r="AR194" s="230">
        <v>1106400</v>
      </c>
      <c r="AS194" s="230">
        <v>1270400</v>
      </c>
      <c r="AT194" s="230">
        <v>-164000</v>
      </c>
      <c r="AU194" s="229">
        <v>-0.12909999999999999</v>
      </c>
      <c r="AV194" s="230">
        <v>979200</v>
      </c>
      <c r="AW194" s="230">
        <v>1136800</v>
      </c>
      <c r="AX194" s="230">
        <v>-157600</v>
      </c>
      <c r="AY194" s="229">
        <v>-0.1386</v>
      </c>
      <c r="AZ194" s="230">
        <v>120800</v>
      </c>
      <c r="BA194" s="230">
        <v>129600</v>
      </c>
      <c r="BB194" s="230">
        <v>-8800</v>
      </c>
      <c r="BC194" s="229">
        <v>-6.7900000000000002E-2</v>
      </c>
      <c r="BD194" s="230">
        <v>6400</v>
      </c>
      <c r="BE194" s="230">
        <v>4000</v>
      </c>
      <c r="BF194" s="230">
        <v>2400</v>
      </c>
      <c r="BG194" s="229">
        <v>0.6</v>
      </c>
      <c r="BH194" s="230">
        <v>1347200</v>
      </c>
      <c r="BI194" s="230">
        <v>2139200</v>
      </c>
      <c r="BJ194" s="230">
        <v>-792000</v>
      </c>
      <c r="BK194" s="229">
        <v>-0.37019999999999997</v>
      </c>
      <c r="BL194" s="230">
        <v>448800</v>
      </c>
      <c r="BM194" s="230">
        <v>1055200</v>
      </c>
      <c r="BN194" s="230">
        <v>-606400</v>
      </c>
      <c r="BO194" s="229">
        <v>-0.57469999999999999</v>
      </c>
      <c r="BP194" s="230">
        <v>2902400</v>
      </c>
      <c r="BQ194" s="230">
        <v>4464800</v>
      </c>
      <c r="BR194" s="230">
        <v>-1562400</v>
      </c>
      <c r="BS194" s="229">
        <v>-0.34989999999999999</v>
      </c>
      <c r="BT194" s="230">
        <v>387547</v>
      </c>
      <c r="BU194" s="230">
        <v>441810</v>
      </c>
      <c r="BV194" s="230">
        <v>-54263</v>
      </c>
      <c r="BW194" s="229">
        <v>-0.12280000000000001</v>
      </c>
      <c r="BX194" s="230">
        <v>12332800</v>
      </c>
      <c r="BY194" s="230">
        <v>12107200</v>
      </c>
      <c r="BZ194" s="230">
        <v>225600</v>
      </c>
      <c r="CA194" s="229">
        <v>1.8599999999999998E-2</v>
      </c>
      <c r="CB194" s="230">
        <v>11396000</v>
      </c>
      <c r="CC194" s="230">
        <v>11210400</v>
      </c>
      <c r="CD194" s="230">
        <v>185600</v>
      </c>
      <c r="CE194" s="229">
        <v>1.66E-2</v>
      </c>
      <c r="CF194" s="230">
        <v>928000</v>
      </c>
      <c r="CG194" s="230">
        <v>894400</v>
      </c>
      <c r="CH194" s="230">
        <v>33600</v>
      </c>
      <c r="CI194" s="229">
        <v>3.7600000000000001E-2</v>
      </c>
      <c r="CJ194" s="230">
        <v>8800</v>
      </c>
      <c r="CK194" s="230">
        <v>2400</v>
      </c>
      <c r="CL194" s="230">
        <v>6400</v>
      </c>
      <c r="CM194" s="229">
        <v>2.6667000000000001</v>
      </c>
      <c r="CN194" s="230">
        <v>3354400</v>
      </c>
      <c r="CO194" s="230">
        <v>3188000</v>
      </c>
      <c r="CP194" s="230">
        <v>166400</v>
      </c>
      <c r="CQ194" s="229">
        <v>5.2200000000000003E-2</v>
      </c>
      <c r="CR194" s="230">
        <v>2776000</v>
      </c>
      <c r="CS194" s="230">
        <v>2701600</v>
      </c>
      <c r="CT194" s="230">
        <v>74400</v>
      </c>
      <c r="CU194" s="229">
        <v>2.75E-2</v>
      </c>
      <c r="CV194" s="230">
        <v>18463200</v>
      </c>
      <c r="CW194" s="230">
        <v>17996800</v>
      </c>
      <c r="CX194" s="230">
        <v>466400</v>
      </c>
      <c r="CY194" s="229">
        <v>2.5899999999999999E-2</v>
      </c>
      <c r="CZ194" s="228">
        <v>22.05</v>
      </c>
      <c r="DA194" s="228">
        <v>22.16</v>
      </c>
      <c r="DB194" s="228">
        <v>-0.11</v>
      </c>
      <c r="DC194" s="228">
        <v>-0.11</v>
      </c>
      <c r="DD194" s="228">
        <v>29.68</v>
      </c>
      <c r="DE194" s="228">
        <v>29.76</v>
      </c>
      <c r="DF194" s="228">
        <v>-7.63</v>
      </c>
      <c r="DG194" s="228">
        <v>-0.08</v>
      </c>
      <c r="DH194" s="228">
        <v>22.12</v>
      </c>
      <c r="DI194" s="228">
        <v>22.24</v>
      </c>
      <c r="DJ194" s="228">
        <v>-0.12</v>
      </c>
      <c r="DK194" s="228">
        <v>-0.12</v>
      </c>
      <c r="DL194" s="228">
        <v>21.84</v>
      </c>
      <c r="DM194" s="228">
        <v>22</v>
      </c>
      <c r="DN194" s="228">
        <v>-0.16</v>
      </c>
      <c r="DO194" s="228">
        <v>-0.16</v>
      </c>
      <c r="DP194" s="228">
        <v>0.83</v>
      </c>
      <c r="DQ194" s="228">
        <v>0.85</v>
      </c>
      <c r="DR194" s="228">
        <v>-0.02</v>
      </c>
      <c r="DS194" s="229">
        <v>-2.35E-2</v>
      </c>
      <c r="DT194" s="228">
        <v>700</v>
      </c>
      <c r="DU194" s="228">
        <v>650</v>
      </c>
      <c r="DV194" s="228">
        <v>0.33</v>
      </c>
      <c r="DW194" s="228">
        <v>0.49</v>
      </c>
      <c r="DX194" s="228">
        <v>-0.16</v>
      </c>
      <c r="DY194" s="229">
        <v>-0.32650000000000001</v>
      </c>
      <c r="DZ194" s="229">
        <v>7.5999999999999998E-2</v>
      </c>
      <c r="EA194" s="230">
        <v>896800</v>
      </c>
      <c r="EB194" s="229">
        <v>3.8999999999999998E-3</v>
      </c>
      <c r="EC194" s="229">
        <v>7.5999999999999998E-2</v>
      </c>
      <c r="ED194" s="228">
        <v>2.9</v>
      </c>
      <c r="EE194" s="229">
        <v>4.4999999999999997E-3</v>
      </c>
      <c r="EF194" s="230">
        <v>150266</v>
      </c>
      <c r="EG194" s="230">
        <v>196193</v>
      </c>
      <c r="EH194" s="229">
        <v>-0.2341</v>
      </c>
      <c r="EI194" s="229">
        <v>0.38769999999999999</v>
      </c>
      <c r="EJ194" s="231">
        <v>9133.51</v>
      </c>
      <c r="EK194" s="231">
        <v>2859.47</v>
      </c>
      <c r="EL194" s="231">
        <v>7145.98</v>
      </c>
      <c r="EM194" s="231">
        <v>7956</v>
      </c>
      <c r="EN194" s="231">
        <v>19138.96</v>
      </c>
      <c r="EO194" s="231">
        <v>29445.08</v>
      </c>
      <c r="EP194" s="231">
        <v>-10306.120000000001</v>
      </c>
      <c r="EQ194" s="229">
        <v>-0.35</v>
      </c>
      <c r="ER194" s="231">
        <v>23070</v>
      </c>
      <c r="ES194" s="231">
        <v>18049</v>
      </c>
      <c r="ET194" s="231">
        <v>79884</v>
      </c>
      <c r="EU194" s="231">
        <v>25116370</v>
      </c>
      <c r="EV194" s="231">
        <v>121003</v>
      </c>
      <c r="EW194" s="231">
        <v>117875</v>
      </c>
      <c r="EX194" s="231">
        <v>3128</v>
      </c>
      <c r="EY194" s="229">
        <v>2.6499999999999999E-2</v>
      </c>
      <c r="EZ194" s="229">
        <v>0.73509999999999998</v>
      </c>
      <c r="FA194" s="227" t="s">
        <v>555</v>
      </c>
      <c r="FB194" s="161">
        <f t="shared" si="4"/>
        <v>0</v>
      </c>
    </row>
    <row r="195" spans="1:158" ht="17.25" thickBot="1" x14ac:dyDescent="0.3">
      <c r="A195" s="226">
        <v>46023</v>
      </c>
      <c r="B195" s="227" t="s">
        <v>221</v>
      </c>
      <c r="C195" s="227" t="s">
        <v>295</v>
      </c>
      <c r="D195" s="228">
        <v>175</v>
      </c>
      <c r="E195" s="231">
        <v>3236.9</v>
      </c>
      <c r="F195" s="231">
        <v>3220.5</v>
      </c>
      <c r="G195" s="228">
        <v>16.399999999999999</v>
      </c>
      <c r="H195" s="229">
        <v>5.1000000000000004E-3</v>
      </c>
      <c r="I195" s="231">
        <v>3227.4</v>
      </c>
      <c r="J195" s="231">
        <v>3206.2</v>
      </c>
      <c r="K195" s="228">
        <v>21.2</v>
      </c>
      <c r="L195" s="229">
        <v>6.6E-3</v>
      </c>
      <c r="M195" s="231">
        <v>3236.9</v>
      </c>
      <c r="N195" s="231">
        <v>3220.5</v>
      </c>
      <c r="O195" s="228">
        <v>16.399999999999999</v>
      </c>
      <c r="P195" s="229">
        <v>5.1000000000000004E-3</v>
      </c>
      <c r="Q195" s="231">
        <v>3256.3</v>
      </c>
      <c r="R195" s="231">
        <v>3240</v>
      </c>
      <c r="S195" s="228">
        <v>16.3</v>
      </c>
      <c r="T195" s="229">
        <v>5.0000000000000001E-3</v>
      </c>
      <c r="U195" s="231">
        <v>3275.6</v>
      </c>
      <c r="V195" s="231">
        <v>3260.9</v>
      </c>
      <c r="W195" s="228">
        <v>14.7</v>
      </c>
      <c r="X195" s="229">
        <v>4.4999999999999997E-3</v>
      </c>
      <c r="Y195" s="228">
        <v>9.5</v>
      </c>
      <c r="Z195" s="228">
        <v>14.3</v>
      </c>
      <c r="AA195" s="228">
        <v>-4.8</v>
      </c>
      <c r="AB195" s="229">
        <v>2.8999999999999998E-3</v>
      </c>
      <c r="AC195" s="228">
        <v>9.5</v>
      </c>
      <c r="AD195" s="228">
        <v>14.3</v>
      </c>
      <c r="AE195" s="228">
        <v>-4.8</v>
      </c>
      <c r="AF195" s="229">
        <v>2.8999999999999998E-3</v>
      </c>
      <c r="AG195" s="228">
        <v>28.9</v>
      </c>
      <c r="AH195" s="228">
        <v>33.799999999999997</v>
      </c>
      <c r="AI195" s="228">
        <v>-4.9000000000000004</v>
      </c>
      <c r="AJ195" s="229">
        <v>8.9999999999999993E-3</v>
      </c>
      <c r="AK195" s="228">
        <v>48.2</v>
      </c>
      <c r="AL195" s="228">
        <v>54.7</v>
      </c>
      <c r="AM195" s="228">
        <v>-6.5</v>
      </c>
      <c r="AN195" s="229">
        <v>1.49E-2</v>
      </c>
      <c r="AO195" s="231">
        <v>3230.1</v>
      </c>
      <c r="AP195" s="231">
        <v>3250.49</v>
      </c>
      <c r="AQ195" s="228">
        <v>0</v>
      </c>
      <c r="AR195" s="230">
        <v>1501500</v>
      </c>
      <c r="AS195" s="230">
        <v>2577925</v>
      </c>
      <c r="AT195" s="230">
        <v>-1076425</v>
      </c>
      <c r="AU195" s="229">
        <v>-0.41760000000000003</v>
      </c>
      <c r="AV195" s="230">
        <v>1400350</v>
      </c>
      <c r="AW195" s="230">
        <v>2412550</v>
      </c>
      <c r="AX195" s="230">
        <v>-1012200</v>
      </c>
      <c r="AY195" s="229">
        <v>-0.41959999999999997</v>
      </c>
      <c r="AZ195" s="230">
        <v>67200</v>
      </c>
      <c r="BA195" s="230">
        <v>140700</v>
      </c>
      <c r="BB195" s="230">
        <v>-73500</v>
      </c>
      <c r="BC195" s="229">
        <v>-0.52239999999999998</v>
      </c>
      <c r="BD195" s="230">
        <v>33950</v>
      </c>
      <c r="BE195" s="230">
        <v>24675</v>
      </c>
      <c r="BF195" s="230">
        <v>9275</v>
      </c>
      <c r="BG195" s="229">
        <v>0.37590000000000001</v>
      </c>
      <c r="BH195" s="230">
        <v>7445900</v>
      </c>
      <c r="BI195" s="230">
        <v>10713850</v>
      </c>
      <c r="BJ195" s="230">
        <v>-3267950</v>
      </c>
      <c r="BK195" s="229">
        <v>-0.30499999999999999</v>
      </c>
      <c r="BL195" s="230">
        <v>3224200</v>
      </c>
      <c r="BM195" s="230">
        <v>5943175</v>
      </c>
      <c r="BN195" s="230">
        <v>-2718975</v>
      </c>
      <c r="BO195" s="229">
        <v>-0.45750000000000002</v>
      </c>
      <c r="BP195" s="230">
        <v>12171600</v>
      </c>
      <c r="BQ195" s="230">
        <v>19234950</v>
      </c>
      <c r="BR195" s="230">
        <v>-7063350</v>
      </c>
      <c r="BS195" s="229">
        <v>-0.36720000000000003</v>
      </c>
      <c r="BT195" s="230">
        <v>1476307</v>
      </c>
      <c r="BU195" s="230">
        <v>3489361</v>
      </c>
      <c r="BV195" s="230">
        <v>-2013054</v>
      </c>
      <c r="BW195" s="229">
        <v>-0.57689999999999997</v>
      </c>
      <c r="BX195" s="230">
        <v>20348475</v>
      </c>
      <c r="BY195" s="230">
        <v>20089650</v>
      </c>
      <c r="BZ195" s="230">
        <v>258825</v>
      </c>
      <c r="CA195" s="229">
        <v>1.29E-2</v>
      </c>
      <c r="CB195" s="230">
        <v>19782525</v>
      </c>
      <c r="CC195" s="230">
        <v>19552925</v>
      </c>
      <c r="CD195" s="230">
        <v>229600</v>
      </c>
      <c r="CE195" s="229">
        <v>1.17E-2</v>
      </c>
      <c r="CF195" s="230">
        <v>533050</v>
      </c>
      <c r="CG195" s="230">
        <v>519400</v>
      </c>
      <c r="CH195" s="230">
        <v>13650</v>
      </c>
      <c r="CI195" s="229">
        <v>2.63E-2</v>
      </c>
      <c r="CJ195" s="230">
        <v>32900</v>
      </c>
      <c r="CK195" s="230">
        <v>17325</v>
      </c>
      <c r="CL195" s="230">
        <v>15575</v>
      </c>
      <c r="CM195" s="229">
        <v>0.89900000000000002</v>
      </c>
      <c r="CN195" s="230">
        <v>8494325</v>
      </c>
      <c r="CO195" s="230">
        <v>7795200</v>
      </c>
      <c r="CP195" s="230">
        <v>699125</v>
      </c>
      <c r="CQ195" s="229">
        <v>8.9700000000000002E-2</v>
      </c>
      <c r="CR195" s="230">
        <v>5580225</v>
      </c>
      <c r="CS195" s="230">
        <v>5293225</v>
      </c>
      <c r="CT195" s="230">
        <v>287000</v>
      </c>
      <c r="CU195" s="229">
        <v>5.4199999999999998E-2</v>
      </c>
      <c r="CV195" s="230">
        <v>34423025</v>
      </c>
      <c r="CW195" s="230">
        <v>33178075</v>
      </c>
      <c r="CX195" s="230">
        <v>1244950</v>
      </c>
      <c r="CY195" s="229">
        <v>3.7499999999999999E-2</v>
      </c>
      <c r="CZ195" s="228">
        <v>19.3</v>
      </c>
      <c r="DA195" s="228">
        <v>20.66</v>
      </c>
      <c r="DB195" s="228">
        <v>-1.36</v>
      </c>
      <c r="DC195" s="228">
        <v>-1.36</v>
      </c>
      <c r="DD195" s="228">
        <v>23.25</v>
      </c>
      <c r="DE195" s="228">
        <v>23.29</v>
      </c>
      <c r="DF195" s="228">
        <v>-3.95</v>
      </c>
      <c r="DG195" s="228">
        <v>-0.04</v>
      </c>
      <c r="DH195" s="228">
        <v>19.100000000000001</v>
      </c>
      <c r="DI195" s="228">
        <v>20.59</v>
      </c>
      <c r="DJ195" s="228">
        <v>-1.49</v>
      </c>
      <c r="DK195" s="228">
        <v>-1.49</v>
      </c>
      <c r="DL195" s="228">
        <v>19.79</v>
      </c>
      <c r="DM195" s="228">
        <v>20.78</v>
      </c>
      <c r="DN195" s="228">
        <v>-0.99</v>
      </c>
      <c r="DO195" s="228">
        <v>-0.99</v>
      </c>
      <c r="DP195" s="228">
        <v>0.66</v>
      </c>
      <c r="DQ195" s="228">
        <v>0.68</v>
      </c>
      <c r="DR195" s="228">
        <v>-0.02</v>
      </c>
      <c r="DS195" s="229">
        <v>-2.9399999999999999E-2</v>
      </c>
      <c r="DT195" s="231">
        <v>3300</v>
      </c>
      <c r="DU195" s="231">
        <v>3200</v>
      </c>
      <c r="DV195" s="228">
        <v>0.43</v>
      </c>
      <c r="DW195" s="228">
        <v>0.55000000000000004</v>
      </c>
      <c r="DX195" s="228">
        <v>-0.12</v>
      </c>
      <c r="DY195" s="229">
        <v>-0.21820000000000001</v>
      </c>
      <c r="DZ195" s="229">
        <v>2.7799999999999998E-2</v>
      </c>
      <c r="EA195" s="230">
        <v>536725</v>
      </c>
      <c r="EB195" s="229">
        <v>6.0000000000000001E-3</v>
      </c>
      <c r="EC195" s="229">
        <v>2.7799999999999998E-2</v>
      </c>
      <c r="ED195" s="228">
        <v>20.39</v>
      </c>
      <c r="EE195" s="229">
        <v>6.3E-3</v>
      </c>
      <c r="EF195" s="230">
        <v>548908</v>
      </c>
      <c r="EG195" s="230">
        <v>2506965</v>
      </c>
      <c r="EH195" s="229">
        <v>-0.78100000000000003</v>
      </c>
      <c r="EI195" s="229">
        <v>0.37180000000000002</v>
      </c>
      <c r="EJ195" s="231">
        <v>250431.29</v>
      </c>
      <c r="EK195" s="231">
        <v>102083.13</v>
      </c>
      <c r="EL195" s="231">
        <v>48527.77</v>
      </c>
      <c r="EM195" s="231">
        <v>46466</v>
      </c>
      <c r="EN195" s="231">
        <v>401042.19</v>
      </c>
      <c r="EO195" s="231">
        <v>633924.94999999995</v>
      </c>
      <c r="EP195" s="231">
        <v>-232882.76</v>
      </c>
      <c r="EQ195" s="229">
        <v>-0.3674</v>
      </c>
      <c r="ER195" s="231">
        <v>285090</v>
      </c>
      <c r="ES195" s="231">
        <v>177976</v>
      </c>
      <c r="ET195" s="231">
        <v>658776</v>
      </c>
      <c r="EU195" s="231">
        <v>126444612</v>
      </c>
      <c r="EV195" s="231">
        <v>1121842</v>
      </c>
      <c r="EW195" s="231">
        <v>1077716</v>
      </c>
      <c r="EX195" s="231">
        <v>44126</v>
      </c>
      <c r="EY195" s="229">
        <v>4.0899999999999999E-2</v>
      </c>
      <c r="EZ195" s="229">
        <v>0.2722</v>
      </c>
      <c r="FA195" s="227" t="s">
        <v>555</v>
      </c>
      <c r="FB195" s="161">
        <f t="shared" ref="FB195:FB258" si="5">BX261-CB261</f>
        <v>0</v>
      </c>
    </row>
    <row r="196" spans="1:158" ht="17.25" thickBot="1" x14ac:dyDescent="0.3">
      <c r="A196" s="226">
        <v>46023</v>
      </c>
      <c r="B196" s="227" t="s">
        <v>221</v>
      </c>
      <c r="C196" s="227" t="s">
        <v>296</v>
      </c>
      <c r="D196" s="228">
        <v>600</v>
      </c>
      <c r="E196" s="231">
        <v>1617.7</v>
      </c>
      <c r="F196" s="231">
        <v>1599.9</v>
      </c>
      <c r="G196" s="228">
        <v>17.8</v>
      </c>
      <c r="H196" s="229">
        <v>1.11E-2</v>
      </c>
      <c r="I196" s="231">
        <v>1607.7</v>
      </c>
      <c r="J196" s="231">
        <v>1590.9</v>
      </c>
      <c r="K196" s="228">
        <v>16.8</v>
      </c>
      <c r="L196" s="229">
        <v>1.06E-2</v>
      </c>
      <c r="M196" s="231">
        <v>1617.7</v>
      </c>
      <c r="N196" s="231">
        <v>1599.9</v>
      </c>
      <c r="O196" s="228">
        <v>17.8</v>
      </c>
      <c r="P196" s="229">
        <v>1.11E-2</v>
      </c>
      <c r="Q196" s="231">
        <v>1626.6</v>
      </c>
      <c r="R196" s="231">
        <v>1609.5</v>
      </c>
      <c r="S196" s="228">
        <v>17.100000000000001</v>
      </c>
      <c r="T196" s="229">
        <v>1.06E-2</v>
      </c>
      <c r="U196" s="231">
        <v>1637.3</v>
      </c>
      <c r="V196" s="231">
        <v>1619.2</v>
      </c>
      <c r="W196" s="228">
        <v>18.100000000000001</v>
      </c>
      <c r="X196" s="229">
        <v>1.12E-2</v>
      </c>
      <c r="Y196" s="228">
        <v>10</v>
      </c>
      <c r="Z196" s="228">
        <v>9</v>
      </c>
      <c r="AA196" s="228">
        <v>1</v>
      </c>
      <c r="AB196" s="229">
        <v>6.1999999999999998E-3</v>
      </c>
      <c r="AC196" s="228">
        <v>10</v>
      </c>
      <c r="AD196" s="228">
        <v>9</v>
      </c>
      <c r="AE196" s="228">
        <v>1</v>
      </c>
      <c r="AF196" s="229">
        <v>6.1999999999999998E-3</v>
      </c>
      <c r="AG196" s="228">
        <v>18.899999999999999</v>
      </c>
      <c r="AH196" s="228">
        <v>18.600000000000001</v>
      </c>
      <c r="AI196" s="228">
        <v>0.3</v>
      </c>
      <c r="AJ196" s="229">
        <v>1.18E-2</v>
      </c>
      <c r="AK196" s="228">
        <v>29.6</v>
      </c>
      <c r="AL196" s="228">
        <v>28.3</v>
      </c>
      <c r="AM196" s="228">
        <v>1.3</v>
      </c>
      <c r="AN196" s="229">
        <v>1.84E-2</v>
      </c>
      <c r="AO196" s="231">
        <v>1611.88</v>
      </c>
      <c r="AP196" s="231">
        <v>1621.32</v>
      </c>
      <c r="AQ196" s="228">
        <v>0</v>
      </c>
      <c r="AR196" s="230">
        <v>1147200</v>
      </c>
      <c r="AS196" s="230">
        <v>1788600</v>
      </c>
      <c r="AT196" s="230">
        <v>-641400</v>
      </c>
      <c r="AU196" s="229">
        <v>-0.35859999999999997</v>
      </c>
      <c r="AV196" s="230">
        <v>1089000</v>
      </c>
      <c r="AW196" s="230">
        <v>1746600</v>
      </c>
      <c r="AX196" s="230">
        <v>-657600</v>
      </c>
      <c r="AY196" s="229">
        <v>-0.3765</v>
      </c>
      <c r="AZ196" s="230">
        <v>45600</v>
      </c>
      <c r="BA196" s="230">
        <v>40200</v>
      </c>
      <c r="BB196" s="230">
        <v>5400</v>
      </c>
      <c r="BC196" s="229">
        <v>0.1343</v>
      </c>
      <c r="BD196" s="230">
        <v>12600</v>
      </c>
      <c r="BE196" s="230">
        <v>1800</v>
      </c>
      <c r="BF196" s="230">
        <v>10800</v>
      </c>
      <c r="BG196" s="229">
        <v>6</v>
      </c>
      <c r="BH196" s="230">
        <v>4355400</v>
      </c>
      <c r="BI196" s="230">
        <v>4329600</v>
      </c>
      <c r="BJ196" s="230">
        <v>25800</v>
      </c>
      <c r="BK196" s="229">
        <v>6.0000000000000001E-3</v>
      </c>
      <c r="BL196" s="230">
        <v>1446600</v>
      </c>
      <c r="BM196" s="230">
        <v>2645400</v>
      </c>
      <c r="BN196" s="230">
        <v>-1198800</v>
      </c>
      <c r="BO196" s="229">
        <v>-0.45319999999999999</v>
      </c>
      <c r="BP196" s="230">
        <v>6949200</v>
      </c>
      <c r="BQ196" s="230">
        <v>8763600</v>
      </c>
      <c r="BR196" s="230">
        <v>-1814400</v>
      </c>
      <c r="BS196" s="229">
        <v>-0.20699999999999999</v>
      </c>
      <c r="BT196" s="230">
        <v>589672</v>
      </c>
      <c r="BU196" s="230">
        <v>748457</v>
      </c>
      <c r="BV196" s="230">
        <v>-158785</v>
      </c>
      <c r="BW196" s="229">
        <v>-0.21210000000000001</v>
      </c>
      <c r="BX196" s="230">
        <v>19108800</v>
      </c>
      <c r="BY196" s="230">
        <v>19083600</v>
      </c>
      <c r="BZ196" s="230">
        <v>25200</v>
      </c>
      <c r="CA196" s="229">
        <v>1.2999999999999999E-3</v>
      </c>
      <c r="CB196" s="230">
        <v>18969600</v>
      </c>
      <c r="CC196" s="230">
        <v>18955200</v>
      </c>
      <c r="CD196" s="230">
        <v>14400</v>
      </c>
      <c r="CE196" s="229">
        <v>8.0000000000000004E-4</v>
      </c>
      <c r="CF196" s="230">
        <v>129600</v>
      </c>
      <c r="CG196" s="230">
        <v>126600</v>
      </c>
      <c r="CH196" s="230">
        <v>3000</v>
      </c>
      <c r="CI196" s="229">
        <v>2.3699999999999999E-2</v>
      </c>
      <c r="CJ196" s="230">
        <v>9600</v>
      </c>
      <c r="CK196" s="230">
        <v>1800</v>
      </c>
      <c r="CL196" s="230">
        <v>7800</v>
      </c>
      <c r="CM196" s="229">
        <v>4.3333000000000004</v>
      </c>
      <c r="CN196" s="230">
        <v>3369000</v>
      </c>
      <c r="CO196" s="230">
        <v>2884800</v>
      </c>
      <c r="CP196" s="230">
        <v>484200</v>
      </c>
      <c r="CQ196" s="229">
        <v>0.1678</v>
      </c>
      <c r="CR196" s="230">
        <v>2264400</v>
      </c>
      <c r="CS196" s="230">
        <v>2032800</v>
      </c>
      <c r="CT196" s="230">
        <v>231600</v>
      </c>
      <c r="CU196" s="229">
        <v>0.1139</v>
      </c>
      <c r="CV196" s="230">
        <v>24742200</v>
      </c>
      <c r="CW196" s="230">
        <v>24001200</v>
      </c>
      <c r="CX196" s="230">
        <v>741000</v>
      </c>
      <c r="CY196" s="229">
        <v>3.09E-2</v>
      </c>
      <c r="CZ196" s="228">
        <v>22.82</v>
      </c>
      <c r="DA196" s="228">
        <v>22.98</v>
      </c>
      <c r="DB196" s="228">
        <v>-0.16</v>
      </c>
      <c r="DC196" s="228">
        <v>-0.16</v>
      </c>
      <c r="DD196" s="228">
        <v>28.19</v>
      </c>
      <c r="DE196" s="228">
        <v>28.23</v>
      </c>
      <c r="DF196" s="228">
        <v>-5.37</v>
      </c>
      <c r="DG196" s="228">
        <v>-0.04</v>
      </c>
      <c r="DH196" s="228">
        <v>22.58</v>
      </c>
      <c r="DI196" s="228">
        <v>22.84</v>
      </c>
      <c r="DJ196" s="228">
        <v>-0.26</v>
      </c>
      <c r="DK196" s="228">
        <v>-0.26</v>
      </c>
      <c r="DL196" s="228">
        <v>23.56</v>
      </c>
      <c r="DM196" s="228">
        <v>23.21</v>
      </c>
      <c r="DN196" s="228">
        <v>0.35</v>
      </c>
      <c r="DO196" s="228">
        <v>0.35</v>
      </c>
      <c r="DP196" s="228">
        <v>0.67</v>
      </c>
      <c r="DQ196" s="228">
        <v>0.7</v>
      </c>
      <c r="DR196" s="228">
        <v>-0.03</v>
      </c>
      <c r="DS196" s="229">
        <v>-4.2900000000000001E-2</v>
      </c>
      <c r="DT196" s="231">
        <v>1800</v>
      </c>
      <c r="DU196" s="231">
        <v>1500</v>
      </c>
      <c r="DV196" s="228">
        <v>0.33</v>
      </c>
      <c r="DW196" s="228">
        <v>0.61</v>
      </c>
      <c r="DX196" s="228">
        <v>-0.28000000000000003</v>
      </c>
      <c r="DY196" s="229">
        <v>-0.45900000000000002</v>
      </c>
      <c r="DZ196" s="229">
        <v>7.3000000000000001E-3</v>
      </c>
      <c r="EA196" s="230">
        <v>128400</v>
      </c>
      <c r="EB196" s="229">
        <v>5.4999999999999997E-3</v>
      </c>
      <c r="EC196" s="229">
        <v>7.3000000000000001E-3</v>
      </c>
      <c r="ED196" s="228">
        <v>9.44</v>
      </c>
      <c r="EE196" s="229">
        <v>5.8999999999999999E-3</v>
      </c>
      <c r="EF196" s="230">
        <v>181736</v>
      </c>
      <c r="EG196" s="230">
        <v>386031</v>
      </c>
      <c r="EH196" s="229">
        <v>-0.5292</v>
      </c>
      <c r="EI196" s="229">
        <v>0.30819999999999997</v>
      </c>
      <c r="EJ196" s="231">
        <v>73278.28</v>
      </c>
      <c r="EK196" s="231">
        <v>22872.73</v>
      </c>
      <c r="EL196" s="231">
        <v>18498.64</v>
      </c>
      <c r="EM196" s="231">
        <v>11833</v>
      </c>
      <c r="EN196" s="231">
        <v>114649.65</v>
      </c>
      <c r="EO196" s="231">
        <v>143957.13</v>
      </c>
      <c r="EP196" s="231">
        <v>-29307.48</v>
      </c>
      <c r="EQ196" s="229">
        <v>-0.2036</v>
      </c>
      <c r="ER196" s="231">
        <v>56635</v>
      </c>
      <c r="ES196" s="231">
        <v>35014</v>
      </c>
      <c r="ET196" s="231">
        <v>309136</v>
      </c>
      <c r="EU196" s="231">
        <v>80031540</v>
      </c>
      <c r="EV196" s="231">
        <v>400785</v>
      </c>
      <c r="EW196" s="231">
        <v>385110</v>
      </c>
      <c r="EX196" s="231">
        <v>15675</v>
      </c>
      <c r="EY196" s="229">
        <v>4.07E-2</v>
      </c>
      <c r="EZ196" s="229">
        <v>0.30919999999999997</v>
      </c>
      <c r="FA196" s="227" t="s">
        <v>555</v>
      </c>
      <c r="FB196" s="161">
        <f t="shared" si="5"/>
        <v>0</v>
      </c>
    </row>
    <row r="197" spans="1:158" ht="17.25" thickBot="1" x14ac:dyDescent="0.3">
      <c r="A197" s="226">
        <v>46023</v>
      </c>
      <c r="B197" s="227" t="s">
        <v>184</v>
      </c>
      <c r="C197" s="227" t="s">
        <v>595</v>
      </c>
      <c r="D197" s="228">
        <v>200</v>
      </c>
      <c r="E197" s="231">
        <v>2635.5</v>
      </c>
      <c r="F197" s="231">
        <v>2631.7</v>
      </c>
      <c r="G197" s="228">
        <v>3.8</v>
      </c>
      <c r="H197" s="229">
        <v>1.4E-3</v>
      </c>
      <c r="I197" s="231">
        <v>2622.9</v>
      </c>
      <c r="J197" s="231">
        <v>2614.1</v>
      </c>
      <c r="K197" s="228">
        <v>8.8000000000000007</v>
      </c>
      <c r="L197" s="229">
        <v>3.3999999999999998E-3</v>
      </c>
      <c r="M197" s="231">
        <v>2635.5</v>
      </c>
      <c r="N197" s="231">
        <v>2631.7</v>
      </c>
      <c r="O197" s="228">
        <v>3.8</v>
      </c>
      <c r="P197" s="229">
        <v>1.4E-3</v>
      </c>
      <c r="Q197" s="231">
        <v>2654.6</v>
      </c>
      <c r="R197" s="231">
        <v>2645.9</v>
      </c>
      <c r="S197" s="228">
        <v>8.6999999999999993</v>
      </c>
      <c r="T197" s="229">
        <v>3.3E-3</v>
      </c>
      <c r="U197" s="228">
        <v>0</v>
      </c>
      <c r="V197" s="228">
        <v>0</v>
      </c>
      <c r="W197" s="228">
        <v>0</v>
      </c>
      <c r="X197" s="229">
        <v>0</v>
      </c>
      <c r="Y197" s="228">
        <v>12.6</v>
      </c>
      <c r="Z197" s="228">
        <v>17.600000000000001</v>
      </c>
      <c r="AA197" s="228">
        <v>-5</v>
      </c>
      <c r="AB197" s="229">
        <v>4.7999999999999996E-3</v>
      </c>
      <c r="AC197" s="228">
        <v>12.6</v>
      </c>
      <c r="AD197" s="228">
        <v>17.600000000000001</v>
      </c>
      <c r="AE197" s="228">
        <v>-5</v>
      </c>
      <c r="AF197" s="229">
        <v>4.7999999999999996E-3</v>
      </c>
      <c r="AG197" s="228">
        <v>31.7</v>
      </c>
      <c r="AH197" s="228">
        <v>31.8</v>
      </c>
      <c r="AI197" s="228">
        <v>-0.1</v>
      </c>
      <c r="AJ197" s="229">
        <v>1.21E-2</v>
      </c>
      <c r="AK197" s="228">
        <v>0</v>
      </c>
      <c r="AL197" s="228">
        <v>0</v>
      </c>
      <c r="AM197" s="228">
        <v>0</v>
      </c>
      <c r="AN197" s="229">
        <v>0</v>
      </c>
      <c r="AO197" s="231">
        <v>2637.07</v>
      </c>
      <c r="AP197" s="231">
        <v>2656.45</v>
      </c>
      <c r="AQ197" s="228">
        <v>0</v>
      </c>
      <c r="AR197" s="230">
        <v>267000</v>
      </c>
      <c r="AS197" s="230">
        <v>346600</v>
      </c>
      <c r="AT197" s="230">
        <v>-79600</v>
      </c>
      <c r="AU197" s="229">
        <v>-0.22969999999999999</v>
      </c>
      <c r="AV197" s="230">
        <v>259400</v>
      </c>
      <c r="AW197" s="230">
        <v>340200</v>
      </c>
      <c r="AX197" s="230">
        <v>-80800</v>
      </c>
      <c r="AY197" s="229">
        <v>-0.23749999999999999</v>
      </c>
      <c r="AZ197" s="230">
        <v>7600</v>
      </c>
      <c r="BA197" s="230">
        <v>6400</v>
      </c>
      <c r="BB197" s="230">
        <v>1200</v>
      </c>
      <c r="BC197" s="229">
        <v>0.1875</v>
      </c>
      <c r="BD197" s="228">
        <v>0</v>
      </c>
      <c r="BE197" s="228">
        <v>0</v>
      </c>
      <c r="BF197" s="228">
        <v>0</v>
      </c>
      <c r="BG197" s="229">
        <v>0</v>
      </c>
      <c r="BH197" s="230">
        <v>500200</v>
      </c>
      <c r="BI197" s="230">
        <v>551600</v>
      </c>
      <c r="BJ197" s="230">
        <v>-51400</v>
      </c>
      <c r="BK197" s="229">
        <v>-9.3200000000000005E-2</v>
      </c>
      <c r="BL197" s="230">
        <v>180800</v>
      </c>
      <c r="BM197" s="230">
        <v>211800</v>
      </c>
      <c r="BN197" s="230">
        <v>-31000</v>
      </c>
      <c r="BO197" s="229">
        <v>-0.1464</v>
      </c>
      <c r="BP197" s="230">
        <v>948000</v>
      </c>
      <c r="BQ197" s="230">
        <v>1110000</v>
      </c>
      <c r="BR197" s="230">
        <v>-162000</v>
      </c>
      <c r="BS197" s="229">
        <v>-0.1459</v>
      </c>
      <c r="BT197" s="230">
        <v>158317</v>
      </c>
      <c r="BU197" s="230">
        <v>147560</v>
      </c>
      <c r="BV197" s="230">
        <v>10757</v>
      </c>
      <c r="BW197" s="229">
        <v>7.2900000000000006E-2</v>
      </c>
      <c r="BX197" s="230">
        <v>3566800</v>
      </c>
      <c r="BY197" s="230">
        <v>3529800</v>
      </c>
      <c r="BZ197" s="230">
        <v>37000</v>
      </c>
      <c r="CA197" s="229">
        <v>1.0500000000000001E-2</v>
      </c>
      <c r="CB197" s="230">
        <v>3531800</v>
      </c>
      <c r="CC197" s="230">
        <v>3495800</v>
      </c>
      <c r="CD197" s="230">
        <v>36000</v>
      </c>
      <c r="CE197" s="229">
        <v>1.03E-2</v>
      </c>
      <c r="CF197" s="230">
        <v>35000</v>
      </c>
      <c r="CG197" s="230">
        <v>34000</v>
      </c>
      <c r="CH197" s="230">
        <v>1000</v>
      </c>
      <c r="CI197" s="229">
        <v>2.9399999999999999E-2</v>
      </c>
      <c r="CJ197" s="228">
        <v>0</v>
      </c>
      <c r="CK197" s="228">
        <v>0</v>
      </c>
      <c r="CL197" s="228">
        <v>0</v>
      </c>
      <c r="CM197" s="229">
        <v>0</v>
      </c>
      <c r="CN197" s="230">
        <v>471200</v>
      </c>
      <c r="CO197" s="230">
        <v>344800</v>
      </c>
      <c r="CP197" s="230">
        <v>126400</v>
      </c>
      <c r="CQ197" s="229">
        <v>0.36659999999999998</v>
      </c>
      <c r="CR197" s="230">
        <v>362000</v>
      </c>
      <c r="CS197" s="230">
        <v>321200</v>
      </c>
      <c r="CT197" s="230">
        <v>40800</v>
      </c>
      <c r="CU197" s="229">
        <v>0.127</v>
      </c>
      <c r="CV197" s="230">
        <v>4400000</v>
      </c>
      <c r="CW197" s="230">
        <v>4195800</v>
      </c>
      <c r="CX197" s="230">
        <v>204200</v>
      </c>
      <c r="CY197" s="229">
        <v>4.87E-2</v>
      </c>
      <c r="CZ197" s="228">
        <v>25.55</v>
      </c>
      <c r="DA197" s="228">
        <v>25.31</v>
      </c>
      <c r="DB197" s="228">
        <v>0.24</v>
      </c>
      <c r="DC197" s="228">
        <v>0.24</v>
      </c>
      <c r="DD197" s="228">
        <v>40.04</v>
      </c>
      <c r="DE197" s="228">
        <v>40.14</v>
      </c>
      <c r="DF197" s="228">
        <v>-14.49</v>
      </c>
      <c r="DG197" s="228">
        <v>-0.1</v>
      </c>
      <c r="DH197" s="228">
        <v>25.8</v>
      </c>
      <c r="DI197" s="228">
        <v>25.21</v>
      </c>
      <c r="DJ197" s="228">
        <v>0.59</v>
      </c>
      <c r="DK197" s="228">
        <v>0.59</v>
      </c>
      <c r="DL197" s="228">
        <v>24.88</v>
      </c>
      <c r="DM197" s="228">
        <v>25.6</v>
      </c>
      <c r="DN197" s="228">
        <v>-0.72</v>
      </c>
      <c r="DO197" s="228">
        <v>-0.72</v>
      </c>
      <c r="DP197" s="228">
        <v>0.77</v>
      </c>
      <c r="DQ197" s="228">
        <v>0.93</v>
      </c>
      <c r="DR197" s="228">
        <v>-0.16</v>
      </c>
      <c r="DS197" s="229">
        <v>-0.17199999999999999</v>
      </c>
      <c r="DT197" s="231">
        <v>2600</v>
      </c>
      <c r="DU197" s="231">
        <v>2600</v>
      </c>
      <c r="DV197" s="228">
        <v>0.36</v>
      </c>
      <c r="DW197" s="228">
        <v>0.38</v>
      </c>
      <c r="DX197" s="228">
        <v>-0.02</v>
      </c>
      <c r="DY197" s="229">
        <v>-5.2600000000000001E-2</v>
      </c>
      <c r="DZ197" s="229">
        <v>9.7999999999999997E-3</v>
      </c>
      <c r="EA197" s="230">
        <v>34000</v>
      </c>
      <c r="EB197" s="229">
        <v>7.1999999999999998E-3</v>
      </c>
      <c r="EC197" s="229">
        <v>9.7999999999999997E-3</v>
      </c>
      <c r="ED197" s="228">
        <v>19.38</v>
      </c>
      <c r="EE197" s="229">
        <v>7.3000000000000001E-3</v>
      </c>
      <c r="EF197" s="230">
        <v>90104</v>
      </c>
      <c r="EG197" s="230">
        <v>69265</v>
      </c>
      <c r="EH197" s="229">
        <v>0.3009</v>
      </c>
      <c r="EI197" s="229">
        <v>0.56910000000000005</v>
      </c>
      <c r="EJ197" s="231">
        <v>13860.33</v>
      </c>
      <c r="EK197" s="231">
        <v>4716.83</v>
      </c>
      <c r="EL197" s="231">
        <v>7042.44</v>
      </c>
      <c r="EM197" s="231">
        <v>7335</v>
      </c>
      <c r="EN197" s="231">
        <v>25619.599999999999</v>
      </c>
      <c r="EO197" s="231">
        <v>29625.200000000001</v>
      </c>
      <c r="EP197" s="231">
        <v>-4005.6</v>
      </c>
      <c r="EQ197" s="229">
        <v>-0.13519999999999999</v>
      </c>
      <c r="ER197" s="231">
        <v>12869</v>
      </c>
      <c r="ES197" s="231">
        <v>9492</v>
      </c>
      <c r="ET197" s="231">
        <v>94010</v>
      </c>
      <c r="EU197" s="231">
        <v>15879795</v>
      </c>
      <c r="EV197" s="231">
        <v>116370</v>
      </c>
      <c r="EW197" s="231">
        <v>110704</v>
      </c>
      <c r="EX197" s="231">
        <v>5666</v>
      </c>
      <c r="EY197" s="229">
        <v>5.1200000000000002E-2</v>
      </c>
      <c r="EZ197" s="229">
        <v>0.27710000000000001</v>
      </c>
      <c r="FA197" s="227" t="s">
        <v>555</v>
      </c>
      <c r="FB197" s="161">
        <f t="shared" si="5"/>
        <v>0</v>
      </c>
    </row>
    <row r="198" spans="1:158" ht="17.25" thickBot="1" x14ac:dyDescent="0.3">
      <c r="A198" s="226">
        <v>46023</v>
      </c>
      <c r="B198" s="227" t="s">
        <v>168</v>
      </c>
      <c r="C198" s="227" t="s">
        <v>297</v>
      </c>
      <c r="D198" s="228">
        <v>175</v>
      </c>
      <c r="E198" s="231">
        <v>4072.5</v>
      </c>
      <c r="F198" s="231">
        <v>4065.2</v>
      </c>
      <c r="G198" s="228">
        <v>7.3</v>
      </c>
      <c r="H198" s="229">
        <v>1.8E-3</v>
      </c>
      <c r="I198" s="231">
        <v>4049.3</v>
      </c>
      <c r="J198" s="231">
        <v>4051.5</v>
      </c>
      <c r="K198" s="228">
        <v>-2.2000000000000002</v>
      </c>
      <c r="L198" s="229">
        <v>-5.0000000000000001E-4</v>
      </c>
      <c r="M198" s="231">
        <v>4072.5</v>
      </c>
      <c r="N198" s="231">
        <v>4065.2</v>
      </c>
      <c r="O198" s="228">
        <v>7.3</v>
      </c>
      <c r="P198" s="229">
        <v>1.8E-3</v>
      </c>
      <c r="Q198" s="231">
        <v>4094.6</v>
      </c>
      <c r="R198" s="231">
        <v>4089</v>
      </c>
      <c r="S198" s="228">
        <v>5.6</v>
      </c>
      <c r="T198" s="229">
        <v>1.4E-3</v>
      </c>
      <c r="U198" s="231">
        <v>4121.6000000000004</v>
      </c>
      <c r="V198" s="231">
        <v>4111.5</v>
      </c>
      <c r="W198" s="228">
        <v>10.1</v>
      </c>
      <c r="X198" s="229">
        <v>2.5000000000000001E-3</v>
      </c>
      <c r="Y198" s="228">
        <v>23.2</v>
      </c>
      <c r="Z198" s="228">
        <v>13.7</v>
      </c>
      <c r="AA198" s="228">
        <v>9.5</v>
      </c>
      <c r="AB198" s="229">
        <v>5.7000000000000002E-3</v>
      </c>
      <c r="AC198" s="228">
        <v>23.2</v>
      </c>
      <c r="AD198" s="228">
        <v>13.7</v>
      </c>
      <c r="AE198" s="228">
        <v>9.5</v>
      </c>
      <c r="AF198" s="229">
        <v>5.7000000000000002E-3</v>
      </c>
      <c r="AG198" s="228">
        <v>45.3</v>
      </c>
      <c r="AH198" s="228">
        <v>37.5</v>
      </c>
      <c r="AI198" s="228">
        <v>7.8</v>
      </c>
      <c r="AJ198" s="229">
        <v>1.12E-2</v>
      </c>
      <c r="AK198" s="228">
        <v>72.3</v>
      </c>
      <c r="AL198" s="228">
        <v>60</v>
      </c>
      <c r="AM198" s="228">
        <v>12.3</v>
      </c>
      <c r="AN198" s="229">
        <v>1.7899999999999999E-2</v>
      </c>
      <c r="AO198" s="231">
        <v>4066.61</v>
      </c>
      <c r="AP198" s="231">
        <v>4090.07</v>
      </c>
      <c r="AQ198" s="228">
        <v>0</v>
      </c>
      <c r="AR198" s="230">
        <v>620025</v>
      </c>
      <c r="AS198" s="230">
        <v>1919400</v>
      </c>
      <c r="AT198" s="230">
        <v>-1299375</v>
      </c>
      <c r="AU198" s="229">
        <v>-0.67700000000000005</v>
      </c>
      <c r="AV198" s="230">
        <v>593775</v>
      </c>
      <c r="AW198" s="230">
        <v>1844675</v>
      </c>
      <c r="AX198" s="230">
        <v>-1250900</v>
      </c>
      <c r="AY198" s="229">
        <v>-0.67810000000000004</v>
      </c>
      <c r="AZ198" s="230">
        <v>19075</v>
      </c>
      <c r="BA198" s="230">
        <v>56350</v>
      </c>
      <c r="BB198" s="230">
        <v>-37275</v>
      </c>
      <c r="BC198" s="229">
        <v>-0.66149999999999998</v>
      </c>
      <c r="BD198" s="230">
        <v>7175</v>
      </c>
      <c r="BE198" s="230">
        <v>18375</v>
      </c>
      <c r="BF198" s="230">
        <v>-11200</v>
      </c>
      <c r="BG198" s="229">
        <v>-0.60950000000000004</v>
      </c>
      <c r="BH198" s="230">
        <v>3061450</v>
      </c>
      <c r="BI198" s="230">
        <v>9628150</v>
      </c>
      <c r="BJ198" s="230">
        <v>-6566700</v>
      </c>
      <c r="BK198" s="229">
        <v>-0.68200000000000005</v>
      </c>
      <c r="BL198" s="230">
        <v>1547525</v>
      </c>
      <c r="BM198" s="230">
        <v>4046875</v>
      </c>
      <c r="BN198" s="230">
        <v>-2499350</v>
      </c>
      <c r="BO198" s="229">
        <v>-0.61760000000000004</v>
      </c>
      <c r="BP198" s="230">
        <v>5229000</v>
      </c>
      <c r="BQ198" s="230">
        <v>15594425</v>
      </c>
      <c r="BR198" s="230">
        <v>-10365425</v>
      </c>
      <c r="BS198" s="229">
        <v>-0.66469999999999996</v>
      </c>
      <c r="BT198" s="230">
        <v>470938</v>
      </c>
      <c r="BU198" s="230">
        <v>1404966</v>
      </c>
      <c r="BV198" s="230">
        <v>-934028</v>
      </c>
      <c r="BW198" s="229">
        <v>-0.66479999999999995</v>
      </c>
      <c r="BX198" s="230">
        <v>9825025</v>
      </c>
      <c r="BY198" s="230">
        <v>9895025</v>
      </c>
      <c r="BZ198" s="230">
        <v>-70000</v>
      </c>
      <c r="CA198" s="229">
        <v>-7.1000000000000004E-3</v>
      </c>
      <c r="CB198" s="230">
        <v>9654225</v>
      </c>
      <c r="CC198" s="230">
        <v>9732625</v>
      </c>
      <c r="CD198" s="230">
        <v>-78400</v>
      </c>
      <c r="CE198" s="229">
        <v>-8.0999999999999996E-3</v>
      </c>
      <c r="CF198" s="230">
        <v>152775</v>
      </c>
      <c r="CG198" s="230">
        <v>150150</v>
      </c>
      <c r="CH198" s="230">
        <v>2625</v>
      </c>
      <c r="CI198" s="229">
        <v>1.7500000000000002E-2</v>
      </c>
      <c r="CJ198" s="230">
        <v>18025</v>
      </c>
      <c r="CK198" s="230">
        <v>12250</v>
      </c>
      <c r="CL198" s="230">
        <v>5775</v>
      </c>
      <c r="CM198" s="229">
        <v>0.47139999999999999</v>
      </c>
      <c r="CN198" s="230">
        <v>3304175</v>
      </c>
      <c r="CO198" s="230">
        <v>3054975</v>
      </c>
      <c r="CP198" s="230">
        <v>249200</v>
      </c>
      <c r="CQ198" s="229">
        <v>8.1600000000000006E-2</v>
      </c>
      <c r="CR198" s="230">
        <v>2082675</v>
      </c>
      <c r="CS198" s="230">
        <v>1868825</v>
      </c>
      <c r="CT198" s="230">
        <v>213850</v>
      </c>
      <c r="CU198" s="229">
        <v>0.1144</v>
      </c>
      <c r="CV198" s="230">
        <v>15211875</v>
      </c>
      <c r="CW198" s="230">
        <v>14818825</v>
      </c>
      <c r="CX198" s="230">
        <v>393050</v>
      </c>
      <c r="CY198" s="229">
        <v>2.6499999999999999E-2</v>
      </c>
      <c r="CZ198" s="228">
        <v>20.18</v>
      </c>
      <c r="DA198" s="228">
        <v>20.420000000000002</v>
      </c>
      <c r="DB198" s="228">
        <v>-0.24</v>
      </c>
      <c r="DC198" s="228">
        <v>-0.24</v>
      </c>
      <c r="DD198" s="228">
        <v>24.51</v>
      </c>
      <c r="DE198" s="228">
        <v>24.57</v>
      </c>
      <c r="DF198" s="228">
        <v>-4.33</v>
      </c>
      <c r="DG198" s="228">
        <v>-0.06</v>
      </c>
      <c r="DH198" s="228">
        <v>19.93</v>
      </c>
      <c r="DI198" s="228">
        <v>20.11</v>
      </c>
      <c r="DJ198" s="228">
        <v>-0.18</v>
      </c>
      <c r="DK198" s="228">
        <v>-0.18</v>
      </c>
      <c r="DL198" s="228">
        <v>20.67</v>
      </c>
      <c r="DM198" s="228">
        <v>21.15</v>
      </c>
      <c r="DN198" s="228">
        <v>-0.48</v>
      </c>
      <c r="DO198" s="228">
        <v>-0.48</v>
      </c>
      <c r="DP198" s="228">
        <v>0.63</v>
      </c>
      <c r="DQ198" s="228">
        <v>0.61</v>
      </c>
      <c r="DR198" s="228">
        <v>0.02</v>
      </c>
      <c r="DS198" s="229">
        <v>3.2800000000000003E-2</v>
      </c>
      <c r="DT198" s="231">
        <v>4200</v>
      </c>
      <c r="DU198" s="231">
        <v>4000</v>
      </c>
      <c r="DV198" s="228">
        <v>0.51</v>
      </c>
      <c r="DW198" s="228">
        <v>0.42</v>
      </c>
      <c r="DX198" s="228">
        <v>0.09</v>
      </c>
      <c r="DY198" s="229">
        <v>0.21429999999999999</v>
      </c>
      <c r="DZ198" s="229">
        <v>1.7399999999999999E-2</v>
      </c>
      <c r="EA198" s="230">
        <v>162400</v>
      </c>
      <c r="EB198" s="229">
        <v>5.4000000000000003E-3</v>
      </c>
      <c r="EC198" s="229">
        <v>1.7399999999999999E-2</v>
      </c>
      <c r="ED198" s="228">
        <v>23.46</v>
      </c>
      <c r="EE198" s="229">
        <v>5.7999999999999996E-3</v>
      </c>
      <c r="EF198" s="230">
        <v>246458</v>
      </c>
      <c r="EG198" s="230">
        <v>923656</v>
      </c>
      <c r="EH198" s="229">
        <v>-0.73319999999999996</v>
      </c>
      <c r="EI198" s="229">
        <v>0.52329999999999999</v>
      </c>
      <c r="EJ198" s="231">
        <v>128917.62</v>
      </c>
      <c r="EK198" s="231">
        <v>62001.11</v>
      </c>
      <c r="EL198" s="231">
        <v>25221.67</v>
      </c>
      <c r="EM198" s="231">
        <v>23882</v>
      </c>
      <c r="EN198" s="231">
        <v>216140.4</v>
      </c>
      <c r="EO198" s="231">
        <v>642744.11</v>
      </c>
      <c r="EP198" s="231">
        <v>-426603.71</v>
      </c>
      <c r="EQ198" s="229">
        <v>-0.66369999999999996</v>
      </c>
      <c r="ER198" s="231">
        <v>137328</v>
      </c>
      <c r="ES198" s="231">
        <v>80896</v>
      </c>
      <c r="ET198" s="231">
        <v>400167</v>
      </c>
      <c r="EU198" s="231">
        <v>45680146</v>
      </c>
      <c r="EV198" s="231">
        <v>618390</v>
      </c>
      <c r="EW198" s="231">
        <v>601354</v>
      </c>
      <c r="EX198" s="231">
        <v>17036</v>
      </c>
      <c r="EY198" s="229">
        <v>2.8299999999999999E-2</v>
      </c>
      <c r="EZ198" s="229">
        <v>0.33300000000000002</v>
      </c>
      <c r="FA198" s="227" t="s">
        <v>556</v>
      </c>
      <c r="FB198" s="161">
        <f t="shared" si="5"/>
        <v>0</v>
      </c>
    </row>
    <row r="199" spans="1:158" ht="17.25" thickBot="1" x14ac:dyDescent="0.3">
      <c r="A199" s="226">
        <v>46023</v>
      </c>
      <c r="B199" s="227" t="s">
        <v>162</v>
      </c>
      <c r="C199" s="227" t="s">
        <v>689</v>
      </c>
      <c r="D199" s="228">
        <v>800</v>
      </c>
      <c r="E199" s="228">
        <v>369.35</v>
      </c>
      <c r="F199" s="228">
        <v>369.75</v>
      </c>
      <c r="G199" s="228">
        <v>-0.4</v>
      </c>
      <c r="H199" s="229">
        <v>-1.1000000000000001E-3</v>
      </c>
      <c r="I199" s="228">
        <v>367.55</v>
      </c>
      <c r="J199" s="228">
        <v>367.35</v>
      </c>
      <c r="K199" s="228">
        <v>0.2</v>
      </c>
      <c r="L199" s="229">
        <v>5.0000000000000001E-4</v>
      </c>
      <c r="M199" s="228">
        <v>369.35</v>
      </c>
      <c r="N199" s="228">
        <v>369.75</v>
      </c>
      <c r="O199" s="228">
        <v>-0.4</v>
      </c>
      <c r="P199" s="229">
        <v>-1.1000000000000001E-3</v>
      </c>
      <c r="Q199" s="228">
        <v>371.4</v>
      </c>
      <c r="R199" s="228">
        <v>371.8</v>
      </c>
      <c r="S199" s="228">
        <v>-0.4</v>
      </c>
      <c r="T199" s="229">
        <v>-1.1000000000000001E-3</v>
      </c>
      <c r="U199" s="228">
        <v>373.55</v>
      </c>
      <c r="V199" s="228">
        <v>374.3</v>
      </c>
      <c r="W199" s="228">
        <v>-0.75</v>
      </c>
      <c r="X199" s="229">
        <v>-2E-3</v>
      </c>
      <c r="Y199" s="228">
        <v>1.8</v>
      </c>
      <c r="Z199" s="228">
        <v>2.4</v>
      </c>
      <c r="AA199" s="228">
        <v>-0.6</v>
      </c>
      <c r="AB199" s="229">
        <v>4.8999999999999998E-3</v>
      </c>
      <c r="AC199" s="228">
        <v>1.8</v>
      </c>
      <c r="AD199" s="228">
        <v>2.4</v>
      </c>
      <c r="AE199" s="228">
        <v>-0.6</v>
      </c>
      <c r="AF199" s="229">
        <v>4.8999999999999998E-3</v>
      </c>
      <c r="AG199" s="228">
        <v>3.85</v>
      </c>
      <c r="AH199" s="228">
        <v>4.45</v>
      </c>
      <c r="AI199" s="228">
        <v>-0.6</v>
      </c>
      <c r="AJ199" s="229">
        <v>1.0500000000000001E-2</v>
      </c>
      <c r="AK199" s="228">
        <v>6</v>
      </c>
      <c r="AL199" s="228">
        <v>6.95</v>
      </c>
      <c r="AM199" s="228">
        <v>-0.95</v>
      </c>
      <c r="AN199" s="229">
        <v>1.6299999999999999E-2</v>
      </c>
      <c r="AO199" s="228">
        <v>369.41</v>
      </c>
      <c r="AP199" s="228">
        <v>372.09</v>
      </c>
      <c r="AQ199" s="228">
        <v>0</v>
      </c>
      <c r="AR199" s="230">
        <v>13279200</v>
      </c>
      <c r="AS199" s="230">
        <v>16141600</v>
      </c>
      <c r="AT199" s="230">
        <v>-2862400</v>
      </c>
      <c r="AU199" s="229">
        <v>-0.17730000000000001</v>
      </c>
      <c r="AV199" s="230">
        <v>11771200</v>
      </c>
      <c r="AW199" s="230">
        <v>14982400</v>
      </c>
      <c r="AX199" s="230">
        <v>-3211200</v>
      </c>
      <c r="AY199" s="229">
        <v>-0.21429999999999999</v>
      </c>
      <c r="AZ199" s="230">
        <v>1249600</v>
      </c>
      <c r="BA199" s="230">
        <v>966400</v>
      </c>
      <c r="BB199" s="230">
        <v>283200</v>
      </c>
      <c r="BC199" s="229">
        <v>0.29299999999999998</v>
      </c>
      <c r="BD199" s="230">
        <v>258400</v>
      </c>
      <c r="BE199" s="230">
        <v>192800</v>
      </c>
      <c r="BF199" s="230">
        <v>65600</v>
      </c>
      <c r="BG199" s="229">
        <v>0.3402</v>
      </c>
      <c r="BH199" s="230">
        <v>46984800</v>
      </c>
      <c r="BI199" s="230">
        <v>46720000</v>
      </c>
      <c r="BJ199" s="230">
        <v>264800</v>
      </c>
      <c r="BK199" s="229">
        <v>5.7000000000000002E-3</v>
      </c>
      <c r="BL199" s="230">
        <v>19566400</v>
      </c>
      <c r="BM199" s="230">
        <v>19836800</v>
      </c>
      <c r="BN199" s="230">
        <v>-270400</v>
      </c>
      <c r="BO199" s="229">
        <v>-1.3599999999999999E-2</v>
      </c>
      <c r="BP199" s="230">
        <v>79830400</v>
      </c>
      <c r="BQ199" s="230">
        <v>82698400</v>
      </c>
      <c r="BR199" s="230">
        <v>-2868000</v>
      </c>
      <c r="BS199" s="229">
        <v>-3.4700000000000002E-2</v>
      </c>
      <c r="BT199" s="230">
        <v>7214281</v>
      </c>
      <c r="BU199" s="230">
        <v>10439184</v>
      </c>
      <c r="BV199" s="230">
        <v>-3224903</v>
      </c>
      <c r="BW199" s="229">
        <v>-0.30890000000000001</v>
      </c>
      <c r="BX199" s="230">
        <v>92352000</v>
      </c>
      <c r="BY199" s="230">
        <v>90308000</v>
      </c>
      <c r="BZ199" s="230">
        <v>2044000</v>
      </c>
      <c r="CA199" s="229">
        <v>2.2599999999999999E-2</v>
      </c>
      <c r="CB199" s="230">
        <v>88308800</v>
      </c>
      <c r="CC199" s="230">
        <v>86728000</v>
      </c>
      <c r="CD199" s="230">
        <v>1580800</v>
      </c>
      <c r="CE199" s="229">
        <v>1.8200000000000001E-2</v>
      </c>
      <c r="CF199" s="230">
        <v>3750400</v>
      </c>
      <c r="CG199" s="230">
        <v>3441600</v>
      </c>
      <c r="CH199" s="230">
        <v>308800</v>
      </c>
      <c r="CI199" s="229">
        <v>8.9700000000000002E-2</v>
      </c>
      <c r="CJ199" s="230">
        <v>292800</v>
      </c>
      <c r="CK199" s="230">
        <v>138400</v>
      </c>
      <c r="CL199" s="230">
        <v>154400</v>
      </c>
      <c r="CM199" s="229">
        <v>1.1155999999999999</v>
      </c>
      <c r="CN199" s="230">
        <v>35063200</v>
      </c>
      <c r="CO199" s="230">
        <v>32916000</v>
      </c>
      <c r="CP199" s="230">
        <v>2147200</v>
      </c>
      <c r="CQ199" s="229">
        <v>6.5199999999999994E-2</v>
      </c>
      <c r="CR199" s="230">
        <v>21386400</v>
      </c>
      <c r="CS199" s="230">
        <v>19100000</v>
      </c>
      <c r="CT199" s="230">
        <v>2286400</v>
      </c>
      <c r="CU199" s="229">
        <v>0.1197</v>
      </c>
      <c r="CV199" s="230">
        <v>148801600</v>
      </c>
      <c r="CW199" s="230">
        <v>142324000</v>
      </c>
      <c r="CX199" s="230">
        <v>6477600</v>
      </c>
      <c r="CY199" s="229">
        <v>4.5499999999999999E-2</v>
      </c>
      <c r="CZ199" s="228">
        <v>26.4</v>
      </c>
      <c r="DA199" s="228">
        <v>27.69</v>
      </c>
      <c r="DB199" s="228">
        <v>-1.29</v>
      </c>
      <c r="DC199" s="228">
        <v>-1.29</v>
      </c>
      <c r="DD199" s="228">
        <v>33.65</v>
      </c>
      <c r="DE199" s="228">
        <v>33.729999999999997</v>
      </c>
      <c r="DF199" s="228">
        <v>-7.25</v>
      </c>
      <c r="DG199" s="228">
        <v>-0.08</v>
      </c>
      <c r="DH199" s="228">
        <v>26.29</v>
      </c>
      <c r="DI199" s="228">
        <v>27.42</v>
      </c>
      <c r="DJ199" s="228">
        <v>-1.1299999999999999</v>
      </c>
      <c r="DK199" s="228">
        <v>-1.1299999999999999</v>
      </c>
      <c r="DL199" s="228">
        <v>26.68</v>
      </c>
      <c r="DM199" s="228">
        <v>28.33</v>
      </c>
      <c r="DN199" s="228">
        <v>-1.65</v>
      </c>
      <c r="DO199" s="228">
        <v>-1.65</v>
      </c>
      <c r="DP199" s="228">
        <v>0.61</v>
      </c>
      <c r="DQ199" s="228">
        <v>0.57999999999999996</v>
      </c>
      <c r="DR199" s="228">
        <v>0.03</v>
      </c>
      <c r="DS199" s="229">
        <v>5.1700000000000003E-2</v>
      </c>
      <c r="DT199" s="228">
        <v>400</v>
      </c>
      <c r="DU199" s="228">
        <v>360</v>
      </c>
      <c r="DV199" s="228">
        <v>0.42</v>
      </c>
      <c r="DW199" s="228">
        <v>0.42</v>
      </c>
      <c r="DX199" s="228">
        <v>0</v>
      </c>
      <c r="DY199" s="229">
        <v>0</v>
      </c>
      <c r="DZ199" s="229">
        <v>4.3799999999999999E-2</v>
      </c>
      <c r="EA199" s="230">
        <v>3580000</v>
      </c>
      <c r="EB199" s="229">
        <v>5.5999999999999999E-3</v>
      </c>
      <c r="EC199" s="229">
        <v>4.3799999999999999E-2</v>
      </c>
      <c r="ED199" s="228">
        <v>2.68</v>
      </c>
      <c r="EE199" s="229">
        <v>7.3000000000000001E-3</v>
      </c>
      <c r="EF199" s="230">
        <v>2730487</v>
      </c>
      <c r="EG199" s="230">
        <v>5703026</v>
      </c>
      <c r="EH199" s="229">
        <v>-0.5212</v>
      </c>
      <c r="EI199" s="229">
        <v>0.3785</v>
      </c>
      <c r="EJ199" s="231">
        <v>184836.49</v>
      </c>
      <c r="EK199" s="231">
        <v>70410.16</v>
      </c>
      <c r="EL199" s="231">
        <v>49099.54</v>
      </c>
      <c r="EM199" s="231">
        <v>51420</v>
      </c>
      <c r="EN199" s="231">
        <v>304346.19</v>
      </c>
      <c r="EO199" s="231">
        <v>313089</v>
      </c>
      <c r="EP199" s="231">
        <v>-8742.81</v>
      </c>
      <c r="EQ199" s="229">
        <v>-2.7900000000000001E-2</v>
      </c>
      <c r="ER199" s="231">
        <v>135377</v>
      </c>
      <c r="ES199" s="231">
        <v>77035</v>
      </c>
      <c r="ET199" s="231">
        <v>341191</v>
      </c>
      <c r="EU199" s="231">
        <v>317235726</v>
      </c>
      <c r="EV199" s="231">
        <v>553603</v>
      </c>
      <c r="EW199" s="231">
        <v>529774</v>
      </c>
      <c r="EX199" s="231">
        <v>23829</v>
      </c>
      <c r="EY199" s="229">
        <v>4.4999999999999998E-2</v>
      </c>
      <c r="EZ199" s="229">
        <v>0.46910000000000002</v>
      </c>
      <c r="FA199" s="227" t="s">
        <v>567</v>
      </c>
      <c r="FB199" s="161">
        <f t="shared" si="5"/>
        <v>0</v>
      </c>
    </row>
    <row r="200" spans="1:158" ht="17.25" thickBot="1" x14ac:dyDescent="0.3">
      <c r="A200" s="226">
        <v>46023</v>
      </c>
      <c r="B200" s="227" t="s">
        <v>170</v>
      </c>
      <c r="C200" s="227" t="s">
        <v>298</v>
      </c>
      <c r="D200" s="228">
        <v>250</v>
      </c>
      <c r="E200" s="231">
        <v>3856.9</v>
      </c>
      <c r="F200" s="231">
        <v>3845.6</v>
      </c>
      <c r="G200" s="228">
        <v>11.3</v>
      </c>
      <c r="H200" s="229">
        <v>2.8999999999999998E-3</v>
      </c>
      <c r="I200" s="231">
        <v>3848.4</v>
      </c>
      <c r="J200" s="231">
        <v>3850</v>
      </c>
      <c r="K200" s="228">
        <v>-1.6</v>
      </c>
      <c r="L200" s="229">
        <v>-4.0000000000000002E-4</v>
      </c>
      <c r="M200" s="231">
        <v>3856.9</v>
      </c>
      <c r="N200" s="231">
        <v>3845.6</v>
      </c>
      <c r="O200" s="228">
        <v>11.3</v>
      </c>
      <c r="P200" s="229">
        <v>2.8999999999999998E-3</v>
      </c>
      <c r="Q200" s="231">
        <v>3855.7</v>
      </c>
      <c r="R200" s="231">
        <v>3844.3</v>
      </c>
      <c r="S200" s="228">
        <v>11.4</v>
      </c>
      <c r="T200" s="229">
        <v>3.0000000000000001E-3</v>
      </c>
      <c r="U200" s="228">
        <v>0</v>
      </c>
      <c r="V200" s="228">
        <v>0</v>
      </c>
      <c r="W200" s="228">
        <v>0</v>
      </c>
      <c r="X200" s="229">
        <v>0</v>
      </c>
      <c r="Y200" s="228">
        <v>8.5</v>
      </c>
      <c r="Z200" s="228">
        <v>-4.4000000000000004</v>
      </c>
      <c r="AA200" s="228">
        <v>12.9</v>
      </c>
      <c r="AB200" s="229">
        <v>2.2000000000000001E-3</v>
      </c>
      <c r="AC200" s="228">
        <v>8.5</v>
      </c>
      <c r="AD200" s="228">
        <v>-4.4000000000000004</v>
      </c>
      <c r="AE200" s="228">
        <v>12.9</v>
      </c>
      <c r="AF200" s="229">
        <v>2.2000000000000001E-3</v>
      </c>
      <c r="AG200" s="228">
        <v>7.3</v>
      </c>
      <c r="AH200" s="228">
        <v>-5.7</v>
      </c>
      <c r="AI200" s="228">
        <v>13</v>
      </c>
      <c r="AJ200" s="229">
        <v>1.9E-3</v>
      </c>
      <c r="AK200" s="228">
        <v>0</v>
      </c>
      <c r="AL200" s="228">
        <v>0</v>
      </c>
      <c r="AM200" s="228">
        <v>0</v>
      </c>
      <c r="AN200" s="229">
        <v>0</v>
      </c>
      <c r="AO200" s="231">
        <v>3851.04</v>
      </c>
      <c r="AP200" s="231">
        <v>3856</v>
      </c>
      <c r="AQ200" s="228">
        <v>0</v>
      </c>
      <c r="AR200" s="230">
        <v>113000</v>
      </c>
      <c r="AS200" s="230">
        <v>292500</v>
      </c>
      <c r="AT200" s="230">
        <v>-179500</v>
      </c>
      <c r="AU200" s="229">
        <v>-0.61370000000000002</v>
      </c>
      <c r="AV200" s="230">
        <v>111750</v>
      </c>
      <c r="AW200" s="230">
        <v>284750</v>
      </c>
      <c r="AX200" s="230">
        <v>-173000</v>
      </c>
      <c r="AY200" s="229">
        <v>-0.60760000000000003</v>
      </c>
      <c r="AZ200" s="230">
        <v>1250</v>
      </c>
      <c r="BA200" s="230">
        <v>7750</v>
      </c>
      <c r="BB200" s="230">
        <v>-6500</v>
      </c>
      <c r="BC200" s="229">
        <v>-0.8387</v>
      </c>
      <c r="BD200" s="228">
        <v>0</v>
      </c>
      <c r="BE200" s="228">
        <v>0</v>
      </c>
      <c r="BF200" s="228">
        <v>0</v>
      </c>
      <c r="BG200" s="229">
        <v>0</v>
      </c>
      <c r="BH200" s="230">
        <v>118000</v>
      </c>
      <c r="BI200" s="230">
        <v>185000</v>
      </c>
      <c r="BJ200" s="230">
        <v>-67000</v>
      </c>
      <c r="BK200" s="229">
        <v>-0.36220000000000002</v>
      </c>
      <c r="BL200" s="230">
        <v>36250</v>
      </c>
      <c r="BM200" s="230">
        <v>135750</v>
      </c>
      <c r="BN200" s="230">
        <v>-99500</v>
      </c>
      <c r="BO200" s="229">
        <v>-0.73299999999999998</v>
      </c>
      <c r="BP200" s="230">
        <v>267250</v>
      </c>
      <c r="BQ200" s="230">
        <v>613250</v>
      </c>
      <c r="BR200" s="230">
        <v>-346000</v>
      </c>
      <c r="BS200" s="229">
        <v>-0.56420000000000003</v>
      </c>
      <c r="BT200" s="230">
        <v>40455</v>
      </c>
      <c r="BU200" s="230">
        <v>153169</v>
      </c>
      <c r="BV200" s="230">
        <v>-112714</v>
      </c>
      <c r="BW200" s="229">
        <v>-0.7359</v>
      </c>
      <c r="BX200" s="230">
        <v>2135000</v>
      </c>
      <c r="BY200" s="230">
        <v>2122250</v>
      </c>
      <c r="BZ200" s="230">
        <v>12750</v>
      </c>
      <c r="CA200" s="229">
        <v>6.0000000000000001E-3</v>
      </c>
      <c r="CB200" s="230">
        <v>2125250</v>
      </c>
      <c r="CC200" s="230">
        <v>2112500</v>
      </c>
      <c r="CD200" s="230">
        <v>12750</v>
      </c>
      <c r="CE200" s="229">
        <v>6.0000000000000001E-3</v>
      </c>
      <c r="CF200" s="230">
        <v>9750</v>
      </c>
      <c r="CG200" s="230">
        <v>9750</v>
      </c>
      <c r="CH200" s="228">
        <v>0</v>
      </c>
      <c r="CI200" s="229">
        <v>0</v>
      </c>
      <c r="CJ200" s="228">
        <v>0</v>
      </c>
      <c r="CK200" s="228">
        <v>0</v>
      </c>
      <c r="CL200" s="228">
        <v>0</v>
      </c>
      <c r="CM200" s="229">
        <v>0</v>
      </c>
      <c r="CN200" s="230">
        <v>178500</v>
      </c>
      <c r="CO200" s="230">
        <v>163500</v>
      </c>
      <c r="CP200" s="230">
        <v>15000</v>
      </c>
      <c r="CQ200" s="229">
        <v>9.1700000000000004E-2</v>
      </c>
      <c r="CR200" s="230">
        <v>123000</v>
      </c>
      <c r="CS200" s="230">
        <v>122750</v>
      </c>
      <c r="CT200" s="228">
        <v>250</v>
      </c>
      <c r="CU200" s="229">
        <v>2E-3</v>
      </c>
      <c r="CV200" s="230">
        <v>2436500</v>
      </c>
      <c r="CW200" s="230">
        <v>2408500</v>
      </c>
      <c r="CX200" s="230">
        <v>28000</v>
      </c>
      <c r="CY200" s="229">
        <v>1.1599999999999999E-2</v>
      </c>
      <c r="CZ200" s="228">
        <v>16</v>
      </c>
      <c r="DA200" s="228">
        <v>16.739999999999998</v>
      </c>
      <c r="DB200" s="228">
        <v>-0.74</v>
      </c>
      <c r="DC200" s="228">
        <v>-0.74</v>
      </c>
      <c r="DD200" s="228">
        <v>24.83</v>
      </c>
      <c r="DE200" s="228">
        <v>24.89</v>
      </c>
      <c r="DF200" s="228">
        <v>-8.83</v>
      </c>
      <c r="DG200" s="228">
        <v>-0.06</v>
      </c>
      <c r="DH200" s="228">
        <v>15.88</v>
      </c>
      <c r="DI200" s="228">
        <v>16.39</v>
      </c>
      <c r="DJ200" s="228">
        <v>-0.51</v>
      </c>
      <c r="DK200" s="228">
        <v>-0.51</v>
      </c>
      <c r="DL200" s="228">
        <v>16.38</v>
      </c>
      <c r="DM200" s="228">
        <v>17.23</v>
      </c>
      <c r="DN200" s="228">
        <v>-0.85</v>
      </c>
      <c r="DO200" s="228">
        <v>-0.85</v>
      </c>
      <c r="DP200" s="228">
        <v>0.69</v>
      </c>
      <c r="DQ200" s="228">
        <v>0.75</v>
      </c>
      <c r="DR200" s="228">
        <v>-0.06</v>
      </c>
      <c r="DS200" s="229">
        <v>-0.08</v>
      </c>
      <c r="DT200" s="231">
        <v>3800</v>
      </c>
      <c r="DU200" s="231">
        <v>3800</v>
      </c>
      <c r="DV200" s="228">
        <v>0.31</v>
      </c>
      <c r="DW200" s="228">
        <v>0.73</v>
      </c>
      <c r="DX200" s="228">
        <v>-0.42</v>
      </c>
      <c r="DY200" s="229">
        <v>-0.57530000000000003</v>
      </c>
      <c r="DZ200" s="229">
        <v>4.5999999999999999E-3</v>
      </c>
      <c r="EA200" s="230">
        <v>9750</v>
      </c>
      <c r="EB200" s="229">
        <v>-2.9999999999999997E-4</v>
      </c>
      <c r="EC200" s="229">
        <v>4.5999999999999999E-3</v>
      </c>
      <c r="ED200" s="228">
        <v>4.96</v>
      </c>
      <c r="EE200" s="229">
        <v>1.2999999999999999E-3</v>
      </c>
      <c r="EF200" s="230">
        <v>18854</v>
      </c>
      <c r="EG200" s="230">
        <v>95360</v>
      </c>
      <c r="EH200" s="229">
        <v>-0.80230000000000001</v>
      </c>
      <c r="EI200" s="229">
        <v>0.46600000000000003</v>
      </c>
      <c r="EJ200" s="231">
        <v>4651.8999999999996</v>
      </c>
      <c r="EK200" s="231">
        <v>1371.05</v>
      </c>
      <c r="EL200" s="231">
        <v>4351.74</v>
      </c>
      <c r="EM200" s="231">
        <v>4234</v>
      </c>
      <c r="EN200" s="231">
        <v>10374.69</v>
      </c>
      <c r="EO200" s="231">
        <v>23595.99</v>
      </c>
      <c r="EP200" s="231">
        <v>-13221.3</v>
      </c>
      <c r="EQ200" s="229">
        <v>-0.56030000000000002</v>
      </c>
      <c r="ER200" s="231">
        <v>6967</v>
      </c>
      <c r="ES200" s="231">
        <v>4558</v>
      </c>
      <c r="ET200" s="231">
        <v>82345</v>
      </c>
      <c r="EU200" s="231">
        <v>10726004</v>
      </c>
      <c r="EV200" s="231">
        <v>93869</v>
      </c>
      <c r="EW200" s="231">
        <v>92540</v>
      </c>
      <c r="EX200" s="231">
        <v>1329</v>
      </c>
      <c r="EY200" s="229">
        <v>1.44E-2</v>
      </c>
      <c r="EZ200" s="229">
        <v>0.22720000000000001</v>
      </c>
      <c r="FA200" s="227" t="s">
        <v>555</v>
      </c>
      <c r="FB200" s="161">
        <f t="shared" si="5"/>
        <v>0</v>
      </c>
    </row>
    <row r="201" spans="1:158" ht="17.25" thickBot="1" x14ac:dyDescent="0.3">
      <c r="A201" s="226">
        <v>46023</v>
      </c>
      <c r="B201" s="227" t="s">
        <v>161</v>
      </c>
      <c r="C201" s="227" t="s">
        <v>299</v>
      </c>
      <c r="D201" s="228">
        <v>425</v>
      </c>
      <c r="E201" s="231">
        <v>1336.3</v>
      </c>
      <c r="F201" s="231">
        <v>1315.1</v>
      </c>
      <c r="G201" s="228">
        <v>21.2</v>
      </c>
      <c r="H201" s="229">
        <v>1.61E-2</v>
      </c>
      <c r="I201" s="231">
        <v>1327</v>
      </c>
      <c r="J201" s="231">
        <v>1306.7</v>
      </c>
      <c r="K201" s="228">
        <v>20.3</v>
      </c>
      <c r="L201" s="229">
        <v>1.55E-2</v>
      </c>
      <c r="M201" s="231">
        <v>1336.3</v>
      </c>
      <c r="N201" s="231">
        <v>1315.1</v>
      </c>
      <c r="O201" s="228">
        <v>21.2</v>
      </c>
      <c r="P201" s="229">
        <v>1.61E-2</v>
      </c>
      <c r="Q201" s="231">
        <v>1333.4</v>
      </c>
      <c r="R201" s="231">
        <v>1309.4000000000001</v>
      </c>
      <c r="S201" s="228">
        <v>24</v>
      </c>
      <c r="T201" s="229">
        <v>1.83E-2</v>
      </c>
      <c r="U201" s="231">
        <v>1338.2</v>
      </c>
      <c r="V201" s="228">
        <v>0</v>
      </c>
      <c r="W201" s="231">
        <v>1338.2</v>
      </c>
      <c r="X201" s="229">
        <v>0</v>
      </c>
      <c r="Y201" s="228">
        <v>9.3000000000000007</v>
      </c>
      <c r="Z201" s="228">
        <v>8.4</v>
      </c>
      <c r="AA201" s="228">
        <v>0.9</v>
      </c>
      <c r="AB201" s="229">
        <v>7.0000000000000001E-3</v>
      </c>
      <c r="AC201" s="228">
        <v>9.3000000000000007</v>
      </c>
      <c r="AD201" s="228">
        <v>8.4</v>
      </c>
      <c r="AE201" s="228">
        <v>0.9</v>
      </c>
      <c r="AF201" s="229">
        <v>7.0000000000000001E-3</v>
      </c>
      <c r="AG201" s="228">
        <v>6.4</v>
      </c>
      <c r="AH201" s="228">
        <v>2.7</v>
      </c>
      <c r="AI201" s="228">
        <v>3.7</v>
      </c>
      <c r="AJ201" s="229">
        <v>4.7999999999999996E-3</v>
      </c>
      <c r="AK201" s="228">
        <v>11.2</v>
      </c>
      <c r="AL201" s="228">
        <v>0</v>
      </c>
      <c r="AM201" s="228">
        <v>11.2</v>
      </c>
      <c r="AN201" s="229">
        <v>8.3999999999999995E-3</v>
      </c>
      <c r="AO201" s="231">
        <v>1328.37</v>
      </c>
      <c r="AP201" s="231">
        <v>1322.89</v>
      </c>
      <c r="AQ201" s="228">
        <v>0</v>
      </c>
      <c r="AR201" s="230">
        <v>491300</v>
      </c>
      <c r="AS201" s="230">
        <v>691900</v>
      </c>
      <c r="AT201" s="230">
        <v>-200600</v>
      </c>
      <c r="AU201" s="229">
        <v>-0.28989999999999999</v>
      </c>
      <c r="AV201" s="230">
        <v>474725</v>
      </c>
      <c r="AW201" s="230">
        <v>660450</v>
      </c>
      <c r="AX201" s="230">
        <v>-185725</v>
      </c>
      <c r="AY201" s="229">
        <v>-0.28120000000000001</v>
      </c>
      <c r="AZ201" s="230">
        <v>14875</v>
      </c>
      <c r="BA201" s="230">
        <v>31450</v>
      </c>
      <c r="BB201" s="230">
        <v>-16575</v>
      </c>
      <c r="BC201" s="229">
        <v>-0.52700000000000002</v>
      </c>
      <c r="BD201" s="230">
        <v>1700</v>
      </c>
      <c r="BE201" s="228">
        <v>0</v>
      </c>
      <c r="BF201" s="230">
        <v>1700</v>
      </c>
      <c r="BG201" s="229">
        <v>0</v>
      </c>
      <c r="BH201" s="230">
        <v>1178950</v>
      </c>
      <c r="BI201" s="230">
        <v>934150</v>
      </c>
      <c r="BJ201" s="230">
        <v>244800</v>
      </c>
      <c r="BK201" s="229">
        <v>0.2621</v>
      </c>
      <c r="BL201" s="230">
        <v>378250</v>
      </c>
      <c r="BM201" s="230">
        <v>291975</v>
      </c>
      <c r="BN201" s="230">
        <v>86275</v>
      </c>
      <c r="BO201" s="229">
        <v>0.29549999999999998</v>
      </c>
      <c r="BP201" s="230">
        <v>2048500</v>
      </c>
      <c r="BQ201" s="230">
        <v>1918025</v>
      </c>
      <c r="BR201" s="230">
        <v>130475</v>
      </c>
      <c r="BS201" s="229">
        <v>6.8000000000000005E-2</v>
      </c>
      <c r="BT201" s="230">
        <v>223968</v>
      </c>
      <c r="BU201" s="230">
        <v>252166</v>
      </c>
      <c r="BV201" s="230">
        <v>-28198</v>
      </c>
      <c r="BW201" s="229">
        <v>-0.1118</v>
      </c>
      <c r="BX201" s="230">
        <v>2787575</v>
      </c>
      <c r="BY201" s="230">
        <v>2750600</v>
      </c>
      <c r="BZ201" s="230">
        <v>36975</v>
      </c>
      <c r="CA201" s="229">
        <v>1.34E-2</v>
      </c>
      <c r="CB201" s="230">
        <v>2714475</v>
      </c>
      <c r="CC201" s="230">
        <v>2683450</v>
      </c>
      <c r="CD201" s="230">
        <v>31025</v>
      </c>
      <c r="CE201" s="229">
        <v>1.1599999999999999E-2</v>
      </c>
      <c r="CF201" s="230">
        <v>71400</v>
      </c>
      <c r="CG201" s="230">
        <v>67150</v>
      </c>
      <c r="CH201" s="230">
        <v>4250</v>
      </c>
      <c r="CI201" s="229">
        <v>6.3299999999999995E-2</v>
      </c>
      <c r="CJ201" s="230">
        <v>1700</v>
      </c>
      <c r="CK201" s="228">
        <v>0</v>
      </c>
      <c r="CL201" s="230">
        <v>1700</v>
      </c>
      <c r="CM201" s="229">
        <v>0</v>
      </c>
      <c r="CN201" s="230">
        <v>484925</v>
      </c>
      <c r="CO201" s="230">
        <v>383350</v>
      </c>
      <c r="CP201" s="230">
        <v>101575</v>
      </c>
      <c r="CQ201" s="229">
        <v>0.26500000000000001</v>
      </c>
      <c r="CR201" s="230">
        <v>393975</v>
      </c>
      <c r="CS201" s="230">
        <v>364225</v>
      </c>
      <c r="CT201" s="230">
        <v>29750</v>
      </c>
      <c r="CU201" s="229">
        <v>8.1699999999999995E-2</v>
      </c>
      <c r="CV201" s="230">
        <v>3666475</v>
      </c>
      <c r="CW201" s="230">
        <v>3498175</v>
      </c>
      <c r="CX201" s="230">
        <v>168300</v>
      </c>
      <c r="CY201" s="229">
        <v>4.8099999999999997E-2</v>
      </c>
      <c r="CZ201" s="228">
        <v>23.49</v>
      </c>
      <c r="DA201" s="228">
        <v>23.71</v>
      </c>
      <c r="DB201" s="228">
        <v>-0.22</v>
      </c>
      <c r="DC201" s="228">
        <v>-0.22</v>
      </c>
      <c r="DD201" s="228">
        <v>39.46</v>
      </c>
      <c r="DE201" s="228">
        <v>39.5</v>
      </c>
      <c r="DF201" s="228">
        <v>-15.97</v>
      </c>
      <c r="DG201" s="228">
        <v>-0.04</v>
      </c>
      <c r="DH201" s="228">
        <v>23.47</v>
      </c>
      <c r="DI201" s="228">
        <v>23.49</v>
      </c>
      <c r="DJ201" s="228">
        <v>-0.02</v>
      </c>
      <c r="DK201" s="228">
        <v>-0.02</v>
      </c>
      <c r="DL201" s="228">
        <v>23.54</v>
      </c>
      <c r="DM201" s="228">
        <v>24.44</v>
      </c>
      <c r="DN201" s="228">
        <v>-0.9</v>
      </c>
      <c r="DO201" s="228">
        <v>-0.9</v>
      </c>
      <c r="DP201" s="228">
        <v>0.81</v>
      </c>
      <c r="DQ201" s="228">
        <v>0.95</v>
      </c>
      <c r="DR201" s="228">
        <v>-0.14000000000000001</v>
      </c>
      <c r="DS201" s="229">
        <v>-0.1474</v>
      </c>
      <c r="DT201" s="231">
        <v>1300</v>
      </c>
      <c r="DU201" s="231">
        <v>1300</v>
      </c>
      <c r="DV201" s="228">
        <v>0.32</v>
      </c>
      <c r="DW201" s="228">
        <v>0.31</v>
      </c>
      <c r="DX201" s="228">
        <v>0.01</v>
      </c>
      <c r="DY201" s="229">
        <v>3.2300000000000002E-2</v>
      </c>
      <c r="DZ201" s="229">
        <v>2.6200000000000001E-2</v>
      </c>
      <c r="EA201" s="230">
        <v>67150</v>
      </c>
      <c r="EB201" s="229">
        <v>-2.2000000000000001E-3</v>
      </c>
      <c r="EC201" s="229">
        <v>2.6200000000000001E-2</v>
      </c>
      <c r="ED201" s="228">
        <v>-5.48</v>
      </c>
      <c r="EE201" s="229">
        <v>-4.1000000000000003E-3</v>
      </c>
      <c r="EF201" s="230">
        <v>102775</v>
      </c>
      <c r="EG201" s="230">
        <v>110146</v>
      </c>
      <c r="EH201" s="229">
        <v>-6.6900000000000001E-2</v>
      </c>
      <c r="EI201" s="229">
        <v>0.45889999999999997</v>
      </c>
      <c r="EJ201" s="231">
        <v>16281.12</v>
      </c>
      <c r="EK201" s="231">
        <v>4925.8500000000004</v>
      </c>
      <c r="EL201" s="231">
        <v>6525.61</v>
      </c>
      <c r="EM201" s="231">
        <v>3358</v>
      </c>
      <c r="EN201" s="231">
        <v>27732.58</v>
      </c>
      <c r="EO201" s="231">
        <v>25441.54</v>
      </c>
      <c r="EP201" s="231">
        <v>2291.04</v>
      </c>
      <c r="EQ201" s="229">
        <v>9.01E-2</v>
      </c>
      <c r="ER201" s="231">
        <v>6536</v>
      </c>
      <c r="ES201" s="231">
        <v>5023</v>
      </c>
      <c r="ET201" s="231">
        <v>37248</v>
      </c>
      <c r="EU201" s="231">
        <v>24646022</v>
      </c>
      <c r="EV201" s="231">
        <v>48807</v>
      </c>
      <c r="EW201" s="231">
        <v>45957</v>
      </c>
      <c r="EX201" s="231">
        <v>2850</v>
      </c>
      <c r="EY201" s="229">
        <v>6.2E-2</v>
      </c>
      <c r="EZ201" s="229">
        <v>0.14879999999999999</v>
      </c>
      <c r="FA201" s="227" t="s">
        <v>555</v>
      </c>
      <c r="FB201" s="161">
        <f t="shared" si="5"/>
        <v>0</v>
      </c>
    </row>
    <row r="202" spans="1:158" ht="17.25" thickBot="1" x14ac:dyDescent="0.3">
      <c r="A202" s="226">
        <v>46023</v>
      </c>
      <c r="B202" s="227" t="s">
        <v>197</v>
      </c>
      <c r="C202" s="227" t="s">
        <v>482</v>
      </c>
      <c r="D202" s="228">
        <v>100</v>
      </c>
      <c r="E202" s="231">
        <v>4314.2</v>
      </c>
      <c r="F202" s="231">
        <v>4294.3999999999996</v>
      </c>
      <c r="G202" s="228">
        <v>19.8</v>
      </c>
      <c r="H202" s="229">
        <v>4.5999999999999999E-3</v>
      </c>
      <c r="I202" s="231">
        <v>4297.3999999999996</v>
      </c>
      <c r="J202" s="231">
        <v>4279</v>
      </c>
      <c r="K202" s="228">
        <v>18.399999999999999</v>
      </c>
      <c r="L202" s="229">
        <v>4.3E-3</v>
      </c>
      <c r="M202" s="231">
        <v>4314.2</v>
      </c>
      <c r="N202" s="231">
        <v>4294.3999999999996</v>
      </c>
      <c r="O202" s="228">
        <v>19.8</v>
      </c>
      <c r="P202" s="229">
        <v>4.5999999999999999E-3</v>
      </c>
      <c r="Q202" s="231">
        <v>4339.3999999999996</v>
      </c>
      <c r="R202" s="231">
        <v>4321.2</v>
      </c>
      <c r="S202" s="228">
        <v>18.2</v>
      </c>
      <c r="T202" s="229">
        <v>4.1999999999999997E-3</v>
      </c>
      <c r="U202" s="231">
        <v>4367.3</v>
      </c>
      <c r="V202" s="231">
        <v>4347.1000000000004</v>
      </c>
      <c r="W202" s="228">
        <v>20.2</v>
      </c>
      <c r="X202" s="229">
        <v>4.5999999999999999E-3</v>
      </c>
      <c r="Y202" s="228">
        <v>16.8</v>
      </c>
      <c r="Z202" s="228">
        <v>15.4</v>
      </c>
      <c r="AA202" s="228">
        <v>1.4</v>
      </c>
      <c r="AB202" s="229">
        <v>3.8999999999999998E-3</v>
      </c>
      <c r="AC202" s="228">
        <v>16.8</v>
      </c>
      <c r="AD202" s="228">
        <v>15.4</v>
      </c>
      <c r="AE202" s="228">
        <v>1.4</v>
      </c>
      <c r="AF202" s="229">
        <v>3.8999999999999998E-3</v>
      </c>
      <c r="AG202" s="228">
        <v>42</v>
      </c>
      <c r="AH202" s="228">
        <v>42.2</v>
      </c>
      <c r="AI202" s="228">
        <v>-0.2</v>
      </c>
      <c r="AJ202" s="229">
        <v>9.7999999999999997E-3</v>
      </c>
      <c r="AK202" s="228">
        <v>69.900000000000006</v>
      </c>
      <c r="AL202" s="228">
        <v>68.099999999999994</v>
      </c>
      <c r="AM202" s="228">
        <v>1.8</v>
      </c>
      <c r="AN202" s="229">
        <v>1.6299999999999999E-2</v>
      </c>
      <c r="AO202" s="231">
        <v>4299.12</v>
      </c>
      <c r="AP202" s="231">
        <v>4326.18</v>
      </c>
      <c r="AQ202" s="228">
        <v>0</v>
      </c>
      <c r="AR202" s="230">
        <v>525700</v>
      </c>
      <c r="AS202" s="230">
        <v>943400</v>
      </c>
      <c r="AT202" s="230">
        <v>-417700</v>
      </c>
      <c r="AU202" s="229">
        <v>-0.44280000000000003</v>
      </c>
      <c r="AV202" s="230">
        <v>491000</v>
      </c>
      <c r="AW202" s="230">
        <v>898300</v>
      </c>
      <c r="AX202" s="230">
        <v>-407300</v>
      </c>
      <c r="AY202" s="229">
        <v>-0.45340000000000003</v>
      </c>
      <c r="AZ202" s="230">
        <v>27500</v>
      </c>
      <c r="BA202" s="230">
        <v>35100</v>
      </c>
      <c r="BB202" s="230">
        <v>-7600</v>
      </c>
      <c r="BC202" s="229">
        <v>-0.2165</v>
      </c>
      <c r="BD202" s="230">
        <v>7200</v>
      </c>
      <c r="BE202" s="230">
        <v>10000</v>
      </c>
      <c r="BF202" s="230">
        <v>-2800</v>
      </c>
      <c r="BG202" s="229">
        <v>-0.28000000000000003</v>
      </c>
      <c r="BH202" s="230">
        <v>1912800</v>
      </c>
      <c r="BI202" s="230">
        <v>3869400</v>
      </c>
      <c r="BJ202" s="230">
        <v>-1956600</v>
      </c>
      <c r="BK202" s="229">
        <v>-0.50570000000000004</v>
      </c>
      <c r="BL202" s="230">
        <v>740900</v>
      </c>
      <c r="BM202" s="230">
        <v>1233300</v>
      </c>
      <c r="BN202" s="230">
        <v>-492400</v>
      </c>
      <c r="BO202" s="229">
        <v>-0.39929999999999999</v>
      </c>
      <c r="BP202" s="230">
        <v>3179400</v>
      </c>
      <c r="BQ202" s="230">
        <v>6046100</v>
      </c>
      <c r="BR202" s="230">
        <v>-2866700</v>
      </c>
      <c r="BS202" s="229">
        <v>-0.47410000000000002</v>
      </c>
      <c r="BT202" s="230">
        <v>384715</v>
      </c>
      <c r="BU202" s="230">
        <v>454716</v>
      </c>
      <c r="BV202" s="230">
        <v>-70001</v>
      </c>
      <c r="BW202" s="229">
        <v>-0.15390000000000001</v>
      </c>
      <c r="BX202" s="230">
        <v>8499900</v>
      </c>
      <c r="BY202" s="230">
        <v>8585800</v>
      </c>
      <c r="BZ202" s="230">
        <v>-85900</v>
      </c>
      <c r="CA202" s="229">
        <v>-0.01</v>
      </c>
      <c r="CB202" s="230">
        <v>8232300</v>
      </c>
      <c r="CC202" s="230">
        <v>8325600</v>
      </c>
      <c r="CD202" s="230">
        <v>-93300</v>
      </c>
      <c r="CE202" s="229">
        <v>-1.12E-2</v>
      </c>
      <c r="CF202" s="230">
        <v>255900</v>
      </c>
      <c r="CG202" s="230">
        <v>253300</v>
      </c>
      <c r="CH202" s="230">
        <v>2600</v>
      </c>
      <c r="CI202" s="229">
        <v>1.03E-2</v>
      </c>
      <c r="CJ202" s="230">
        <v>11700</v>
      </c>
      <c r="CK202" s="230">
        <v>6900</v>
      </c>
      <c r="CL202" s="230">
        <v>4800</v>
      </c>
      <c r="CM202" s="229">
        <v>0.69569999999999999</v>
      </c>
      <c r="CN202" s="230">
        <v>2231400</v>
      </c>
      <c r="CO202" s="230">
        <v>2205700</v>
      </c>
      <c r="CP202" s="230">
        <v>25700</v>
      </c>
      <c r="CQ202" s="229">
        <v>1.17E-2</v>
      </c>
      <c r="CR202" s="230">
        <v>1715300</v>
      </c>
      <c r="CS202" s="230">
        <v>1645300</v>
      </c>
      <c r="CT202" s="230">
        <v>70000</v>
      </c>
      <c r="CU202" s="229">
        <v>4.2500000000000003E-2</v>
      </c>
      <c r="CV202" s="230">
        <v>12446600</v>
      </c>
      <c r="CW202" s="230">
        <v>12436800</v>
      </c>
      <c r="CX202" s="230">
        <v>9800</v>
      </c>
      <c r="CY202" s="229">
        <v>8.0000000000000004E-4</v>
      </c>
      <c r="CZ202" s="228">
        <v>26.9</v>
      </c>
      <c r="DA202" s="228">
        <v>27.82</v>
      </c>
      <c r="DB202" s="228">
        <v>-0.92</v>
      </c>
      <c r="DC202" s="228">
        <v>-0.92</v>
      </c>
      <c r="DD202" s="228">
        <v>41.87</v>
      </c>
      <c r="DE202" s="228">
        <v>41.98</v>
      </c>
      <c r="DF202" s="228">
        <v>-14.97</v>
      </c>
      <c r="DG202" s="228">
        <v>-0.11</v>
      </c>
      <c r="DH202" s="228">
        <v>26.63</v>
      </c>
      <c r="DI202" s="228">
        <v>27.41</v>
      </c>
      <c r="DJ202" s="228">
        <v>-0.78</v>
      </c>
      <c r="DK202" s="228">
        <v>-0.78</v>
      </c>
      <c r="DL202" s="228">
        <v>27.61</v>
      </c>
      <c r="DM202" s="228">
        <v>29.11</v>
      </c>
      <c r="DN202" s="228">
        <v>-1.5</v>
      </c>
      <c r="DO202" s="228">
        <v>-1.5</v>
      </c>
      <c r="DP202" s="228">
        <v>0.77</v>
      </c>
      <c r="DQ202" s="228">
        <v>0.75</v>
      </c>
      <c r="DR202" s="228">
        <v>0.02</v>
      </c>
      <c r="DS202" s="229">
        <v>2.6700000000000002E-2</v>
      </c>
      <c r="DT202" s="231">
        <v>4300</v>
      </c>
      <c r="DU202" s="231">
        <v>4200</v>
      </c>
      <c r="DV202" s="228">
        <v>0.39</v>
      </c>
      <c r="DW202" s="228">
        <v>0.32</v>
      </c>
      <c r="DX202" s="228">
        <v>7.0000000000000007E-2</v>
      </c>
      <c r="DY202" s="229">
        <v>0.21879999999999999</v>
      </c>
      <c r="DZ202" s="229">
        <v>3.15E-2</v>
      </c>
      <c r="EA202" s="230">
        <v>260200</v>
      </c>
      <c r="EB202" s="229">
        <v>5.7999999999999996E-3</v>
      </c>
      <c r="EC202" s="229">
        <v>3.15E-2</v>
      </c>
      <c r="ED202" s="228">
        <v>27.06</v>
      </c>
      <c r="EE202" s="229">
        <v>6.3E-3</v>
      </c>
      <c r="EF202" s="230">
        <v>187606</v>
      </c>
      <c r="EG202" s="230">
        <v>220876</v>
      </c>
      <c r="EH202" s="229">
        <v>-0.15060000000000001</v>
      </c>
      <c r="EI202" s="229">
        <v>0.48759999999999998</v>
      </c>
      <c r="EJ202" s="231">
        <v>86413.24</v>
      </c>
      <c r="EK202" s="231">
        <v>31574.52</v>
      </c>
      <c r="EL202" s="231">
        <v>22611.69</v>
      </c>
      <c r="EM202" s="231">
        <v>32988</v>
      </c>
      <c r="EN202" s="231">
        <v>140599.45000000001</v>
      </c>
      <c r="EO202" s="231">
        <v>267780.03999999998</v>
      </c>
      <c r="EP202" s="231">
        <v>-127180.59</v>
      </c>
      <c r="EQ202" s="229">
        <v>-0.47489999999999999</v>
      </c>
      <c r="ER202" s="231">
        <v>99578</v>
      </c>
      <c r="ES202" s="231">
        <v>71522</v>
      </c>
      <c r="ET202" s="231">
        <v>366773</v>
      </c>
      <c r="EU202" s="231">
        <v>33590487</v>
      </c>
      <c r="EV202" s="231">
        <v>537873</v>
      </c>
      <c r="EW202" s="231">
        <v>535766</v>
      </c>
      <c r="EX202" s="231">
        <v>2107</v>
      </c>
      <c r="EY202" s="229">
        <v>3.8999999999999998E-3</v>
      </c>
      <c r="EZ202" s="229">
        <v>0.3705</v>
      </c>
      <c r="FA202" s="227" t="s">
        <v>556</v>
      </c>
      <c r="FB202" s="161">
        <f t="shared" si="5"/>
        <v>0</v>
      </c>
    </row>
    <row r="203" spans="1:158" ht="17.25" thickBot="1" x14ac:dyDescent="0.3">
      <c r="A203" s="226">
        <v>46023</v>
      </c>
      <c r="B203" s="227" t="s">
        <v>162</v>
      </c>
      <c r="C203" s="227" t="s">
        <v>300</v>
      </c>
      <c r="D203" s="228">
        <v>175</v>
      </c>
      <c r="E203" s="231">
        <v>3812.5</v>
      </c>
      <c r="F203" s="231">
        <v>3742.2</v>
      </c>
      <c r="G203" s="228">
        <v>70.3</v>
      </c>
      <c r="H203" s="229">
        <v>1.8800000000000001E-2</v>
      </c>
      <c r="I203" s="231">
        <v>3794.4</v>
      </c>
      <c r="J203" s="231">
        <v>3719.8</v>
      </c>
      <c r="K203" s="228">
        <v>74.599999999999994</v>
      </c>
      <c r="L203" s="229">
        <v>2.01E-2</v>
      </c>
      <c r="M203" s="231">
        <v>3812.5</v>
      </c>
      <c r="N203" s="231">
        <v>3742.2</v>
      </c>
      <c r="O203" s="228">
        <v>70.3</v>
      </c>
      <c r="P203" s="229">
        <v>1.8800000000000001E-2</v>
      </c>
      <c r="Q203" s="231">
        <v>3829.1</v>
      </c>
      <c r="R203" s="231">
        <v>3760.7</v>
      </c>
      <c r="S203" s="228">
        <v>68.400000000000006</v>
      </c>
      <c r="T203" s="229">
        <v>1.8200000000000001E-2</v>
      </c>
      <c r="U203" s="231">
        <v>3844.5</v>
      </c>
      <c r="V203" s="231">
        <v>3771.8</v>
      </c>
      <c r="W203" s="228">
        <v>72.7</v>
      </c>
      <c r="X203" s="229">
        <v>1.9300000000000001E-2</v>
      </c>
      <c r="Y203" s="228">
        <v>18.100000000000001</v>
      </c>
      <c r="Z203" s="228">
        <v>22.4</v>
      </c>
      <c r="AA203" s="228">
        <v>-4.3</v>
      </c>
      <c r="AB203" s="229">
        <v>4.7999999999999996E-3</v>
      </c>
      <c r="AC203" s="228">
        <v>18.100000000000001</v>
      </c>
      <c r="AD203" s="228">
        <v>22.4</v>
      </c>
      <c r="AE203" s="228">
        <v>-4.3</v>
      </c>
      <c r="AF203" s="229">
        <v>4.7999999999999996E-3</v>
      </c>
      <c r="AG203" s="228">
        <v>34.700000000000003</v>
      </c>
      <c r="AH203" s="228">
        <v>40.9</v>
      </c>
      <c r="AI203" s="228">
        <v>-6.2</v>
      </c>
      <c r="AJ203" s="229">
        <v>9.1000000000000004E-3</v>
      </c>
      <c r="AK203" s="228">
        <v>50.1</v>
      </c>
      <c r="AL203" s="228">
        <v>52</v>
      </c>
      <c r="AM203" s="228">
        <v>-1.9</v>
      </c>
      <c r="AN203" s="229">
        <v>1.32E-2</v>
      </c>
      <c r="AO203" s="231">
        <v>3790.08</v>
      </c>
      <c r="AP203" s="231">
        <v>3805.79</v>
      </c>
      <c r="AQ203" s="228">
        <v>0</v>
      </c>
      <c r="AR203" s="230">
        <v>1021650</v>
      </c>
      <c r="AS203" s="230">
        <v>828800</v>
      </c>
      <c r="AT203" s="230">
        <v>192850</v>
      </c>
      <c r="AU203" s="229">
        <v>0.23269999999999999</v>
      </c>
      <c r="AV203" s="230">
        <v>977550</v>
      </c>
      <c r="AW203" s="230">
        <v>797300</v>
      </c>
      <c r="AX203" s="230">
        <v>180250</v>
      </c>
      <c r="AY203" s="229">
        <v>0.2261</v>
      </c>
      <c r="AZ203" s="230">
        <v>39375</v>
      </c>
      <c r="BA203" s="230">
        <v>24500</v>
      </c>
      <c r="BB203" s="230">
        <v>14875</v>
      </c>
      <c r="BC203" s="229">
        <v>0.60709999999999997</v>
      </c>
      <c r="BD203" s="230">
        <v>4725</v>
      </c>
      <c r="BE203" s="230">
        <v>7000</v>
      </c>
      <c r="BF203" s="230">
        <v>-2275</v>
      </c>
      <c r="BG203" s="229">
        <v>-0.32500000000000001</v>
      </c>
      <c r="BH203" s="230">
        <v>6699350</v>
      </c>
      <c r="BI203" s="230">
        <v>2610650</v>
      </c>
      <c r="BJ203" s="230">
        <v>4088700</v>
      </c>
      <c r="BK203" s="229">
        <v>1.5662</v>
      </c>
      <c r="BL203" s="230">
        <v>1920975</v>
      </c>
      <c r="BM203" s="230">
        <v>992425</v>
      </c>
      <c r="BN203" s="230">
        <v>928550</v>
      </c>
      <c r="BO203" s="229">
        <v>0.93559999999999999</v>
      </c>
      <c r="BP203" s="230">
        <v>9641975</v>
      </c>
      <c r="BQ203" s="230">
        <v>4431875</v>
      </c>
      <c r="BR203" s="230">
        <v>5210100</v>
      </c>
      <c r="BS203" s="229">
        <v>1.1756</v>
      </c>
      <c r="BT203" s="230">
        <v>639127</v>
      </c>
      <c r="BU203" s="230">
        <v>619505</v>
      </c>
      <c r="BV203" s="230">
        <v>19622</v>
      </c>
      <c r="BW203" s="229">
        <v>3.1699999999999999E-2</v>
      </c>
      <c r="BX203" s="230">
        <v>7759325</v>
      </c>
      <c r="BY203" s="230">
        <v>7671300</v>
      </c>
      <c r="BZ203" s="230">
        <v>88025</v>
      </c>
      <c r="CA203" s="229">
        <v>1.15E-2</v>
      </c>
      <c r="CB203" s="230">
        <v>7693175</v>
      </c>
      <c r="CC203" s="230">
        <v>7608650</v>
      </c>
      <c r="CD203" s="230">
        <v>84525</v>
      </c>
      <c r="CE203" s="229">
        <v>1.11E-2</v>
      </c>
      <c r="CF203" s="230">
        <v>62650</v>
      </c>
      <c r="CG203" s="230">
        <v>59675</v>
      </c>
      <c r="CH203" s="230">
        <v>2975</v>
      </c>
      <c r="CI203" s="229">
        <v>4.99E-2</v>
      </c>
      <c r="CJ203" s="230">
        <v>3500</v>
      </c>
      <c r="CK203" s="230">
        <v>2975</v>
      </c>
      <c r="CL203" s="228">
        <v>525</v>
      </c>
      <c r="CM203" s="229">
        <v>0.17649999999999999</v>
      </c>
      <c r="CN203" s="230">
        <v>1387400</v>
      </c>
      <c r="CO203" s="230">
        <v>1108800</v>
      </c>
      <c r="CP203" s="230">
        <v>278600</v>
      </c>
      <c r="CQ203" s="229">
        <v>0.25130000000000002</v>
      </c>
      <c r="CR203" s="230">
        <v>1014650</v>
      </c>
      <c r="CS203" s="230">
        <v>758100</v>
      </c>
      <c r="CT203" s="230">
        <v>256550</v>
      </c>
      <c r="CU203" s="229">
        <v>0.33839999999999998</v>
      </c>
      <c r="CV203" s="230">
        <v>10161375</v>
      </c>
      <c r="CW203" s="230">
        <v>9538200</v>
      </c>
      <c r="CX203" s="230">
        <v>623175</v>
      </c>
      <c r="CY203" s="229">
        <v>6.5299999999999997E-2</v>
      </c>
      <c r="CZ203" s="228">
        <v>22.47</v>
      </c>
      <c r="DA203" s="228">
        <v>23.28</v>
      </c>
      <c r="DB203" s="228">
        <v>-0.81</v>
      </c>
      <c r="DC203" s="228">
        <v>-0.81</v>
      </c>
      <c r="DD203" s="228">
        <v>29.67</v>
      </c>
      <c r="DE203" s="228">
        <v>29.62</v>
      </c>
      <c r="DF203" s="228">
        <v>-7.2</v>
      </c>
      <c r="DG203" s="228">
        <v>0.05</v>
      </c>
      <c r="DH203" s="228">
        <v>22.2</v>
      </c>
      <c r="DI203" s="228">
        <v>22.94</v>
      </c>
      <c r="DJ203" s="228">
        <v>-0.74</v>
      </c>
      <c r="DK203" s="228">
        <v>-0.74</v>
      </c>
      <c r="DL203" s="228">
        <v>23.41</v>
      </c>
      <c r="DM203" s="228">
        <v>24.19</v>
      </c>
      <c r="DN203" s="228">
        <v>-0.78</v>
      </c>
      <c r="DO203" s="228">
        <v>-0.78</v>
      </c>
      <c r="DP203" s="228">
        <v>0.73</v>
      </c>
      <c r="DQ203" s="228">
        <v>0.68</v>
      </c>
      <c r="DR203" s="228">
        <v>0.05</v>
      </c>
      <c r="DS203" s="229">
        <v>7.3499999999999996E-2</v>
      </c>
      <c r="DT203" s="231">
        <v>3800</v>
      </c>
      <c r="DU203" s="231">
        <v>3600</v>
      </c>
      <c r="DV203" s="228">
        <v>0.28999999999999998</v>
      </c>
      <c r="DW203" s="228">
        <v>0.38</v>
      </c>
      <c r="DX203" s="228">
        <v>-0.09</v>
      </c>
      <c r="DY203" s="229">
        <v>-0.23680000000000001</v>
      </c>
      <c r="DZ203" s="229">
        <v>8.5000000000000006E-3</v>
      </c>
      <c r="EA203" s="230">
        <v>62650</v>
      </c>
      <c r="EB203" s="229">
        <v>4.4000000000000003E-3</v>
      </c>
      <c r="EC203" s="229">
        <v>8.5000000000000006E-3</v>
      </c>
      <c r="ED203" s="228">
        <v>15.71</v>
      </c>
      <c r="EE203" s="229">
        <v>4.1000000000000003E-3</v>
      </c>
      <c r="EF203" s="230">
        <v>188529</v>
      </c>
      <c r="EG203" s="230">
        <v>339257</v>
      </c>
      <c r="EH203" s="229">
        <v>-0.44429999999999997</v>
      </c>
      <c r="EI203" s="229">
        <v>0.29499999999999998</v>
      </c>
      <c r="EJ203" s="231">
        <v>261598.44</v>
      </c>
      <c r="EK203" s="231">
        <v>71440.509999999995</v>
      </c>
      <c r="EL203" s="231">
        <v>38729.06</v>
      </c>
      <c r="EM203" s="231">
        <v>20464</v>
      </c>
      <c r="EN203" s="231">
        <v>371768.01</v>
      </c>
      <c r="EO203" s="231">
        <v>167084.04</v>
      </c>
      <c r="EP203" s="231">
        <v>204683.97</v>
      </c>
      <c r="EQ203" s="229">
        <v>1.2250000000000001</v>
      </c>
      <c r="ER203" s="231">
        <v>52645</v>
      </c>
      <c r="ES203" s="231">
        <v>36539</v>
      </c>
      <c r="ET203" s="231">
        <v>295836</v>
      </c>
      <c r="EU203" s="231">
        <v>31634588</v>
      </c>
      <c r="EV203" s="231">
        <v>385020</v>
      </c>
      <c r="EW203" s="231">
        <v>355641</v>
      </c>
      <c r="EX203" s="231">
        <v>29379</v>
      </c>
      <c r="EY203" s="229">
        <v>8.2600000000000007E-2</v>
      </c>
      <c r="EZ203" s="229">
        <v>0.32119999999999999</v>
      </c>
      <c r="FA203" s="227" t="s">
        <v>555</v>
      </c>
      <c r="FB203" s="161">
        <f t="shared" si="5"/>
        <v>0</v>
      </c>
    </row>
    <row r="204" spans="1:158" ht="17.25" thickBot="1" x14ac:dyDescent="0.3">
      <c r="A204" s="226">
        <v>46023</v>
      </c>
      <c r="B204" s="227" t="s">
        <v>157</v>
      </c>
      <c r="C204" s="227" t="s">
        <v>302</v>
      </c>
      <c r="D204" s="228">
        <v>50</v>
      </c>
      <c r="E204" s="231">
        <v>11949</v>
      </c>
      <c r="F204" s="231">
        <v>11857</v>
      </c>
      <c r="G204" s="228">
        <v>92</v>
      </c>
      <c r="H204" s="229">
        <v>7.7999999999999996E-3</v>
      </c>
      <c r="I204" s="231">
        <v>11901</v>
      </c>
      <c r="J204" s="231">
        <v>11784</v>
      </c>
      <c r="K204" s="228">
        <v>117</v>
      </c>
      <c r="L204" s="229">
        <v>9.9000000000000008E-3</v>
      </c>
      <c r="M204" s="231">
        <v>11949</v>
      </c>
      <c r="N204" s="231">
        <v>11857</v>
      </c>
      <c r="O204" s="228">
        <v>92</v>
      </c>
      <c r="P204" s="229">
        <v>7.7999999999999996E-3</v>
      </c>
      <c r="Q204" s="231">
        <v>12018</v>
      </c>
      <c r="R204" s="231">
        <v>11927</v>
      </c>
      <c r="S204" s="228">
        <v>91</v>
      </c>
      <c r="T204" s="229">
        <v>7.6E-3</v>
      </c>
      <c r="U204" s="231">
        <v>12098</v>
      </c>
      <c r="V204" s="231">
        <v>12000</v>
      </c>
      <c r="W204" s="228">
        <v>98</v>
      </c>
      <c r="X204" s="229">
        <v>8.2000000000000007E-3</v>
      </c>
      <c r="Y204" s="228">
        <v>48</v>
      </c>
      <c r="Z204" s="228">
        <v>73</v>
      </c>
      <c r="AA204" s="228">
        <v>-25</v>
      </c>
      <c r="AB204" s="229">
        <v>4.0000000000000001E-3</v>
      </c>
      <c r="AC204" s="228">
        <v>48</v>
      </c>
      <c r="AD204" s="228">
        <v>73</v>
      </c>
      <c r="AE204" s="228">
        <v>-25</v>
      </c>
      <c r="AF204" s="229">
        <v>4.0000000000000001E-3</v>
      </c>
      <c r="AG204" s="228">
        <v>117</v>
      </c>
      <c r="AH204" s="228">
        <v>143</v>
      </c>
      <c r="AI204" s="228">
        <v>-26</v>
      </c>
      <c r="AJ204" s="229">
        <v>9.7999999999999997E-3</v>
      </c>
      <c r="AK204" s="228">
        <v>197</v>
      </c>
      <c r="AL204" s="228">
        <v>216</v>
      </c>
      <c r="AM204" s="228">
        <v>-19</v>
      </c>
      <c r="AN204" s="229">
        <v>1.66E-2</v>
      </c>
      <c r="AO204" s="231">
        <v>11922.14</v>
      </c>
      <c r="AP204" s="231">
        <v>11992.28</v>
      </c>
      <c r="AQ204" s="228">
        <v>0</v>
      </c>
      <c r="AR204" s="230">
        <v>173500</v>
      </c>
      <c r="AS204" s="230">
        <v>177450</v>
      </c>
      <c r="AT204" s="230">
        <v>-3950</v>
      </c>
      <c r="AU204" s="229">
        <v>-2.23E-2</v>
      </c>
      <c r="AV204" s="230">
        <v>166100</v>
      </c>
      <c r="AW204" s="230">
        <v>171700</v>
      </c>
      <c r="AX204" s="230">
        <v>-5600</v>
      </c>
      <c r="AY204" s="229">
        <v>-3.2599999999999997E-2</v>
      </c>
      <c r="AZ204" s="230">
        <v>5700</v>
      </c>
      <c r="BA204" s="230">
        <v>5550</v>
      </c>
      <c r="BB204" s="228">
        <v>150</v>
      </c>
      <c r="BC204" s="229">
        <v>2.7E-2</v>
      </c>
      <c r="BD204" s="230">
        <v>1700</v>
      </c>
      <c r="BE204" s="228">
        <v>200</v>
      </c>
      <c r="BF204" s="230">
        <v>1500</v>
      </c>
      <c r="BG204" s="229">
        <v>7.5</v>
      </c>
      <c r="BH204" s="230">
        <v>633850</v>
      </c>
      <c r="BI204" s="230">
        <v>437350</v>
      </c>
      <c r="BJ204" s="230">
        <v>196500</v>
      </c>
      <c r="BK204" s="229">
        <v>0.44929999999999998</v>
      </c>
      <c r="BL204" s="230">
        <v>205350</v>
      </c>
      <c r="BM204" s="230">
        <v>192700</v>
      </c>
      <c r="BN204" s="230">
        <v>12650</v>
      </c>
      <c r="BO204" s="229">
        <v>6.5600000000000006E-2</v>
      </c>
      <c r="BP204" s="230">
        <v>1012700</v>
      </c>
      <c r="BQ204" s="230">
        <v>807500</v>
      </c>
      <c r="BR204" s="230">
        <v>205200</v>
      </c>
      <c r="BS204" s="229">
        <v>0.25409999999999999</v>
      </c>
      <c r="BT204" s="230">
        <v>78138</v>
      </c>
      <c r="BU204" s="230">
        <v>177644</v>
      </c>
      <c r="BV204" s="230">
        <v>-99506</v>
      </c>
      <c r="BW204" s="229">
        <v>-0.56010000000000004</v>
      </c>
      <c r="BX204" s="230">
        <v>3037500</v>
      </c>
      <c r="BY204" s="230">
        <v>3071250</v>
      </c>
      <c r="BZ204" s="230">
        <v>-33750</v>
      </c>
      <c r="CA204" s="229">
        <v>-1.0999999999999999E-2</v>
      </c>
      <c r="CB204" s="230">
        <v>3009900</v>
      </c>
      <c r="CC204" s="230">
        <v>3046500</v>
      </c>
      <c r="CD204" s="230">
        <v>-36600</v>
      </c>
      <c r="CE204" s="229">
        <v>-1.2E-2</v>
      </c>
      <c r="CF204" s="230">
        <v>25750</v>
      </c>
      <c r="CG204" s="230">
        <v>24600</v>
      </c>
      <c r="CH204" s="230">
        <v>1150</v>
      </c>
      <c r="CI204" s="229">
        <v>4.6699999999999998E-2</v>
      </c>
      <c r="CJ204" s="230">
        <v>1850</v>
      </c>
      <c r="CK204" s="228">
        <v>150</v>
      </c>
      <c r="CL204" s="230">
        <v>1700</v>
      </c>
      <c r="CM204" s="229">
        <v>11.333299999999999</v>
      </c>
      <c r="CN204" s="230">
        <v>362200</v>
      </c>
      <c r="CO204" s="230">
        <v>294550</v>
      </c>
      <c r="CP204" s="230">
        <v>67650</v>
      </c>
      <c r="CQ204" s="229">
        <v>0.22969999999999999</v>
      </c>
      <c r="CR204" s="230">
        <v>250950</v>
      </c>
      <c r="CS204" s="230">
        <v>216900</v>
      </c>
      <c r="CT204" s="230">
        <v>34050</v>
      </c>
      <c r="CU204" s="229">
        <v>0.157</v>
      </c>
      <c r="CV204" s="230">
        <v>3650650</v>
      </c>
      <c r="CW204" s="230">
        <v>3582700</v>
      </c>
      <c r="CX204" s="230">
        <v>67950</v>
      </c>
      <c r="CY204" s="229">
        <v>1.9E-2</v>
      </c>
      <c r="CZ204" s="228">
        <v>17.72</v>
      </c>
      <c r="DA204" s="228">
        <v>17.61</v>
      </c>
      <c r="DB204" s="228">
        <v>0.11</v>
      </c>
      <c r="DC204" s="228">
        <v>0.11</v>
      </c>
      <c r="DD204" s="228">
        <v>23.65</v>
      </c>
      <c r="DE204" s="228">
        <v>23.68</v>
      </c>
      <c r="DF204" s="228">
        <v>-5.93</v>
      </c>
      <c r="DG204" s="228">
        <v>-0.03</v>
      </c>
      <c r="DH204" s="228">
        <v>17.649999999999999</v>
      </c>
      <c r="DI204" s="228">
        <v>17.5</v>
      </c>
      <c r="DJ204" s="228">
        <v>0.15</v>
      </c>
      <c r="DK204" s="228">
        <v>0.15</v>
      </c>
      <c r="DL204" s="228">
        <v>17.920000000000002</v>
      </c>
      <c r="DM204" s="228">
        <v>17.850000000000001</v>
      </c>
      <c r="DN204" s="228">
        <v>7.0000000000000007E-2</v>
      </c>
      <c r="DO204" s="228">
        <v>7.0000000000000007E-2</v>
      </c>
      <c r="DP204" s="228">
        <v>0.69</v>
      </c>
      <c r="DQ204" s="228">
        <v>0.74</v>
      </c>
      <c r="DR204" s="228">
        <v>-0.05</v>
      </c>
      <c r="DS204" s="229">
        <v>-6.7599999999999993E-2</v>
      </c>
      <c r="DT204" s="231">
        <v>12000</v>
      </c>
      <c r="DU204" s="231">
        <v>11500</v>
      </c>
      <c r="DV204" s="228">
        <v>0.32</v>
      </c>
      <c r="DW204" s="228">
        <v>0.44</v>
      </c>
      <c r="DX204" s="228">
        <v>-0.12</v>
      </c>
      <c r="DY204" s="229">
        <v>-0.2727</v>
      </c>
      <c r="DZ204" s="229">
        <v>9.1000000000000004E-3</v>
      </c>
      <c r="EA204" s="230">
        <v>24750</v>
      </c>
      <c r="EB204" s="229">
        <v>5.7999999999999996E-3</v>
      </c>
      <c r="EC204" s="229">
        <v>9.1000000000000004E-3</v>
      </c>
      <c r="ED204" s="228">
        <v>70.14</v>
      </c>
      <c r="EE204" s="229">
        <v>5.8999999999999999E-3</v>
      </c>
      <c r="EF204" s="230">
        <v>30450</v>
      </c>
      <c r="EG204" s="230">
        <v>119754</v>
      </c>
      <c r="EH204" s="229">
        <v>-0.74570000000000003</v>
      </c>
      <c r="EI204" s="229">
        <v>0.38969999999999999</v>
      </c>
      <c r="EJ204" s="231">
        <v>78692.06</v>
      </c>
      <c r="EK204" s="231">
        <v>24076.13</v>
      </c>
      <c r="EL204" s="231">
        <v>20691.72</v>
      </c>
      <c r="EM204" s="231">
        <v>17998</v>
      </c>
      <c r="EN204" s="231">
        <v>123459.91</v>
      </c>
      <c r="EO204" s="231">
        <v>97297.81</v>
      </c>
      <c r="EP204" s="231">
        <v>26162.1</v>
      </c>
      <c r="EQ204" s="229">
        <v>0.26889999999999997</v>
      </c>
      <c r="ER204" s="231">
        <v>44585</v>
      </c>
      <c r="ES204" s="231">
        <v>28986</v>
      </c>
      <c r="ET204" s="231">
        <v>362971</v>
      </c>
      <c r="EU204" s="231">
        <v>11955674</v>
      </c>
      <c r="EV204" s="231">
        <v>436543</v>
      </c>
      <c r="EW204" s="231">
        <v>425280</v>
      </c>
      <c r="EX204" s="231">
        <v>11263</v>
      </c>
      <c r="EY204" s="229">
        <v>2.6499999999999999E-2</v>
      </c>
      <c r="EZ204" s="229">
        <v>0.30530000000000002</v>
      </c>
      <c r="FA204" s="227" t="s">
        <v>556</v>
      </c>
      <c r="FB204" s="161">
        <f t="shared" si="5"/>
        <v>0</v>
      </c>
    </row>
    <row r="205" spans="1:158" ht="17.25" thickBot="1" x14ac:dyDescent="0.3">
      <c r="A205" s="226">
        <v>46023</v>
      </c>
      <c r="B205" s="227" t="s">
        <v>172</v>
      </c>
      <c r="C205" s="227" t="s">
        <v>593</v>
      </c>
      <c r="D205" s="228">
        <v>4425</v>
      </c>
      <c r="E205" s="228">
        <v>154.5</v>
      </c>
      <c r="F205" s="228">
        <v>154.81</v>
      </c>
      <c r="G205" s="228">
        <v>-0.31</v>
      </c>
      <c r="H205" s="229">
        <v>-2E-3</v>
      </c>
      <c r="I205" s="228">
        <v>153.58000000000001</v>
      </c>
      <c r="J205" s="228">
        <v>153.76</v>
      </c>
      <c r="K205" s="228">
        <v>-0.18</v>
      </c>
      <c r="L205" s="229">
        <v>-1.1999999999999999E-3</v>
      </c>
      <c r="M205" s="228">
        <v>154.5</v>
      </c>
      <c r="N205" s="228">
        <v>154.81</v>
      </c>
      <c r="O205" s="228">
        <v>-0.31</v>
      </c>
      <c r="P205" s="229">
        <v>-2E-3</v>
      </c>
      <c r="Q205" s="228">
        <v>155.44</v>
      </c>
      <c r="R205" s="228">
        <v>155.66999999999999</v>
      </c>
      <c r="S205" s="228">
        <v>-0.23</v>
      </c>
      <c r="T205" s="229">
        <v>-1.5E-3</v>
      </c>
      <c r="U205" s="228">
        <v>155.69999999999999</v>
      </c>
      <c r="V205" s="228">
        <v>157.5</v>
      </c>
      <c r="W205" s="228">
        <v>-1.8</v>
      </c>
      <c r="X205" s="229">
        <v>-1.14E-2</v>
      </c>
      <c r="Y205" s="228">
        <v>0.92</v>
      </c>
      <c r="Z205" s="228">
        <v>1.05</v>
      </c>
      <c r="AA205" s="228">
        <v>-0.13</v>
      </c>
      <c r="AB205" s="229">
        <v>6.0000000000000001E-3</v>
      </c>
      <c r="AC205" s="228">
        <v>0.92</v>
      </c>
      <c r="AD205" s="228">
        <v>1.05</v>
      </c>
      <c r="AE205" s="228">
        <v>-0.13</v>
      </c>
      <c r="AF205" s="229">
        <v>6.0000000000000001E-3</v>
      </c>
      <c r="AG205" s="228">
        <v>1.86</v>
      </c>
      <c r="AH205" s="228">
        <v>1.91</v>
      </c>
      <c r="AI205" s="228">
        <v>-0.05</v>
      </c>
      <c r="AJ205" s="229">
        <v>1.21E-2</v>
      </c>
      <c r="AK205" s="228">
        <v>2.12</v>
      </c>
      <c r="AL205" s="228">
        <v>3.74</v>
      </c>
      <c r="AM205" s="228">
        <v>-1.62</v>
      </c>
      <c r="AN205" s="229">
        <v>1.38E-2</v>
      </c>
      <c r="AO205" s="228">
        <v>154.51</v>
      </c>
      <c r="AP205" s="228">
        <v>155.51</v>
      </c>
      <c r="AQ205" s="228">
        <v>0</v>
      </c>
      <c r="AR205" s="230">
        <v>12075825</v>
      </c>
      <c r="AS205" s="230">
        <v>22841850</v>
      </c>
      <c r="AT205" s="230">
        <v>-10766025</v>
      </c>
      <c r="AU205" s="229">
        <v>-0.4713</v>
      </c>
      <c r="AV205" s="230">
        <v>11491725</v>
      </c>
      <c r="AW205" s="230">
        <v>22266600</v>
      </c>
      <c r="AX205" s="230">
        <v>-10774875</v>
      </c>
      <c r="AY205" s="229">
        <v>-0.4839</v>
      </c>
      <c r="AZ205" s="230">
        <v>557550</v>
      </c>
      <c r="BA205" s="230">
        <v>561975</v>
      </c>
      <c r="BB205" s="230">
        <v>-4425</v>
      </c>
      <c r="BC205" s="229">
        <v>-7.9000000000000008E-3</v>
      </c>
      <c r="BD205" s="230">
        <v>26550</v>
      </c>
      <c r="BE205" s="230">
        <v>13275</v>
      </c>
      <c r="BF205" s="230">
        <v>13275</v>
      </c>
      <c r="BG205" s="229">
        <v>1</v>
      </c>
      <c r="BH205" s="230">
        <v>14615775</v>
      </c>
      <c r="BI205" s="230">
        <v>31081200</v>
      </c>
      <c r="BJ205" s="230">
        <v>-16465425</v>
      </c>
      <c r="BK205" s="229">
        <v>-0.52980000000000005</v>
      </c>
      <c r="BL205" s="230">
        <v>7544625</v>
      </c>
      <c r="BM205" s="230">
        <v>22908225</v>
      </c>
      <c r="BN205" s="230">
        <v>-15363600</v>
      </c>
      <c r="BO205" s="229">
        <v>-0.67069999999999996</v>
      </c>
      <c r="BP205" s="230">
        <v>34236225</v>
      </c>
      <c r="BQ205" s="230">
        <v>76831275</v>
      </c>
      <c r="BR205" s="230">
        <v>-42595050</v>
      </c>
      <c r="BS205" s="229">
        <v>-0.5544</v>
      </c>
      <c r="BT205" s="230">
        <v>6317355</v>
      </c>
      <c r="BU205" s="230">
        <v>12176157</v>
      </c>
      <c r="BV205" s="230">
        <v>-5858802</v>
      </c>
      <c r="BW205" s="229">
        <v>-0.48120000000000002</v>
      </c>
      <c r="BX205" s="230">
        <v>79822575</v>
      </c>
      <c r="BY205" s="230">
        <v>77813625</v>
      </c>
      <c r="BZ205" s="230">
        <v>2008950</v>
      </c>
      <c r="CA205" s="229">
        <v>2.58E-2</v>
      </c>
      <c r="CB205" s="230">
        <v>78335775</v>
      </c>
      <c r="CC205" s="230">
        <v>76543650</v>
      </c>
      <c r="CD205" s="230">
        <v>1792125</v>
      </c>
      <c r="CE205" s="229">
        <v>2.3400000000000001E-2</v>
      </c>
      <c r="CF205" s="230">
        <v>1460250</v>
      </c>
      <c r="CG205" s="230">
        <v>1261125</v>
      </c>
      <c r="CH205" s="230">
        <v>199125</v>
      </c>
      <c r="CI205" s="229">
        <v>0.15790000000000001</v>
      </c>
      <c r="CJ205" s="230">
        <v>26550</v>
      </c>
      <c r="CK205" s="230">
        <v>8850</v>
      </c>
      <c r="CL205" s="230">
        <v>17700</v>
      </c>
      <c r="CM205" s="229">
        <v>2</v>
      </c>
      <c r="CN205" s="230">
        <v>17173425</v>
      </c>
      <c r="CO205" s="230">
        <v>15390150</v>
      </c>
      <c r="CP205" s="230">
        <v>1783275</v>
      </c>
      <c r="CQ205" s="229">
        <v>0.1159</v>
      </c>
      <c r="CR205" s="230">
        <v>18045150</v>
      </c>
      <c r="CS205" s="230">
        <v>17129175</v>
      </c>
      <c r="CT205" s="230">
        <v>915975</v>
      </c>
      <c r="CU205" s="229">
        <v>5.3499999999999999E-2</v>
      </c>
      <c r="CV205" s="230">
        <v>115041150</v>
      </c>
      <c r="CW205" s="230">
        <v>110332950</v>
      </c>
      <c r="CX205" s="230">
        <v>4708200</v>
      </c>
      <c r="CY205" s="229">
        <v>4.2700000000000002E-2</v>
      </c>
      <c r="CZ205" s="228">
        <v>26.75</v>
      </c>
      <c r="DA205" s="228">
        <v>27.04</v>
      </c>
      <c r="DB205" s="228">
        <v>-0.28999999999999998</v>
      </c>
      <c r="DC205" s="228">
        <v>-0.28999999999999998</v>
      </c>
      <c r="DD205" s="228">
        <v>39.9</v>
      </c>
      <c r="DE205" s="228">
        <v>40</v>
      </c>
      <c r="DF205" s="228">
        <v>-13.15</v>
      </c>
      <c r="DG205" s="228">
        <v>-0.1</v>
      </c>
      <c r="DH205" s="228">
        <v>26.76</v>
      </c>
      <c r="DI205" s="228">
        <v>27.19</v>
      </c>
      <c r="DJ205" s="228">
        <v>-0.43</v>
      </c>
      <c r="DK205" s="228">
        <v>-0.43</v>
      </c>
      <c r="DL205" s="228">
        <v>26.71</v>
      </c>
      <c r="DM205" s="228">
        <v>26.83</v>
      </c>
      <c r="DN205" s="228">
        <v>-0.12</v>
      </c>
      <c r="DO205" s="228">
        <v>-0.12</v>
      </c>
      <c r="DP205" s="228">
        <v>1.05</v>
      </c>
      <c r="DQ205" s="228">
        <v>1.1100000000000001</v>
      </c>
      <c r="DR205" s="228">
        <v>-0.06</v>
      </c>
      <c r="DS205" s="229">
        <v>-5.4100000000000002E-2</v>
      </c>
      <c r="DT205" s="228">
        <v>155</v>
      </c>
      <c r="DU205" s="228">
        <v>150</v>
      </c>
      <c r="DV205" s="228">
        <v>0.52</v>
      </c>
      <c r="DW205" s="228">
        <v>0.74</v>
      </c>
      <c r="DX205" s="228">
        <v>-0.22</v>
      </c>
      <c r="DY205" s="229">
        <v>-0.29730000000000001</v>
      </c>
      <c r="DZ205" s="229">
        <v>1.8599999999999998E-2</v>
      </c>
      <c r="EA205" s="230">
        <v>1269975</v>
      </c>
      <c r="EB205" s="229">
        <v>6.1000000000000004E-3</v>
      </c>
      <c r="EC205" s="229">
        <v>1.8599999999999998E-2</v>
      </c>
      <c r="ED205" s="228">
        <v>1</v>
      </c>
      <c r="EE205" s="229">
        <v>6.4999999999999997E-3</v>
      </c>
      <c r="EF205" s="230">
        <v>2308255</v>
      </c>
      <c r="EG205" s="230">
        <v>5060634</v>
      </c>
      <c r="EH205" s="229">
        <v>-0.54390000000000005</v>
      </c>
      <c r="EI205" s="229">
        <v>0.3654</v>
      </c>
      <c r="EJ205" s="231">
        <v>23599.18</v>
      </c>
      <c r="EK205" s="231">
        <v>11554.35</v>
      </c>
      <c r="EL205" s="231">
        <v>18664.25</v>
      </c>
      <c r="EM205" s="231">
        <v>11110</v>
      </c>
      <c r="EN205" s="231">
        <v>53817.78</v>
      </c>
      <c r="EO205" s="231">
        <v>120516.02</v>
      </c>
      <c r="EP205" s="231">
        <v>-66698.240000000005</v>
      </c>
      <c r="EQ205" s="229">
        <v>-0.5534</v>
      </c>
      <c r="ER205" s="231">
        <v>27197</v>
      </c>
      <c r="ES205" s="231">
        <v>26797</v>
      </c>
      <c r="ET205" s="231">
        <v>123340</v>
      </c>
      <c r="EU205" s="231">
        <v>289041713</v>
      </c>
      <c r="EV205" s="231">
        <v>177334</v>
      </c>
      <c r="EW205" s="231">
        <v>170272</v>
      </c>
      <c r="EX205" s="231">
        <v>7062</v>
      </c>
      <c r="EY205" s="229">
        <v>4.1500000000000002E-2</v>
      </c>
      <c r="EZ205" s="229">
        <v>0.39800000000000002</v>
      </c>
      <c r="FA205" s="227" t="s">
        <v>567</v>
      </c>
      <c r="FB205" s="161">
        <f t="shared" si="5"/>
        <v>0</v>
      </c>
    </row>
    <row r="206" spans="1:158" ht="17.25" thickBot="1" x14ac:dyDescent="0.3">
      <c r="A206" s="226">
        <v>46023</v>
      </c>
      <c r="B206" s="227" t="s">
        <v>168</v>
      </c>
      <c r="C206" s="227" t="s">
        <v>569</v>
      </c>
      <c r="D206" s="228">
        <v>400</v>
      </c>
      <c r="E206" s="231">
        <v>1409.5</v>
      </c>
      <c r="F206" s="231">
        <v>1449</v>
      </c>
      <c r="G206" s="228">
        <v>-39.5</v>
      </c>
      <c r="H206" s="229">
        <v>-2.7300000000000001E-2</v>
      </c>
      <c r="I206" s="231">
        <v>1404.2</v>
      </c>
      <c r="J206" s="231">
        <v>1443.7</v>
      </c>
      <c r="K206" s="228">
        <v>-39.5</v>
      </c>
      <c r="L206" s="229">
        <v>-2.7400000000000001E-2</v>
      </c>
      <c r="M206" s="231">
        <v>1409.5</v>
      </c>
      <c r="N206" s="231">
        <v>1449</v>
      </c>
      <c r="O206" s="228">
        <v>-39.5</v>
      </c>
      <c r="P206" s="229">
        <v>-2.7300000000000001E-2</v>
      </c>
      <c r="Q206" s="231">
        <v>1418.8</v>
      </c>
      <c r="R206" s="231">
        <v>1457.1</v>
      </c>
      <c r="S206" s="228">
        <v>-38.299999999999997</v>
      </c>
      <c r="T206" s="229">
        <v>-2.63E-2</v>
      </c>
      <c r="U206" s="231">
        <v>1426.3</v>
      </c>
      <c r="V206" s="231">
        <v>1466</v>
      </c>
      <c r="W206" s="228">
        <v>-39.700000000000003</v>
      </c>
      <c r="X206" s="229">
        <v>-2.7099999999999999E-2</v>
      </c>
      <c r="Y206" s="228">
        <v>5.3</v>
      </c>
      <c r="Z206" s="228">
        <v>5.3</v>
      </c>
      <c r="AA206" s="228">
        <v>0</v>
      </c>
      <c r="AB206" s="229">
        <v>3.8E-3</v>
      </c>
      <c r="AC206" s="228">
        <v>5.3</v>
      </c>
      <c r="AD206" s="228">
        <v>5.3</v>
      </c>
      <c r="AE206" s="228">
        <v>0</v>
      </c>
      <c r="AF206" s="229">
        <v>3.8E-3</v>
      </c>
      <c r="AG206" s="228">
        <v>14.6</v>
      </c>
      <c r="AH206" s="228">
        <v>13.4</v>
      </c>
      <c r="AI206" s="228">
        <v>1.2</v>
      </c>
      <c r="AJ206" s="229">
        <v>1.04E-2</v>
      </c>
      <c r="AK206" s="228">
        <v>22.1</v>
      </c>
      <c r="AL206" s="228">
        <v>22.3</v>
      </c>
      <c r="AM206" s="228">
        <v>-0.2</v>
      </c>
      <c r="AN206" s="229">
        <v>1.5699999999999999E-2</v>
      </c>
      <c r="AO206" s="231">
        <v>1417.98</v>
      </c>
      <c r="AP206" s="231">
        <v>1424.61</v>
      </c>
      <c r="AQ206" s="228">
        <v>0</v>
      </c>
      <c r="AR206" s="230">
        <v>2030000</v>
      </c>
      <c r="AS206" s="230">
        <v>1867200</v>
      </c>
      <c r="AT206" s="230">
        <v>162800</v>
      </c>
      <c r="AU206" s="229">
        <v>8.72E-2</v>
      </c>
      <c r="AV206" s="230">
        <v>1951200</v>
      </c>
      <c r="AW206" s="230">
        <v>1824800</v>
      </c>
      <c r="AX206" s="230">
        <v>126400</v>
      </c>
      <c r="AY206" s="229">
        <v>6.93E-2</v>
      </c>
      <c r="AZ206" s="230">
        <v>69200</v>
      </c>
      <c r="BA206" s="230">
        <v>40400</v>
      </c>
      <c r="BB206" s="230">
        <v>28800</v>
      </c>
      <c r="BC206" s="229">
        <v>0.71289999999999998</v>
      </c>
      <c r="BD206" s="230">
        <v>9600</v>
      </c>
      <c r="BE206" s="230">
        <v>2000</v>
      </c>
      <c r="BF206" s="230">
        <v>7600</v>
      </c>
      <c r="BG206" s="229">
        <v>3.8</v>
      </c>
      <c r="BH206" s="230">
        <v>6743200</v>
      </c>
      <c r="BI206" s="230">
        <v>4434000</v>
      </c>
      <c r="BJ206" s="230">
        <v>2309200</v>
      </c>
      <c r="BK206" s="229">
        <v>0.52080000000000004</v>
      </c>
      <c r="BL206" s="230">
        <v>5091600</v>
      </c>
      <c r="BM206" s="230">
        <v>1475600</v>
      </c>
      <c r="BN206" s="230">
        <v>3616000</v>
      </c>
      <c r="BO206" s="229">
        <v>2.4504999999999999</v>
      </c>
      <c r="BP206" s="230">
        <v>13864800</v>
      </c>
      <c r="BQ206" s="230">
        <v>7776800</v>
      </c>
      <c r="BR206" s="230">
        <v>6088000</v>
      </c>
      <c r="BS206" s="229">
        <v>0.78280000000000005</v>
      </c>
      <c r="BT206" s="230">
        <v>1076470</v>
      </c>
      <c r="BU206" s="230">
        <v>790291</v>
      </c>
      <c r="BV206" s="230">
        <v>286179</v>
      </c>
      <c r="BW206" s="229">
        <v>0.36209999999999998</v>
      </c>
      <c r="BX206" s="230">
        <v>12302800</v>
      </c>
      <c r="BY206" s="230">
        <v>12002800</v>
      </c>
      <c r="BZ206" s="230">
        <v>300000</v>
      </c>
      <c r="CA206" s="229">
        <v>2.5000000000000001E-2</v>
      </c>
      <c r="CB206" s="230">
        <v>12173600</v>
      </c>
      <c r="CC206" s="230">
        <v>11898800</v>
      </c>
      <c r="CD206" s="230">
        <v>274800</v>
      </c>
      <c r="CE206" s="229">
        <v>2.3099999999999999E-2</v>
      </c>
      <c r="CF206" s="230">
        <v>120000</v>
      </c>
      <c r="CG206" s="230">
        <v>103600</v>
      </c>
      <c r="CH206" s="230">
        <v>16400</v>
      </c>
      <c r="CI206" s="229">
        <v>0.1583</v>
      </c>
      <c r="CJ206" s="230">
        <v>9200</v>
      </c>
      <c r="CK206" s="228">
        <v>400</v>
      </c>
      <c r="CL206" s="230">
        <v>8800</v>
      </c>
      <c r="CM206" s="229">
        <v>22</v>
      </c>
      <c r="CN206" s="230">
        <v>3183200</v>
      </c>
      <c r="CO206" s="230">
        <v>2282800</v>
      </c>
      <c r="CP206" s="230">
        <v>900400</v>
      </c>
      <c r="CQ206" s="229">
        <v>0.39439999999999997</v>
      </c>
      <c r="CR206" s="230">
        <v>2492800</v>
      </c>
      <c r="CS206" s="230">
        <v>1782800</v>
      </c>
      <c r="CT206" s="230">
        <v>710000</v>
      </c>
      <c r="CU206" s="229">
        <v>0.3982</v>
      </c>
      <c r="CV206" s="230">
        <v>17978800</v>
      </c>
      <c r="CW206" s="230">
        <v>16068400</v>
      </c>
      <c r="CX206" s="230">
        <v>1910400</v>
      </c>
      <c r="CY206" s="229">
        <v>0.11890000000000001</v>
      </c>
      <c r="CZ206" s="228">
        <v>22.97</v>
      </c>
      <c r="DA206" s="228">
        <v>21.3</v>
      </c>
      <c r="DB206" s="228">
        <v>1.67</v>
      </c>
      <c r="DC206" s="228">
        <v>1.67</v>
      </c>
      <c r="DD206" s="228">
        <v>27.11</v>
      </c>
      <c r="DE206" s="228">
        <v>26.91</v>
      </c>
      <c r="DF206" s="228">
        <v>-4.1399999999999997</v>
      </c>
      <c r="DG206" s="228">
        <v>0.2</v>
      </c>
      <c r="DH206" s="228">
        <v>22.9</v>
      </c>
      <c r="DI206" s="228">
        <v>21.25</v>
      </c>
      <c r="DJ206" s="228">
        <v>1.65</v>
      </c>
      <c r="DK206" s="228">
        <v>1.65</v>
      </c>
      <c r="DL206" s="228">
        <v>23.06</v>
      </c>
      <c r="DM206" s="228">
        <v>21.45</v>
      </c>
      <c r="DN206" s="228">
        <v>1.61</v>
      </c>
      <c r="DO206" s="228">
        <v>1.61</v>
      </c>
      <c r="DP206" s="228">
        <v>0.78</v>
      </c>
      <c r="DQ206" s="228">
        <v>0.78</v>
      </c>
      <c r="DR206" s="228">
        <v>0</v>
      </c>
      <c r="DS206" s="229">
        <v>0</v>
      </c>
      <c r="DT206" s="231">
        <v>1440</v>
      </c>
      <c r="DU206" s="231">
        <v>1300</v>
      </c>
      <c r="DV206" s="228">
        <v>0.76</v>
      </c>
      <c r="DW206" s="228">
        <v>0.33</v>
      </c>
      <c r="DX206" s="228">
        <v>0.43</v>
      </c>
      <c r="DY206" s="229">
        <v>1.3029999999999999</v>
      </c>
      <c r="DZ206" s="229">
        <v>1.0500000000000001E-2</v>
      </c>
      <c r="EA206" s="230">
        <v>104000</v>
      </c>
      <c r="EB206" s="229">
        <v>6.6E-3</v>
      </c>
      <c r="EC206" s="229">
        <v>1.0500000000000001E-2</v>
      </c>
      <c r="ED206" s="228">
        <v>6.63</v>
      </c>
      <c r="EE206" s="229">
        <v>4.7000000000000002E-3</v>
      </c>
      <c r="EF206" s="230">
        <v>546655</v>
      </c>
      <c r="EG206" s="230">
        <v>475074</v>
      </c>
      <c r="EH206" s="229">
        <v>0.1507</v>
      </c>
      <c r="EI206" s="229">
        <v>0.50780000000000003</v>
      </c>
      <c r="EJ206" s="231">
        <v>99456.45</v>
      </c>
      <c r="EK206" s="231">
        <v>70554.679999999993</v>
      </c>
      <c r="EL206" s="231">
        <v>28791.48</v>
      </c>
      <c r="EM206" s="231">
        <v>13894</v>
      </c>
      <c r="EN206" s="231">
        <v>198802.61</v>
      </c>
      <c r="EO206" s="231">
        <v>113758.25</v>
      </c>
      <c r="EP206" s="231">
        <v>85044.36</v>
      </c>
      <c r="EQ206" s="229">
        <v>0.74760000000000004</v>
      </c>
      <c r="ER206" s="231">
        <v>46558</v>
      </c>
      <c r="ES206" s="231">
        <v>34697</v>
      </c>
      <c r="ET206" s="231">
        <v>173421</v>
      </c>
      <c r="EU206" s="231">
        <v>37091426</v>
      </c>
      <c r="EV206" s="231">
        <v>254677</v>
      </c>
      <c r="EW206" s="231">
        <v>232806</v>
      </c>
      <c r="EX206" s="231">
        <v>21871</v>
      </c>
      <c r="EY206" s="229">
        <v>9.3899999999999997E-2</v>
      </c>
      <c r="EZ206" s="229">
        <v>0.48470000000000002</v>
      </c>
      <c r="FA206" s="227" t="s">
        <v>567</v>
      </c>
      <c r="FB206" s="161">
        <f t="shared" si="5"/>
        <v>0</v>
      </c>
    </row>
    <row r="207" spans="1:158" ht="17.25" thickBot="1" x14ac:dyDescent="0.3">
      <c r="A207" s="226">
        <v>46023</v>
      </c>
      <c r="B207" s="227" t="s">
        <v>162</v>
      </c>
      <c r="C207" s="227" t="s">
        <v>674</v>
      </c>
      <c r="D207" s="228">
        <v>550</v>
      </c>
      <c r="E207" s="231">
        <v>1296</v>
      </c>
      <c r="F207" s="231">
        <v>1289.3</v>
      </c>
      <c r="G207" s="228">
        <v>6.7</v>
      </c>
      <c r="H207" s="229">
        <v>5.1999999999999998E-3</v>
      </c>
      <c r="I207" s="231">
        <v>1286.7</v>
      </c>
      <c r="J207" s="231">
        <v>1285.8</v>
      </c>
      <c r="K207" s="228">
        <v>0.9</v>
      </c>
      <c r="L207" s="229">
        <v>6.9999999999999999E-4</v>
      </c>
      <c r="M207" s="231">
        <v>1296</v>
      </c>
      <c r="N207" s="231">
        <v>1289.3</v>
      </c>
      <c r="O207" s="228">
        <v>6.7</v>
      </c>
      <c r="P207" s="229">
        <v>5.1999999999999998E-3</v>
      </c>
      <c r="Q207" s="231">
        <v>1302.8</v>
      </c>
      <c r="R207" s="231">
        <v>1295.5</v>
      </c>
      <c r="S207" s="228">
        <v>7.3</v>
      </c>
      <c r="T207" s="229">
        <v>5.5999999999999999E-3</v>
      </c>
      <c r="U207" s="228">
        <v>0</v>
      </c>
      <c r="V207" s="228">
        <v>0</v>
      </c>
      <c r="W207" s="228">
        <v>0</v>
      </c>
      <c r="X207" s="229">
        <v>0</v>
      </c>
      <c r="Y207" s="228">
        <v>9.3000000000000007</v>
      </c>
      <c r="Z207" s="228">
        <v>3.5</v>
      </c>
      <c r="AA207" s="228">
        <v>5.8</v>
      </c>
      <c r="AB207" s="229">
        <v>7.1999999999999998E-3</v>
      </c>
      <c r="AC207" s="228">
        <v>9.3000000000000007</v>
      </c>
      <c r="AD207" s="228">
        <v>3.5</v>
      </c>
      <c r="AE207" s="228">
        <v>5.8</v>
      </c>
      <c r="AF207" s="229">
        <v>7.1999999999999998E-3</v>
      </c>
      <c r="AG207" s="228">
        <v>16.100000000000001</v>
      </c>
      <c r="AH207" s="228">
        <v>9.6999999999999993</v>
      </c>
      <c r="AI207" s="228">
        <v>6.4</v>
      </c>
      <c r="AJ207" s="229">
        <v>1.2500000000000001E-2</v>
      </c>
      <c r="AK207" s="228">
        <v>0</v>
      </c>
      <c r="AL207" s="228">
        <v>0</v>
      </c>
      <c r="AM207" s="228">
        <v>0</v>
      </c>
      <c r="AN207" s="229">
        <v>0</v>
      </c>
      <c r="AO207" s="231">
        <v>1297.75</v>
      </c>
      <c r="AP207" s="231">
        <v>1302.7</v>
      </c>
      <c r="AQ207" s="228">
        <v>0</v>
      </c>
      <c r="AR207" s="230">
        <v>686950</v>
      </c>
      <c r="AS207" s="230">
        <v>633600</v>
      </c>
      <c r="AT207" s="230">
        <v>53350</v>
      </c>
      <c r="AU207" s="229">
        <v>8.4199999999999997E-2</v>
      </c>
      <c r="AV207" s="230">
        <v>671000</v>
      </c>
      <c r="AW207" s="230">
        <v>628650</v>
      </c>
      <c r="AX207" s="230">
        <v>42350</v>
      </c>
      <c r="AY207" s="229">
        <v>6.7400000000000002E-2</v>
      </c>
      <c r="AZ207" s="230">
        <v>15950</v>
      </c>
      <c r="BA207" s="230">
        <v>4950</v>
      </c>
      <c r="BB207" s="230">
        <v>11000</v>
      </c>
      <c r="BC207" s="229">
        <v>2.2222</v>
      </c>
      <c r="BD207" s="228">
        <v>0</v>
      </c>
      <c r="BE207" s="228">
        <v>0</v>
      </c>
      <c r="BF207" s="228">
        <v>0</v>
      </c>
      <c r="BG207" s="229">
        <v>0</v>
      </c>
      <c r="BH207" s="230">
        <v>761750</v>
      </c>
      <c r="BI207" s="230">
        <v>393800</v>
      </c>
      <c r="BJ207" s="230">
        <v>367950</v>
      </c>
      <c r="BK207" s="229">
        <v>0.93440000000000001</v>
      </c>
      <c r="BL207" s="230">
        <v>194150</v>
      </c>
      <c r="BM207" s="230">
        <v>370700</v>
      </c>
      <c r="BN207" s="230">
        <v>-176550</v>
      </c>
      <c r="BO207" s="229">
        <v>-0.4763</v>
      </c>
      <c r="BP207" s="230">
        <v>1642850</v>
      </c>
      <c r="BQ207" s="230">
        <v>1398100</v>
      </c>
      <c r="BR207" s="230">
        <v>244750</v>
      </c>
      <c r="BS207" s="229">
        <v>0.17510000000000001</v>
      </c>
      <c r="BT207" s="230">
        <v>312960</v>
      </c>
      <c r="BU207" s="230">
        <v>529723</v>
      </c>
      <c r="BV207" s="230">
        <v>-216763</v>
      </c>
      <c r="BW207" s="229">
        <v>-0.40920000000000001</v>
      </c>
      <c r="BX207" s="230">
        <v>4192650</v>
      </c>
      <c r="BY207" s="230">
        <v>4136550</v>
      </c>
      <c r="BZ207" s="230">
        <v>56100</v>
      </c>
      <c r="CA207" s="229">
        <v>1.3599999999999999E-2</v>
      </c>
      <c r="CB207" s="230">
        <v>4171200</v>
      </c>
      <c r="CC207" s="230">
        <v>4119500</v>
      </c>
      <c r="CD207" s="230">
        <v>51700</v>
      </c>
      <c r="CE207" s="229">
        <v>1.26E-2</v>
      </c>
      <c r="CF207" s="230">
        <v>21450</v>
      </c>
      <c r="CG207" s="230">
        <v>17050</v>
      </c>
      <c r="CH207" s="230">
        <v>4400</v>
      </c>
      <c r="CI207" s="229">
        <v>0.2581</v>
      </c>
      <c r="CJ207" s="228">
        <v>0</v>
      </c>
      <c r="CK207" s="228">
        <v>0</v>
      </c>
      <c r="CL207" s="228">
        <v>0</v>
      </c>
      <c r="CM207" s="229">
        <v>0</v>
      </c>
      <c r="CN207" s="230">
        <v>448800</v>
      </c>
      <c r="CO207" s="230">
        <v>267300</v>
      </c>
      <c r="CP207" s="230">
        <v>181500</v>
      </c>
      <c r="CQ207" s="229">
        <v>0.67900000000000005</v>
      </c>
      <c r="CR207" s="230">
        <v>337150</v>
      </c>
      <c r="CS207" s="230">
        <v>264550</v>
      </c>
      <c r="CT207" s="230">
        <v>72600</v>
      </c>
      <c r="CU207" s="229">
        <v>0.27439999999999998</v>
      </c>
      <c r="CV207" s="230">
        <v>4978600</v>
      </c>
      <c r="CW207" s="230">
        <v>4668400</v>
      </c>
      <c r="CX207" s="230">
        <v>310200</v>
      </c>
      <c r="CY207" s="229">
        <v>6.6400000000000001E-2</v>
      </c>
      <c r="CZ207" s="228">
        <v>24.59</v>
      </c>
      <c r="DA207" s="228">
        <v>24.89</v>
      </c>
      <c r="DB207" s="228">
        <v>-0.3</v>
      </c>
      <c r="DC207" s="228">
        <v>-0.3</v>
      </c>
      <c r="DD207" s="228">
        <v>39.94</v>
      </c>
      <c r="DE207" s="228">
        <v>40.03</v>
      </c>
      <c r="DF207" s="228">
        <v>-15.35</v>
      </c>
      <c r="DG207" s="228">
        <v>-0.09</v>
      </c>
      <c r="DH207" s="228">
        <v>24.64</v>
      </c>
      <c r="DI207" s="228">
        <v>24.67</v>
      </c>
      <c r="DJ207" s="228">
        <v>-0.03</v>
      </c>
      <c r="DK207" s="228">
        <v>-0.03</v>
      </c>
      <c r="DL207" s="228">
        <v>24.4</v>
      </c>
      <c r="DM207" s="228">
        <v>25.13</v>
      </c>
      <c r="DN207" s="228">
        <v>-0.73</v>
      </c>
      <c r="DO207" s="228">
        <v>-0.73</v>
      </c>
      <c r="DP207" s="228">
        <v>0.75</v>
      </c>
      <c r="DQ207" s="228">
        <v>0.99</v>
      </c>
      <c r="DR207" s="228">
        <v>-0.24</v>
      </c>
      <c r="DS207" s="229">
        <v>-0.2424</v>
      </c>
      <c r="DT207" s="231">
        <v>1300</v>
      </c>
      <c r="DU207" s="231">
        <v>1300</v>
      </c>
      <c r="DV207" s="228">
        <v>0.25</v>
      </c>
      <c r="DW207" s="228">
        <v>0.94</v>
      </c>
      <c r="DX207" s="228">
        <v>-0.69</v>
      </c>
      <c r="DY207" s="229">
        <v>-0.73399999999999999</v>
      </c>
      <c r="DZ207" s="229">
        <v>5.1000000000000004E-3</v>
      </c>
      <c r="EA207" s="230">
        <v>17050</v>
      </c>
      <c r="EB207" s="229">
        <v>5.1999999999999998E-3</v>
      </c>
      <c r="EC207" s="229">
        <v>5.1000000000000004E-3</v>
      </c>
      <c r="ED207" s="228">
        <v>4.95</v>
      </c>
      <c r="EE207" s="229">
        <v>3.8E-3</v>
      </c>
      <c r="EF207" s="230">
        <v>182463</v>
      </c>
      <c r="EG207" s="230">
        <v>292469</v>
      </c>
      <c r="EH207" s="229">
        <v>-0.37609999999999999</v>
      </c>
      <c r="EI207" s="229">
        <v>0.58299999999999996</v>
      </c>
      <c r="EJ207" s="231">
        <v>10236.74</v>
      </c>
      <c r="EK207" s="231">
        <v>2525.17</v>
      </c>
      <c r="EL207" s="231">
        <v>8915.65</v>
      </c>
      <c r="EM207" s="231">
        <v>4024</v>
      </c>
      <c r="EN207" s="231">
        <v>21677.56</v>
      </c>
      <c r="EO207" s="231">
        <v>18087.509999999998</v>
      </c>
      <c r="EP207" s="231">
        <v>3590.05</v>
      </c>
      <c r="EQ207" s="229">
        <v>0.19850000000000001</v>
      </c>
      <c r="ER207" s="231">
        <v>5905</v>
      </c>
      <c r="ES207" s="231">
        <v>4233</v>
      </c>
      <c r="ET207" s="231">
        <v>54338</v>
      </c>
      <c r="EU207" s="231">
        <v>27292222</v>
      </c>
      <c r="EV207" s="231">
        <v>64476</v>
      </c>
      <c r="EW207" s="231">
        <v>60134</v>
      </c>
      <c r="EX207" s="231">
        <v>4342</v>
      </c>
      <c r="EY207" s="229">
        <v>7.22E-2</v>
      </c>
      <c r="EZ207" s="229">
        <v>0.18240000000000001</v>
      </c>
      <c r="FA207" s="227" t="s">
        <v>555</v>
      </c>
      <c r="FB207" s="161">
        <f t="shared" si="5"/>
        <v>0</v>
      </c>
    </row>
    <row r="208" spans="1:158" ht="17.25" thickBot="1" x14ac:dyDescent="0.3">
      <c r="A208" s="226">
        <v>46023</v>
      </c>
      <c r="B208" s="227" t="s">
        <v>498</v>
      </c>
      <c r="C208" s="227" t="s">
        <v>303</v>
      </c>
      <c r="D208" s="228">
        <v>1355</v>
      </c>
      <c r="E208" s="228">
        <v>810.6</v>
      </c>
      <c r="F208" s="228">
        <v>799.45</v>
      </c>
      <c r="G208" s="228">
        <v>11.15</v>
      </c>
      <c r="H208" s="229">
        <v>1.3899999999999999E-2</v>
      </c>
      <c r="I208" s="228">
        <v>805.35</v>
      </c>
      <c r="J208" s="228">
        <v>795.15</v>
      </c>
      <c r="K208" s="228">
        <v>10.199999999999999</v>
      </c>
      <c r="L208" s="229">
        <v>1.2800000000000001E-2</v>
      </c>
      <c r="M208" s="228">
        <v>810.6</v>
      </c>
      <c r="N208" s="228">
        <v>799.45</v>
      </c>
      <c r="O208" s="228">
        <v>11.15</v>
      </c>
      <c r="P208" s="229">
        <v>1.3899999999999999E-2</v>
      </c>
      <c r="Q208" s="228">
        <v>815.25</v>
      </c>
      <c r="R208" s="228">
        <v>803.9</v>
      </c>
      <c r="S208" s="228">
        <v>11.35</v>
      </c>
      <c r="T208" s="229">
        <v>1.41E-2</v>
      </c>
      <c r="U208" s="228">
        <v>818.4</v>
      </c>
      <c r="V208" s="228">
        <v>807.2</v>
      </c>
      <c r="W208" s="228">
        <v>11.2</v>
      </c>
      <c r="X208" s="229">
        <v>1.3899999999999999E-2</v>
      </c>
      <c r="Y208" s="228">
        <v>5.25</v>
      </c>
      <c r="Z208" s="228">
        <v>4.3</v>
      </c>
      <c r="AA208" s="228">
        <v>0.95</v>
      </c>
      <c r="AB208" s="229">
        <v>6.4999999999999997E-3</v>
      </c>
      <c r="AC208" s="228">
        <v>5.25</v>
      </c>
      <c r="AD208" s="228">
        <v>4.3</v>
      </c>
      <c r="AE208" s="228">
        <v>0.95</v>
      </c>
      <c r="AF208" s="229">
        <v>6.4999999999999997E-3</v>
      </c>
      <c r="AG208" s="228">
        <v>9.9</v>
      </c>
      <c r="AH208" s="228">
        <v>8.75</v>
      </c>
      <c r="AI208" s="228">
        <v>1.1499999999999999</v>
      </c>
      <c r="AJ208" s="229">
        <v>1.23E-2</v>
      </c>
      <c r="AK208" s="228">
        <v>13.05</v>
      </c>
      <c r="AL208" s="228">
        <v>12.05</v>
      </c>
      <c r="AM208" s="228">
        <v>1</v>
      </c>
      <c r="AN208" s="229">
        <v>1.6199999999999999E-2</v>
      </c>
      <c r="AO208" s="228">
        <v>801.45</v>
      </c>
      <c r="AP208" s="228">
        <v>807.46</v>
      </c>
      <c r="AQ208" s="228">
        <v>0</v>
      </c>
      <c r="AR208" s="230">
        <v>6541940</v>
      </c>
      <c r="AS208" s="230">
        <v>7750600</v>
      </c>
      <c r="AT208" s="230">
        <v>-1208660</v>
      </c>
      <c r="AU208" s="229">
        <v>-0.15590000000000001</v>
      </c>
      <c r="AV208" s="230">
        <v>6293975</v>
      </c>
      <c r="AW208" s="230">
        <v>7396945</v>
      </c>
      <c r="AX208" s="230">
        <v>-1102970</v>
      </c>
      <c r="AY208" s="229">
        <v>-0.14910000000000001</v>
      </c>
      <c r="AZ208" s="230">
        <v>207315</v>
      </c>
      <c r="BA208" s="230">
        <v>323845</v>
      </c>
      <c r="BB208" s="230">
        <v>-116530</v>
      </c>
      <c r="BC208" s="229">
        <v>-0.35980000000000001</v>
      </c>
      <c r="BD208" s="230">
        <v>40650</v>
      </c>
      <c r="BE208" s="230">
        <v>29810</v>
      </c>
      <c r="BF208" s="230">
        <v>10840</v>
      </c>
      <c r="BG208" s="229">
        <v>0.36359999999999998</v>
      </c>
      <c r="BH208" s="230">
        <v>18147515</v>
      </c>
      <c r="BI208" s="230">
        <v>29133855</v>
      </c>
      <c r="BJ208" s="230">
        <v>-10986340</v>
      </c>
      <c r="BK208" s="229">
        <v>-0.37709999999999999</v>
      </c>
      <c r="BL208" s="230">
        <v>8016180</v>
      </c>
      <c r="BM208" s="230">
        <v>10176050</v>
      </c>
      <c r="BN208" s="230">
        <v>-2159870</v>
      </c>
      <c r="BO208" s="229">
        <v>-0.21229999999999999</v>
      </c>
      <c r="BP208" s="230">
        <v>32705635</v>
      </c>
      <c r="BQ208" s="230">
        <v>47060505</v>
      </c>
      <c r="BR208" s="230">
        <v>-14354870</v>
      </c>
      <c r="BS208" s="229">
        <v>-0.30499999999999999</v>
      </c>
      <c r="BT208" s="230">
        <v>2790632</v>
      </c>
      <c r="BU208" s="230">
        <v>3124421</v>
      </c>
      <c r="BV208" s="230">
        <v>-333789</v>
      </c>
      <c r="BW208" s="229">
        <v>-0.10680000000000001</v>
      </c>
      <c r="BX208" s="230">
        <v>40682520</v>
      </c>
      <c r="BY208" s="230">
        <v>40395260</v>
      </c>
      <c r="BZ208" s="230">
        <v>287260</v>
      </c>
      <c r="CA208" s="229">
        <v>7.1000000000000004E-3</v>
      </c>
      <c r="CB208" s="230">
        <v>40293635</v>
      </c>
      <c r="CC208" s="230">
        <v>40048380</v>
      </c>
      <c r="CD208" s="230">
        <v>245255</v>
      </c>
      <c r="CE208" s="229">
        <v>6.1000000000000004E-3</v>
      </c>
      <c r="CF208" s="230">
        <v>341460</v>
      </c>
      <c r="CG208" s="230">
        <v>327910</v>
      </c>
      <c r="CH208" s="230">
        <v>13550</v>
      </c>
      <c r="CI208" s="229">
        <v>4.1300000000000003E-2</v>
      </c>
      <c r="CJ208" s="230">
        <v>47425</v>
      </c>
      <c r="CK208" s="230">
        <v>18970</v>
      </c>
      <c r="CL208" s="230">
        <v>28455</v>
      </c>
      <c r="CM208" s="229">
        <v>1.5</v>
      </c>
      <c r="CN208" s="230">
        <v>9509390</v>
      </c>
      <c r="CO208" s="230">
        <v>9490420</v>
      </c>
      <c r="CP208" s="230">
        <v>18970</v>
      </c>
      <c r="CQ208" s="229">
        <v>2E-3</v>
      </c>
      <c r="CR208" s="230">
        <v>6798035</v>
      </c>
      <c r="CS208" s="230">
        <v>6154410</v>
      </c>
      <c r="CT208" s="230">
        <v>643625</v>
      </c>
      <c r="CU208" s="229">
        <v>0.1046</v>
      </c>
      <c r="CV208" s="230">
        <v>56989945</v>
      </c>
      <c r="CW208" s="230">
        <v>56040090</v>
      </c>
      <c r="CX208" s="230">
        <v>949855</v>
      </c>
      <c r="CY208" s="229">
        <v>1.6899999999999998E-2</v>
      </c>
      <c r="CZ208" s="228">
        <v>23.48</v>
      </c>
      <c r="DA208" s="228">
        <v>24.25</v>
      </c>
      <c r="DB208" s="228">
        <v>-0.77</v>
      </c>
      <c r="DC208" s="228">
        <v>-0.77</v>
      </c>
      <c r="DD208" s="228">
        <v>31.87</v>
      </c>
      <c r="DE208" s="228">
        <v>31.9</v>
      </c>
      <c r="DF208" s="228">
        <v>-8.39</v>
      </c>
      <c r="DG208" s="228">
        <v>-0.03</v>
      </c>
      <c r="DH208" s="228">
        <v>23.25</v>
      </c>
      <c r="DI208" s="228">
        <v>24.15</v>
      </c>
      <c r="DJ208" s="228">
        <v>-0.9</v>
      </c>
      <c r="DK208" s="228">
        <v>-0.9</v>
      </c>
      <c r="DL208" s="228">
        <v>24.01</v>
      </c>
      <c r="DM208" s="228">
        <v>24.57</v>
      </c>
      <c r="DN208" s="228">
        <v>-0.56000000000000005</v>
      </c>
      <c r="DO208" s="228">
        <v>-0.56000000000000005</v>
      </c>
      <c r="DP208" s="228">
        <v>0.71</v>
      </c>
      <c r="DQ208" s="228">
        <v>0.65</v>
      </c>
      <c r="DR208" s="228">
        <v>0.06</v>
      </c>
      <c r="DS208" s="229">
        <v>9.2299999999999993E-2</v>
      </c>
      <c r="DT208" s="228">
        <v>800</v>
      </c>
      <c r="DU208" s="228">
        <v>800</v>
      </c>
      <c r="DV208" s="228">
        <v>0.44</v>
      </c>
      <c r="DW208" s="228">
        <v>0.35</v>
      </c>
      <c r="DX208" s="228">
        <v>0.09</v>
      </c>
      <c r="DY208" s="229">
        <v>0.2571</v>
      </c>
      <c r="DZ208" s="229">
        <v>9.5999999999999992E-3</v>
      </c>
      <c r="EA208" s="230">
        <v>346880</v>
      </c>
      <c r="EB208" s="229">
        <v>5.7000000000000002E-3</v>
      </c>
      <c r="EC208" s="229">
        <v>9.5999999999999992E-3</v>
      </c>
      <c r="ED208" s="228">
        <v>6.01</v>
      </c>
      <c r="EE208" s="229">
        <v>7.4999999999999997E-3</v>
      </c>
      <c r="EF208" s="230">
        <v>1491235</v>
      </c>
      <c r="EG208" s="230">
        <v>1514906</v>
      </c>
      <c r="EH208" s="229">
        <v>-1.5599999999999999E-2</v>
      </c>
      <c r="EI208" s="229">
        <v>0.53439999999999999</v>
      </c>
      <c r="EJ208" s="231">
        <v>151135.94</v>
      </c>
      <c r="EK208" s="231">
        <v>63468.67</v>
      </c>
      <c r="EL208" s="231">
        <v>52447.26</v>
      </c>
      <c r="EM208" s="231">
        <v>14361</v>
      </c>
      <c r="EN208" s="231">
        <v>267051.87</v>
      </c>
      <c r="EO208" s="231">
        <v>384369.51</v>
      </c>
      <c r="EP208" s="231">
        <v>-117317.64</v>
      </c>
      <c r="EQ208" s="229">
        <v>-0.30520000000000003</v>
      </c>
      <c r="ER208" s="231">
        <v>77370</v>
      </c>
      <c r="ES208" s="231">
        <v>51857</v>
      </c>
      <c r="ET208" s="231">
        <v>329792</v>
      </c>
      <c r="EU208" s="231">
        <v>84228583</v>
      </c>
      <c r="EV208" s="231">
        <v>459019</v>
      </c>
      <c r="EW208" s="231">
        <v>446762</v>
      </c>
      <c r="EX208" s="231">
        <v>12257</v>
      </c>
      <c r="EY208" s="229">
        <v>2.7400000000000001E-2</v>
      </c>
      <c r="EZ208" s="229">
        <v>0.67659999999999998</v>
      </c>
      <c r="FA208" s="227" t="s">
        <v>555</v>
      </c>
      <c r="FB208" s="161">
        <f t="shared" si="5"/>
        <v>0</v>
      </c>
    </row>
    <row r="209" spans="1:158" ht="17.25" thickBot="1" x14ac:dyDescent="0.3">
      <c r="A209" s="226">
        <v>46023</v>
      </c>
      <c r="B209" s="227" t="s">
        <v>168</v>
      </c>
      <c r="C209" s="227" t="s">
        <v>586</v>
      </c>
      <c r="D209" s="228">
        <v>1125</v>
      </c>
      <c r="E209" s="228">
        <v>494.35</v>
      </c>
      <c r="F209" s="228">
        <v>491.6</v>
      </c>
      <c r="G209" s="228">
        <v>2.75</v>
      </c>
      <c r="H209" s="229">
        <v>5.5999999999999999E-3</v>
      </c>
      <c r="I209" s="228">
        <v>491.75</v>
      </c>
      <c r="J209" s="228">
        <v>489.85</v>
      </c>
      <c r="K209" s="228">
        <v>1.9</v>
      </c>
      <c r="L209" s="229">
        <v>3.8999999999999998E-3</v>
      </c>
      <c r="M209" s="228">
        <v>494.35</v>
      </c>
      <c r="N209" s="228">
        <v>491.6</v>
      </c>
      <c r="O209" s="228">
        <v>2.75</v>
      </c>
      <c r="P209" s="229">
        <v>5.5999999999999999E-3</v>
      </c>
      <c r="Q209" s="228">
        <v>497.65</v>
      </c>
      <c r="R209" s="228">
        <v>494.55</v>
      </c>
      <c r="S209" s="228">
        <v>3.1</v>
      </c>
      <c r="T209" s="229">
        <v>6.3E-3</v>
      </c>
      <c r="U209" s="228">
        <v>500.1</v>
      </c>
      <c r="V209" s="228">
        <v>497.75</v>
      </c>
      <c r="W209" s="228">
        <v>2.35</v>
      </c>
      <c r="X209" s="229">
        <v>4.7000000000000002E-3</v>
      </c>
      <c r="Y209" s="228">
        <v>2.6</v>
      </c>
      <c r="Z209" s="228">
        <v>1.75</v>
      </c>
      <c r="AA209" s="228">
        <v>0.85</v>
      </c>
      <c r="AB209" s="229">
        <v>5.3E-3</v>
      </c>
      <c r="AC209" s="228">
        <v>2.6</v>
      </c>
      <c r="AD209" s="228">
        <v>1.75</v>
      </c>
      <c r="AE209" s="228">
        <v>0.85</v>
      </c>
      <c r="AF209" s="229">
        <v>5.3E-3</v>
      </c>
      <c r="AG209" s="228">
        <v>5.9</v>
      </c>
      <c r="AH209" s="228">
        <v>4.7</v>
      </c>
      <c r="AI209" s="228">
        <v>1.2</v>
      </c>
      <c r="AJ209" s="229">
        <v>1.2E-2</v>
      </c>
      <c r="AK209" s="228">
        <v>8.35</v>
      </c>
      <c r="AL209" s="228">
        <v>7.9</v>
      </c>
      <c r="AM209" s="228">
        <v>0.45</v>
      </c>
      <c r="AN209" s="229">
        <v>1.7000000000000001E-2</v>
      </c>
      <c r="AO209" s="228">
        <v>493.52</v>
      </c>
      <c r="AP209" s="228">
        <v>496.34</v>
      </c>
      <c r="AQ209" s="228">
        <v>0</v>
      </c>
      <c r="AR209" s="230">
        <v>3809250</v>
      </c>
      <c r="AS209" s="230">
        <v>7158375</v>
      </c>
      <c r="AT209" s="230">
        <v>-3349125</v>
      </c>
      <c r="AU209" s="229">
        <v>-0.46789999999999998</v>
      </c>
      <c r="AV209" s="230">
        <v>3652875</v>
      </c>
      <c r="AW209" s="230">
        <v>6939000</v>
      </c>
      <c r="AX209" s="230">
        <v>-3286125</v>
      </c>
      <c r="AY209" s="229">
        <v>-0.47360000000000002</v>
      </c>
      <c r="AZ209" s="230">
        <v>126000</v>
      </c>
      <c r="BA209" s="230">
        <v>198000</v>
      </c>
      <c r="BB209" s="230">
        <v>-72000</v>
      </c>
      <c r="BC209" s="229">
        <v>-0.36359999999999998</v>
      </c>
      <c r="BD209" s="230">
        <v>30375</v>
      </c>
      <c r="BE209" s="230">
        <v>21375</v>
      </c>
      <c r="BF209" s="230">
        <v>9000</v>
      </c>
      <c r="BG209" s="229">
        <v>0.42109999999999997</v>
      </c>
      <c r="BH209" s="230">
        <v>7072875</v>
      </c>
      <c r="BI209" s="230">
        <v>11008125</v>
      </c>
      <c r="BJ209" s="230">
        <v>-3935250</v>
      </c>
      <c r="BK209" s="229">
        <v>-0.35749999999999998</v>
      </c>
      <c r="BL209" s="230">
        <v>2845125</v>
      </c>
      <c r="BM209" s="230">
        <v>4381875</v>
      </c>
      <c r="BN209" s="230">
        <v>-1536750</v>
      </c>
      <c r="BO209" s="229">
        <v>-0.35070000000000001</v>
      </c>
      <c r="BP209" s="230">
        <v>13727250</v>
      </c>
      <c r="BQ209" s="230">
        <v>22548375</v>
      </c>
      <c r="BR209" s="230">
        <v>-8821125</v>
      </c>
      <c r="BS209" s="229">
        <v>-0.39119999999999999</v>
      </c>
      <c r="BT209" s="230">
        <v>2056801</v>
      </c>
      <c r="BU209" s="230">
        <v>5153263</v>
      </c>
      <c r="BV209" s="230">
        <v>-3096462</v>
      </c>
      <c r="BW209" s="229">
        <v>-0.60089999999999999</v>
      </c>
      <c r="BX209" s="230">
        <v>50061375</v>
      </c>
      <c r="BY209" s="230">
        <v>50369625</v>
      </c>
      <c r="BZ209" s="230">
        <v>-308250</v>
      </c>
      <c r="CA209" s="229">
        <v>-6.1000000000000004E-3</v>
      </c>
      <c r="CB209" s="230">
        <v>49486500</v>
      </c>
      <c r="CC209" s="230">
        <v>49813875</v>
      </c>
      <c r="CD209" s="230">
        <v>-327375</v>
      </c>
      <c r="CE209" s="229">
        <v>-6.6E-3</v>
      </c>
      <c r="CF209" s="230">
        <v>534375</v>
      </c>
      <c r="CG209" s="230">
        <v>535500</v>
      </c>
      <c r="CH209" s="230">
        <v>-1125</v>
      </c>
      <c r="CI209" s="229">
        <v>-2.0999999999999999E-3</v>
      </c>
      <c r="CJ209" s="230">
        <v>40500</v>
      </c>
      <c r="CK209" s="230">
        <v>20250</v>
      </c>
      <c r="CL209" s="230">
        <v>20250</v>
      </c>
      <c r="CM209" s="229">
        <v>1</v>
      </c>
      <c r="CN209" s="230">
        <v>8866125</v>
      </c>
      <c r="CO209" s="230">
        <v>8861625</v>
      </c>
      <c r="CP209" s="230">
        <v>4500</v>
      </c>
      <c r="CQ209" s="229">
        <v>5.0000000000000001E-4</v>
      </c>
      <c r="CR209" s="230">
        <v>5949000</v>
      </c>
      <c r="CS209" s="230">
        <v>5971500</v>
      </c>
      <c r="CT209" s="230">
        <v>-22500</v>
      </c>
      <c r="CU209" s="229">
        <v>-3.8E-3</v>
      </c>
      <c r="CV209" s="230">
        <v>64876500</v>
      </c>
      <c r="CW209" s="230">
        <v>65202750</v>
      </c>
      <c r="CX209" s="230">
        <v>-326250</v>
      </c>
      <c r="CY209" s="229">
        <v>-5.0000000000000001E-3</v>
      </c>
      <c r="CZ209" s="228">
        <v>26.15</v>
      </c>
      <c r="DA209" s="228">
        <v>26.54</v>
      </c>
      <c r="DB209" s="228">
        <v>-0.39</v>
      </c>
      <c r="DC209" s="228">
        <v>-0.39</v>
      </c>
      <c r="DD209" s="228">
        <v>37.299999999999997</v>
      </c>
      <c r="DE209" s="228">
        <v>37.39</v>
      </c>
      <c r="DF209" s="228">
        <v>-11.15</v>
      </c>
      <c r="DG209" s="228">
        <v>-0.09</v>
      </c>
      <c r="DH209" s="228">
        <v>26.17</v>
      </c>
      <c r="DI209" s="228">
        <v>26.62</v>
      </c>
      <c r="DJ209" s="228">
        <v>-0.45</v>
      </c>
      <c r="DK209" s="228">
        <v>-0.45</v>
      </c>
      <c r="DL209" s="228">
        <v>26.1</v>
      </c>
      <c r="DM209" s="228">
        <v>26.36</v>
      </c>
      <c r="DN209" s="228">
        <v>-0.26</v>
      </c>
      <c r="DO209" s="228">
        <v>-0.26</v>
      </c>
      <c r="DP209" s="228">
        <v>0.67</v>
      </c>
      <c r="DQ209" s="228">
        <v>0.67</v>
      </c>
      <c r="DR209" s="228">
        <v>0</v>
      </c>
      <c r="DS209" s="229">
        <v>0</v>
      </c>
      <c r="DT209" s="228">
        <v>500</v>
      </c>
      <c r="DU209" s="228">
        <v>460</v>
      </c>
      <c r="DV209" s="228">
        <v>0.4</v>
      </c>
      <c r="DW209" s="228">
        <v>0.4</v>
      </c>
      <c r="DX209" s="228">
        <v>0</v>
      </c>
      <c r="DY209" s="229">
        <v>0</v>
      </c>
      <c r="DZ209" s="229">
        <v>1.15E-2</v>
      </c>
      <c r="EA209" s="230">
        <v>555750</v>
      </c>
      <c r="EB209" s="229">
        <v>6.7000000000000002E-3</v>
      </c>
      <c r="EC209" s="229">
        <v>1.15E-2</v>
      </c>
      <c r="ED209" s="228">
        <v>2.82</v>
      </c>
      <c r="EE209" s="229">
        <v>5.7000000000000002E-3</v>
      </c>
      <c r="EF209" s="230">
        <v>917807</v>
      </c>
      <c r="EG209" s="230">
        <v>3090877</v>
      </c>
      <c r="EH209" s="229">
        <v>-0.70309999999999995</v>
      </c>
      <c r="EI209" s="229">
        <v>0.44619999999999999</v>
      </c>
      <c r="EJ209" s="231">
        <v>36319.910000000003</v>
      </c>
      <c r="EK209" s="231">
        <v>13770.99</v>
      </c>
      <c r="EL209" s="231">
        <v>18804.689999999999</v>
      </c>
      <c r="EM209" s="231">
        <v>20775</v>
      </c>
      <c r="EN209" s="231">
        <v>68895.59</v>
      </c>
      <c r="EO209" s="231">
        <v>112537.39</v>
      </c>
      <c r="EP209" s="231">
        <v>-43641.8</v>
      </c>
      <c r="EQ209" s="229">
        <v>-0.38779999999999998</v>
      </c>
      <c r="ER209" s="231">
        <v>44918</v>
      </c>
      <c r="ES209" s="231">
        <v>27765</v>
      </c>
      <c r="ET209" s="231">
        <v>247498</v>
      </c>
      <c r="EU209" s="231">
        <v>205761118</v>
      </c>
      <c r="EV209" s="231">
        <v>320181</v>
      </c>
      <c r="EW209" s="231">
        <v>320311</v>
      </c>
      <c r="EX209" s="228">
        <v>-130</v>
      </c>
      <c r="EY209" s="229">
        <v>-4.0000000000000002E-4</v>
      </c>
      <c r="EZ209" s="229">
        <v>0.31530000000000002</v>
      </c>
      <c r="FA209" s="227" t="s">
        <v>556</v>
      </c>
      <c r="FB209" s="161">
        <f t="shared" si="5"/>
        <v>0</v>
      </c>
    </row>
    <row r="210" spans="1:158" ht="17.25" thickBot="1" x14ac:dyDescent="0.3">
      <c r="A210" s="226">
        <v>46023</v>
      </c>
      <c r="B210" s="227" t="s">
        <v>227</v>
      </c>
      <c r="C210" s="227" t="s">
        <v>304</v>
      </c>
      <c r="D210" s="228">
        <v>1150</v>
      </c>
      <c r="E210" s="228">
        <v>605.35</v>
      </c>
      <c r="F210" s="228">
        <v>605.9</v>
      </c>
      <c r="G210" s="228">
        <v>-0.55000000000000004</v>
      </c>
      <c r="H210" s="229">
        <v>-8.9999999999999998E-4</v>
      </c>
      <c r="I210" s="228">
        <v>602.65</v>
      </c>
      <c r="J210" s="228">
        <v>604.4</v>
      </c>
      <c r="K210" s="228">
        <v>-1.75</v>
      </c>
      <c r="L210" s="229">
        <v>-2.8999999999999998E-3</v>
      </c>
      <c r="M210" s="228">
        <v>605.35</v>
      </c>
      <c r="N210" s="228">
        <v>605.9</v>
      </c>
      <c r="O210" s="228">
        <v>-0.55000000000000004</v>
      </c>
      <c r="P210" s="229">
        <v>-8.9999999999999998E-4</v>
      </c>
      <c r="Q210" s="228">
        <v>606.6</v>
      </c>
      <c r="R210" s="228">
        <v>607.25</v>
      </c>
      <c r="S210" s="228">
        <v>-0.65</v>
      </c>
      <c r="T210" s="229">
        <v>-1.1000000000000001E-3</v>
      </c>
      <c r="U210" s="228">
        <v>607.6</v>
      </c>
      <c r="V210" s="228">
        <v>608.35</v>
      </c>
      <c r="W210" s="228">
        <v>-0.75</v>
      </c>
      <c r="X210" s="229">
        <v>-1.1999999999999999E-3</v>
      </c>
      <c r="Y210" s="228">
        <v>2.7</v>
      </c>
      <c r="Z210" s="228">
        <v>1.5</v>
      </c>
      <c r="AA210" s="228">
        <v>1.2</v>
      </c>
      <c r="AB210" s="229">
        <v>4.4999999999999997E-3</v>
      </c>
      <c r="AC210" s="228">
        <v>2.7</v>
      </c>
      <c r="AD210" s="228">
        <v>1.5</v>
      </c>
      <c r="AE210" s="228">
        <v>1.2</v>
      </c>
      <c r="AF210" s="229">
        <v>4.4999999999999997E-3</v>
      </c>
      <c r="AG210" s="228">
        <v>3.95</v>
      </c>
      <c r="AH210" s="228">
        <v>2.85</v>
      </c>
      <c r="AI210" s="228">
        <v>1.1000000000000001</v>
      </c>
      <c r="AJ210" s="229">
        <v>6.6E-3</v>
      </c>
      <c r="AK210" s="228">
        <v>4.95</v>
      </c>
      <c r="AL210" s="228">
        <v>3.95</v>
      </c>
      <c r="AM210" s="228">
        <v>1</v>
      </c>
      <c r="AN210" s="229">
        <v>8.2000000000000007E-3</v>
      </c>
      <c r="AO210" s="228">
        <v>603.96</v>
      </c>
      <c r="AP210" s="228">
        <v>605.26</v>
      </c>
      <c r="AQ210" s="228">
        <v>0</v>
      </c>
      <c r="AR210" s="230">
        <v>6727500</v>
      </c>
      <c r="AS210" s="230">
        <v>15327200</v>
      </c>
      <c r="AT210" s="230">
        <v>-8599700</v>
      </c>
      <c r="AU210" s="229">
        <v>-0.56110000000000004</v>
      </c>
      <c r="AV210" s="230">
        <v>6234150</v>
      </c>
      <c r="AW210" s="230">
        <v>14616500</v>
      </c>
      <c r="AX210" s="230">
        <v>-8382350</v>
      </c>
      <c r="AY210" s="229">
        <v>-0.57350000000000001</v>
      </c>
      <c r="AZ210" s="230">
        <v>312800</v>
      </c>
      <c r="BA210" s="230">
        <v>556600</v>
      </c>
      <c r="BB210" s="230">
        <v>-243800</v>
      </c>
      <c r="BC210" s="229">
        <v>-0.438</v>
      </c>
      <c r="BD210" s="230">
        <v>180550</v>
      </c>
      <c r="BE210" s="230">
        <v>154100</v>
      </c>
      <c r="BF210" s="230">
        <v>26450</v>
      </c>
      <c r="BG210" s="229">
        <v>0.1716</v>
      </c>
      <c r="BH210" s="230">
        <v>17839950</v>
      </c>
      <c r="BI210" s="230">
        <v>33785850</v>
      </c>
      <c r="BJ210" s="230">
        <v>-15945900</v>
      </c>
      <c r="BK210" s="229">
        <v>-0.47199999999999998</v>
      </c>
      <c r="BL210" s="230">
        <v>9275900</v>
      </c>
      <c r="BM210" s="230">
        <v>20402150</v>
      </c>
      <c r="BN210" s="230">
        <v>-11126250</v>
      </c>
      <c r="BO210" s="229">
        <v>-0.54530000000000001</v>
      </c>
      <c r="BP210" s="230">
        <v>33843350</v>
      </c>
      <c r="BQ210" s="230">
        <v>69515200</v>
      </c>
      <c r="BR210" s="230">
        <v>-35671850</v>
      </c>
      <c r="BS210" s="229">
        <v>-0.51319999999999999</v>
      </c>
      <c r="BT210" s="230">
        <v>4592047</v>
      </c>
      <c r="BU210" s="230">
        <v>9611022</v>
      </c>
      <c r="BV210" s="230">
        <v>-5018975</v>
      </c>
      <c r="BW210" s="229">
        <v>-0.5222</v>
      </c>
      <c r="BX210" s="230">
        <v>91860850</v>
      </c>
      <c r="BY210" s="230">
        <v>92104650</v>
      </c>
      <c r="BZ210" s="230">
        <v>-243800</v>
      </c>
      <c r="CA210" s="229">
        <v>-2.5999999999999999E-3</v>
      </c>
      <c r="CB210" s="230">
        <v>89750600</v>
      </c>
      <c r="CC210" s="230">
        <v>90138150</v>
      </c>
      <c r="CD210" s="230">
        <v>-387550</v>
      </c>
      <c r="CE210" s="229">
        <v>-4.3E-3</v>
      </c>
      <c r="CF210" s="230">
        <v>1891750</v>
      </c>
      <c r="CG210" s="230">
        <v>1871050</v>
      </c>
      <c r="CH210" s="230">
        <v>20700</v>
      </c>
      <c r="CI210" s="229">
        <v>1.11E-2</v>
      </c>
      <c r="CJ210" s="230">
        <v>218500</v>
      </c>
      <c r="CK210" s="230">
        <v>95450</v>
      </c>
      <c r="CL210" s="230">
        <v>123050</v>
      </c>
      <c r="CM210" s="229">
        <v>1.2891999999999999</v>
      </c>
      <c r="CN210" s="230">
        <v>38815950</v>
      </c>
      <c r="CO210" s="230">
        <v>36471100</v>
      </c>
      <c r="CP210" s="230">
        <v>2344850</v>
      </c>
      <c r="CQ210" s="229">
        <v>6.4299999999999996E-2</v>
      </c>
      <c r="CR210" s="230">
        <v>21372750</v>
      </c>
      <c r="CS210" s="230">
        <v>20237700</v>
      </c>
      <c r="CT210" s="230">
        <v>1135050</v>
      </c>
      <c r="CU210" s="229">
        <v>5.6099999999999997E-2</v>
      </c>
      <c r="CV210" s="230">
        <v>152049550</v>
      </c>
      <c r="CW210" s="230">
        <v>148813450</v>
      </c>
      <c r="CX210" s="230">
        <v>3236100</v>
      </c>
      <c r="CY210" s="229">
        <v>2.1700000000000001E-2</v>
      </c>
      <c r="CZ210" s="228">
        <v>29.45</v>
      </c>
      <c r="DA210" s="228">
        <v>30.6</v>
      </c>
      <c r="DB210" s="228">
        <v>-1.1499999999999999</v>
      </c>
      <c r="DC210" s="228">
        <v>-1.1499999999999999</v>
      </c>
      <c r="DD210" s="228">
        <v>36.520000000000003</v>
      </c>
      <c r="DE210" s="228">
        <v>36.61</v>
      </c>
      <c r="DF210" s="228">
        <v>-7.07</v>
      </c>
      <c r="DG210" s="228">
        <v>-0.09</v>
      </c>
      <c r="DH210" s="228">
        <v>29.55</v>
      </c>
      <c r="DI210" s="228">
        <v>30.9</v>
      </c>
      <c r="DJ210" s="228">
        <v>-1.35</v>
      </c>
      <c r="DK210" s="228">
        <v>-1.35</v>
      </c>
      <c r="DL210" s="228">
        <v>29.25</v>
      </c>
      <c r="DM210" s="228">
        <v>30.11</v>
      </c>
      <c r="DN210" s="228">
        <v>-0.86</v>
      </c>
      <c r="DO210" s="228">
        <v>-0.86</v>
      </c>
      <c r="DP210" s="228">
        <v>0.55000000000000004</v>
      </c>
      <c r="DQ210" s="228">
        <v>0.55000000000000004</v>
      </c>
      <c r="DR210" s="228">
        <v>0</v>
      </c>
      <c r="DS210" s="229">
        <v>0</v>
      </c>
      <c r="DT210" s="228">
        <v>650</v>
      </c>
      <c r="DU210" s="228">
        <v>600</v>
      </c>
      <c r="DV210" s="228">
        <v>0.52</v>
      </c>
      <c r="DW210" s="228">
        <v>0.6</v>
      </c>
      <c r="DX210" s="228">
        <v>-0.08</v>
      </c>
      <c r="DY210" s="229">
        <v>-0.1333</v>
      </c>
      <c r="DZ210" s="229">
        <v>2.3E-2</v>
      </c>
      <c r="EA210" s="230">
        <v>1966500</v>
      </c>
      <c r="EB210" s="229">
        <v>2.0999999999999999E-3</v>
      </c>
      <c r="EC210" s="229">
        <v>2.3E-2</v>
      </c>
      <c r="ED210" s="228">
        <v>1.3</v>
      </c>
      <c r="EE210" s="229">
        <v>2.2000000000000001E-3</v>
      </c>
      <c r="EF210" s="230">
        <v>1502666</v>
      </c>
      <c r="EG210" s="230">
        <v>4088435</v>
      </c>
      <c r="EH210" s="229">
        <v>-0.63249999999999995</v>
      </c>
      <c r="EI210" s="229">
        <v>0.32719999999999999</v>
      </c>
      <c r="EJ210" s="231">
        <v>113923.46</v>
      </c>
      <c r="EK210" s="231">
        <v>54940.65</v>
      </c>
      <c r="EL210" s="231">
        <v>40640.36</v>
      </c>
      <c r="EM210" s="231">
        <v>47921</v>
      </c>
      <c r="EN210" s="231">
        <v>209504.47</v>
      </c>
      <c r="EO210" s="231">
        <v>432145.24</v>
      </c>
      <c r="EP210" s="231">
        <v>-222640.77</v>
      </c>
      <c r="EQ210" s="229">
        <v>-0.51519999999999999</v>
      </c>
      <c r="ER210" s="231">
        <v>241317</v>
      </c>
      <c r="ES210" s="231">
        <v>120704</v>
      </c>
      <c r="ET210" s="231">
        <v>556108</v>
      </c>
      <c r="EU210" s="231">
        <v>255091106</v>
      </c>
      <c r="EV210" s="231">
        <v>918129</v>
      </c>
      <c r="EW210" s="231">
        <v>898907</v>
      </c>
      <c r="EX210" s="231">
        <v>19222</v>
      </c>
      <c r="EY210" s="229">
        <v>2.1399999999999999E-2</v>
      </c>
      <c r="EZ210" s="229">
        <v>0.59609999999999996</v>
      </c>
      <c r="FA210" s="227" t="s">
        <v>568</v>
      </c>
      <c r="FB210" s="161">
        <f t="shared" si="5"/>
        <v>0</v>
      </c>
    </row>
    <row r="211" spans="1:158" ht="17.25" thickBot="1" x14ac:dyDescent="0.3">
      <c r="A211" s="226">
        <v>46023</v>
      </c>
      <c r="B211" s="227" t="s">
        <v>184</v>
      </c>
      <c r="C211" s="227" t="s">
        <v>305</v>
      </c>
      <c r="D211" s="228">
        <v>375</v>
      </c>
      <c r="E211" s="231">
        <v>1383.9</v>
      </c>
      <c r="F211" s="231">
        <v>1359.3</v>
      </c>
      <c r="G211" s="228">
        <v>24.6</v>
      </c>
      <c r="H211" s="229">
        <v>1.8100000000000002E-2</v>
      </c>
      <c r="I211" s="231">
        <v>1384.3</v>
      </c>
      <c r="J211" s="231">
        <v>1361.2</v>
      </c>
      <c r="K211" s="228">
        <v>23.1</v>
      </c>
      <c r="L211" s="229">
        <v>1.7000000000000001E-2</v>
      </c>
      <c r="M211" s="231">
        <v>1383.9</v>
      </c>
      <c r="N211" s="231">
        <v>1359.3</v>
      </c>
      <c r="O211" s="228">
        <v>24.6</v>
      </c>
      <c r="P211" s="229">
        <v>1.8100000000000002E-2</v>
      </c>
      <c r="Q211" s="231">
        <v>1374.5</v>
      </c>
      <c r="R211" s="231">
        <v>1350</v>
      </c>
      <c r="S211" s="228">
        <v>24.5</v>
      </c>
      <c r="T211" s="229">
        <v>1.8100000000000002E-2</v>
      </c>
      <c r="U211" s="231">
        <v>1369</v>
      </c>
      <c r="V211" s="231">
        <v>1341</v>
      </c>
      <c r="W211" s="228">
        <v>28</v>
      </c>
      <c r="X211" s="229">
        <v>2.0899999999999998E-2</v>
      </c>
      <c r="Y211" s="228">
        <v>-0.4</v>
      </c>
      <c r="Z211" s="228">
        <v>-1.9</v>
      </c>
      <c r="AA211" s="228">
        <v>1.5</v>
      </c>
      <c r="AB211" s="229">
        <v>-2.9999999999999997E-4</v>
      </c>
      <c r="AC211" s="228">
        <v>-0.4</v>
      </c>
      <c r="AD211" s="228">
        <v>-1.9</v>
      </c>
      <c r="AE211" s="228">
        <v>1.5</v>
      </c>
      <c r="AF211" s="229">
        <v>-2.9999999999999997E-4</v>
      </c>
      <c r="AG211" s="228">
        <v>-9.8000000000000007</v>
      </c>
      <c r="AH211" s="228">
        <v>-11.2</v>
      </c>
      <c r="AI211" s="228">
        <v>1.4</v>
      </c>
      <c r="AJ211" s="229">
        <v>-7.1000000000000004E-3</v>
      </c>
      <c r="AK211" s="228">
        <v>-15.3</v>
      </c>
      <c r="AL211" s="228">
        <v>-20.2</v>
      </c>
      <c r="AM211" s="228">
        <v>4.9000000000000004</v>
      </c>
      <c r="AN211" s="229">
        <v>-1.11E-2</v>
      </c>
      <c r="AO211" s="231">
        <v>1377.98</v>
      </c>
      <c r="AP211" s="231">
        <v>1368.17</v>
      </c>
      <c r="AQ211" s="228">
        <v>0</v>
      </c>
      <c r="AR211" s="230">
        <v>970875</v>
      </c>
      <c r="AS211" s="230">
        <v>849375</v>
      </c>
      <c r="AT211" s="230">
        <v>121500</v>
      </c>
      <c r="AU211" s="229">
        <v>0.14299999999999999</v>
      </c>
      <c r="AV211" s="230">
        <v>884250</v>
      </c>
      <c r="AW211" s="230">
        <v>785625</v>
      </c>
      <c r="AX211" s="230">
        <v>98625</v>
      </c>
      <c r="AY211" s="229">
        <v>0.1255</v>
      </c>
      <c r="AZ211" s="230">
        <v>65250</v>
      </c>
      <c r="BA211" s="230">
        <v>51000</v>
      </c>
      <c r="BB211" s="230">
        <v>14250</v>
      </c>
      <c r="BC211" s="229">
        <v>0.27939999999999998</v>
      </c>
      <c r="BD211" s="230">
        <v>21375</v>
      </c>
      <c r="BE211" s="230">
        <v>12750</v>
      </c>
      <c r="BF211" s="230">
        <v>8625</v>
      </c>
      <c r="BG211" s="229">
        <v>0.67649999999999999</v>
      </c>
      <c r="BH211" s="230">
        <v>3531750</v>
      </c>
      <c r="BI211" s="230">
        <v>2313750</v>
      </c>
      <c r="BJ211" s="230">
        <v>1218000</v>
      </c>
      <c r="BK211" s="229">
        <v>0.52639999999999998</v>
      </c>
      <c r="BL211" s="230">
        <v>1077375</v>
      </c>
      <c r="BM211" s="230">
        <v>1061625</v>
      </c>
      <c r="BN211" s="230">
        <v>15750</v>
      </c>
      <c r="BO211" s="229">
        <v>1.4800000000000001E-2</v>
      </c>
      <c r="BP211" s="230">
        <v>5580000</v>
      </c>
      <c r="BQ211" s="230">
        <v>4224750</v>
      </c>
      <c r="BR211" s="230">
        <v>1355250</v>
      </c>
      <c r="BS211" s="229">
        <v>0.32079999999999997</v>
      </c>
      <c r="BT211" s="230">
        <v>293332</v>
      </c>
      <c r="BU211" s="230">
        <v>331263</v>
      </c>
      <c r="BV211" s="230">
        <v>-37931</v>
      </c>
      <c r="BW211" s="229">
        <v>-0.1145</v>
      </c>
      <c r="BX211" s="230">
        <v>10212375</v>
      </c>
      <c r="BY211" s="230">
        <v>10198875</v>
      </c>
      <c r="BZ211" s="230">
        <v>13500</v>
      </c>
      <c r="CA211" s="229">
        <v>1.2999999999999999E-3</v>
      </c>
      <c r="CB211" s="230">
        <v>10018125</v>
      </c>
      <c r="CC211" s="230">
        <v>10018875</v>
      </c>
      <c r="CD211" s="228">
        <v>-750</v>
      </c>
      <c r="CE211" s="229">
        <v>-1E-4</v>
      </c>
      <c r="CF211" s="230">
        <v>169125</v>
      </c>
      <c r="CG211" s="230">
        <v>168375</v>
      </c>
      <c r="CH211" s="228">
        <v>750</v>
      </c>
      <c r="CI211" s="229">
        <v>4.4999999999999997E-3</v>
      </c>
      <c r="CJ211" s="230">
        <v>25125</v>
      </c>
      <c r="CK211" s="230">
        <v>11625</v>
      </c>
      <c r="CL211" s="230">
        <v>13500</v>
      </c>
      <c r="CM211" s="229">
        <v>1.1613</v>
      </c>
      <c r="CN211" s="230">
        <v>1913625</v>
      </c>
      <c r="CO211" s="230">
        <v>1856625</v>
      </c>
      <c r="CP211" s="230">
        <v>57000</v>
      </c>
      <c r="CQ211" s="229">
        <v>3.0700000000000002E-2</v>
      </c>
      <c r="CR211" s="230">
        <v>1578000</v>
      </c>
      <c r="CS211" s="230">
        <v>1503000</v>
      </c>
      <c r="CT211" s="230">
        <v>75000</v>
      </c>
      <c r="CU211" s="229">
        <v>4.99E-2</v>
      </c>
      <c r="CV211" s="230">
        <v>13704000</v>
      </c>
      <c r="CW211" s="230">
        <v>13558500</v>
      </c>
      <c r="CX211" s="230">
        <v>145500</v>
      </c>
      <c r="CY211" s="229">
        <v>1.0699999999999999E-2</v>
      </c>
      <c r="CZ211" s="228">
        <v>24.11</v>
      </c>
      <c r="DA211" s="228">
        <v>24.64</v>
      </c>
      <c r="DB211" s="228">
        <v>-0.53</v>
      </c>
      <c r="DC211" s="228">
        <v>-0.53</v>
      </c>
      <c r="DD211" s="228">
        <v>35.840000000000003</v>
      </c>
      <c r="DE211" s="228">
        <v>35.85</v>
      </c>
      <c r="DF211" s="228">
        <v>-11.73</v>
      </c>
      <c r="DG211" s="228">
        <v>-0.01</v>
      </c>
      <c r="DH211" s="228">
        <v>23.88</v>
      </c>
      <c r="DI211" s="228">
        <v>24.37</v>
      </c>
      <c r="DJ211" s="228">
        <v>-0.49</v>
      </c>
      <c r="DK211" s="228">
        <v>-0.49</v>
      </c>
      <c r="DL211" s="228">
        <v>24.86</v>
      </c>
      <c r="DM211" s="228">
        <v>25.23</v>
      </c>
      <c r="DN211" s="228">
        <v>-0.37</v>
      </c>
      <c r="DO211" s="228">
        <v>-0.37</v>
      </c>
      <c r="DP211" s="228">
        <v>0.82</v>
      </c>
      <c r="DQ211" s="228">
        <v>0.81</v>
      </c>
      <c r="DR211" s="228">
        <v>0.01</v>
      </c>
      <c r="DS211" s="229">
        <v>1.23E-2</v>
      </c>
      <c r="DT211" s="231">
        <v>1400</v>
      </c>
      <c r="DU211" s="231">
        <v>1400</v>
      </c>
      <c r="DV211" s="228">
        <v>0.31</v>
      </c>
      <c r="DW211" s="228">
        <v>0.46</v>
      </c>
      <c r="DX211" s="228">
        <v>-0.15</v>
      </c>
      <c r="DY211" s="229">
        <v>-0.3261</v>
      </c>
      <c r="DZ211" s="229">
        <v>1.9E-2</v>
      </c>
      <c r="EA211" s="230">
        <v>180000</v>
      </c>
      <c r="EB211" s="229">
        <v>-6.7999999999999996E-3</v>
      </c>
      <c r="EC211" s="229">
        <v>1.9E-2</v>
      </c>
      <c r="ED211" s="228">
        <v>-9.81</v>
      </c>
      <c r="EE211" s="229">
        <v>-7.1000000000000004E-3</v>
      </c>
      <c r="EF211" s="230">
        <v>78299</v>
      </c>
      <c r="EG211" s="230">
        <v>123790</v>
      </c>
      <c r="EH211" s="229">
        <v>-0.36749999999999999</v>
      </c>
      <c r="EI211" s="229">
        <v>0.26690000000000003</v>
      </c>
      <c r="EJ211" s="231">
        <v>50937.91</v>
      </c>
      <c r="EK211" s="231">
        <v>14445.85</v>
      </c>
      <c r="EL211" s="231">
        <v>13369.49</v>
      </c>
      <c r="EM211" s="231">
        <v>11222</v>
      </c>
      <c r="EN211" s="231">
        <v>78753.25</v>
      </c>
      <c r="EO211" s="231">
        <v>58643.37</v>
      </c>
      <c r="EP211" s="231">
        <v>20109.88</v>
      </c>
      <c r="EQ211" s="229">
        <v>0.34289999999999998</v>
      </c>
      <c r="ER211" s="231">
        <v>27588</v>
      </c>
      <c r="ES211" s="231">
        <v>20755</v>
      </c>
      <c r="ET211" s="231">
        <v>141309</v>
      </c>
      <c r="EU211" s="231">
        <v>34594689</v>
      </c>
      <c r="EV211" s="231">
        <v>189652</v>
      </c>
      <c r="EW211" s="231">
        <v>185072</v>
      </c>
      <c r="EX211" s="231">
        <v>4580</v>
      </c>
      <c r="EY211" s="229">
        <v>2.47E-2</v>
      </c>
      <c r="EZ211" s="229">
        <v>0.39610000000000001</v>
      </c>
      <c r="FA211" s="227" t="s">
        <v>555</v>
      </c>
      <c r="FB211" s="161">
        <f t="shared" si="5"/>
        <v>0</v>
      </c>
    </row>
    <row r="212" spans="1:158" ht="17.25" thickBot="1" x14ac:dyDescent="0.3">
      <c r="A212" s="226">
        <v>46023</v>
      </c>
      <c r="B212" s="227" t="s">
        <v>694</v>
      </c>
      <c r="C212" s="227" t="s">
        <v>692</v>
      </c>
      <c r="D212" s="228">
        <v>175</v>
      </c>
      <c r="E212" s="231">
        <v>2973.5</v>
      </c>
      <c r="F212" s="231">
        <v>2984.5</v>
      </c>
      <c r="G212" s="228">
        <v>-11</v>
      </c>
      <c r="H212" s="229">
        <v>-3.7000000000000002E-3</v>
      </c>
      <c r="I212" s="231">
        <v>2955.3</v>
      </c>
      <c r="J212" s="231">
        <v>2968.1</v>
      </c>
      <c r="K212" s="228">
        <v>-12.8</v>
      </c>
      <c r="L212" s="229">
        <v>-4.3E-3</v>
      </c>
      <c r="M212" s="231">
        <v>2973.5</v>
      </c>
      <c r="N212" s="231">
        <v>2984.5</v>
      </c>
      <c r="O212" s="228">
        <v>-11</v>
      </c>
      <c r="P212" s="229">
        <v>-3.7000000000000002E-3</v>
      </c>
      <c r="Q212" s="231">
        <v>2984.3</v>
      </c>
      <c r="R212" s="231">
        <v>3006.5</v>
      </c>
      <c r="S212" s="228">
        <v>-22.2</v>
      </c>
      <c r="T212" s="229">
        <v>-7.4000000000000003E-3</v>
      </c>
      <c r="U212" s="228">
        <v>0</v>
      </c>
      <c r="V212" s="228">
        <v>0</v>
      </c>
      <c r="W212" s="228">
        <v>0</v>
      </c>
      <c r="X212" s="229">
        <v>0</v>
      </c>
      <c r="Y212" s="228">
        <v>18.2</v>
      </c>
      <c r="Z212" s="228">
        <v>16.399999999999999</v>
      </c>
      <c r="AA212" s="228">
        <v>1.8</v>
      </c>
      <c r="AB212" s="229">
        <v>6.1999999999999998E-3</v>
      </c>
      <c r="AC212" s="228">
        <v>18.2</v>
      </c>
      <c r="AD212" s="228">
        <v>16.399999999999999</v>
      </c>
      <c r="AE212" s="228">
        <v>1.8</v>
      </c>
      <c r="AF212" s="229">
        <v>6.1999999999999998E-3</v>
      </c>
      <c r="AG212" s="228">
        <v>29</v>
      </c>
      <c r="AH212" s="228">
        <v>38.4</v>
      </c>
      <c r="AI212" s="228">
        <v>-9.4</v>
      </c>
      <c r="AJ212" s="229">
        <v>9.7999999999999997E-3</v>
      </c>
      <c r="AK212" s="228">
        <v>0</v>
      </c>
      <c r="AL212" s="228">
        <v>0</v>
      </c>
      <c r="AM212" s="228">
        <v>0</v>
      </c>
      <c r="AN212" s="229">
        <v>0</v>
      </c>
      <c r="AO212" s="231">
        <v>2979.94</v>
      </c>
      <c r="AP212" s="231">
        <v>2991.93</v>
      </c>
      <c r="AQ212" s="228">
        <v>0</v>
      </c>
      <c r="AR212" s="230">
        <v>119350</v>
      </c>
      <c r="AS212" s="230">
        <v>508375</v>
      </c>
      <c r="AT212" s="230">
        <v>-389025</v>
      </c>
      <c r="AU212" s="229">
        <v>-0.76519999999999999</v>
      </c>
      <c r="AV212" s="230">
        <v>116375</v>
      </c>
      <c r="AW212" s="230">
        <v>500325</v>
      </c>
      <c r="AX212" s="230">
        <v>-383950</v>
      </c>
      <c r="AY212" s="229">
        <v>-0.76739999999999997</v>
      </c>
      <c r="AZ212" s="230">
        <v>2975</v>
      </c>
      <c r="BA212" s="230">
        <v>8050</v>
      </c>
      <c r="BB212" s="230">
        <v>-5075</v>
      </c>
      <c r="BC212" s="229">
        <v>-0.63039999999999996</v>
      </c>
      <c r="BD212" s="228">
        <v>0</v>
      </c>
      <c r="BE212" s="228">
        <v>0</v>
      </c>
      <c r="BF212" s="228">
        <v>0</v>
      </c>
      <c r="BG212" s="229">
        <v>0</v>
      </c>
      <c r="BH212" s="230">
        <v>377825</v>
      </c>
      <c r="BI212" s="230">
        <v>1298850</v>
      </c>
      <c r="BJ212" s="230">
        <v>-921025</v>
      </c>
      <c r="BK212" s="229">
        <v>-0.70909999999999995</v>
      </c>
      <c r="BL212" s="230">
        <v>50575</v>
      </c>
      <c r="BM212" s="230">
        <v>196700</v>
      </c>
      <c r="BN212" s="230">
        <v>-146125</v>
      </c>
      <c r="BO212" s="229">
        <v>-0.7429</v>
      </c>
      <c r="BP212" s="230">
        <v>547750</v>
      </c>
      <c r="BQ212" s="230">
        <v>2003925</v>
      </c>
      <c r="BR212" s="230">
        <v>-1456175</v>
      </c>
      <c r="BS212" s="229">
        <v>-0.72670000000000001</v>
      </c>
      <c r="BT212" s="230">
        <v>393109</v>
      </c>
      <c r="BU212" s="230">
        <v>1083975</v>
      </c>
      <c r="BV212" s="230">
        <v>-690866</v>
      </c>
      <c r="BW212" s="229">
        <v>-0.63729999999999998</v>
      </c>
      <c r="BX212" s="230">
        <v>273000</v>
      </c>
      <c r="BY212" s="230">
        <v>238525</v>
      </c>
      <c r="BZ212" s="230">
        <v>34475</v>
      </c>
      <c r="CA212" s="229">
        <v>0.14449999999999999</v>
      </c>
      <c r="CB212" s="230">
        <v>266175</v>
      </c>
      <c r="CC212" s="230">
        <v>233800</v>
      </c>
      <c r="CD212" s="230">
        <v>32375</v>
      </c>
      <c r="CE212" s="229">
        <v>0.13850000000000001</v>
      </c>
      <c r="CF212" s="230">
        <v>6825</v>
      </c>
      <c r="CG212" s="230">
        <v>4725</v>
      </c>
      <c r="CH212" s="230">
        <v>2100</v>
      </c>
      <c r="CI212" s="229">
        <v>0.44440000000000002</v>
      </c>
      <c r="CJ212" s="228">
        <v>0</v>
      </c>
      <c r="CK212" s="228">
        <v>0</v>
      </c>
      <c r="CL212" s="228">
        <v>0</v>
      </c>
      <c r="CM212" s="229">
        <v>0</v>
      </c>
      <c r="CN212" s="230">
        <v>333900</v>
      </c>
      <c r="CO212" s="230">
        <v>277725</v>
      </c>
      <c r="CP212" s="230">
        <v>56175</v>
      </c>
      <c r="CQ212" s="229">
        <v>0.20230000000000001</v>
      </c>
      <c r="CR212" s="230">
        <v>101325</v>
      </c>
      <c r="CS212" s="230">
        <v>81025</v>
      </c>
      <c r="CT212" s="230">
        <v>20300</v>
      </c>
      <c r="CU212" s="229">
        <v>0.2505</v>
      </c>
      <c r="CV212" s="230">
        <v>708225</v>
      </c>
      <c r="CW212" s="230">
        <v>597275</v>
      </c>
      <c r="CX212" s="230">
        <v>110950</v>
      </c>
      <c r="CY212" s="229">
        <v>0.18579999999999999</v>
      </c>
      <c r="CZ212" s="228">
        <v>34.94</v>
      </c>
      <c r="DA212" s="228">
        <v>34.979999999999997</v>
      </c>
      <c r="DB212" s="228">
        <v>-0.04</v>
      </c>
      <c r="DC212" s="228">
        <v>-0.04</v>
      </c>
      <c r="DD212" s="228">
        <v>48.88</v>
      </c>
      <c r="DE212" s="228">
        <v>49</v>
      </c>
      <c r="DF212" s="228">
        <v>-13.94</v>
      </c>
      <c r="DG212" s="228">
        <v>-0.12</v>
      </c>
      <c r="DH212" s="228">
        <v>35.1</v>
      </c>
      <c r="DI212" s="228">
        <v>35.1</v>
      </c>
      <c r="DJ212" s="228">
        <v>0</v>
      </c>
      <c r="DK212" s="228">
        <v>0</v>
      </c>
      <c r="DL212" s="228">
        <v>33.76</v>
      </c>
      <c r="DM212" s="228">
        <v>34.15</v>
      </c>
      <c r="DN212" s="228">
        <v>-0.39</v>
      </c>
      <c r="DO212" s="228">
        <v>-0.39</v>
      </c>
      <c r="DP212" s="228">
        <v>0.3</v>
      </c>
      <c r="DQ212" s="228">
        <v>0.28999999999999998</v>
      </c>
      <c r="DR212" s="228">
        <v>0.01</v>
      </c>
      <c r="DS212" s="229">
        <v>3.4500000000000003E-2</v>
      </c>
      <c r="DT212" s="231">
        <v>3500</v>
      </c>
      <c r="DU212" s="231">
        <v>2800</v>
      </c>
      <c r="DV212" s="228">
        <v>0.13</v>
      </c>
      <c r="DW212" s="228">
        <v>0.15</v>
      </c>
      <c r="DX212" s="228">
        <v>-0.02</v>
      </c>
      <c r="DY212" s="229">
        <v>-0.1333</v>
      </c>
      <c r="DZ212" s="229">
        <v>2.5000000000000001E-2</v>
      </c>
      <c r="EA212" s="230">
        <v>4725</v>
      </c>
      <c r="EB212" s="229">
        <v>3.5999999999999999E-3</v>
      </c>
      <c r="EC212" s="229">
        <v>2.5000000000000001E-2</v>
      </c>
      <c r="ED212" s="228">
        <v>11.99</v>
      </c>
      <c r="EE212" s="229">
        <v>4.0000000000000001E-3</v>
      </c>
      <c r="EF212" s="230">
        <v>109553</v>
      </c>
      <c r="EG212" s="230">
        <v>300838</v>
      </c>
      <c r="EH212" s="229">
        <v>-0.63580000000000003</v>
      </c>
      <c r="EI212" s="229">
        <v>0.2787</v>
      </c>
      <c r="EJ212" s="231">
        <v>12437.41</v>
      </c>
      <c r="EK212" s="231">
        <v>1474.47</v>
      </c>
      <c r="EL212" s="231">
        <v>3556.91</v>
      </c>
      <c r="EM212" s="231">
        <v>2905</v>
      </c>
      <c r="EN212" s="231">
        <v>17468.79</v>
      </c>
      <c r="EO212" s="231">
        <v>63200.01</v>
      </c>
      <c r="EP212" s="231">
        <v>-45731.22</v>
      </c>
      <c r="EQ212" s="229">
        <v>-0.72360000000000002</v>
      </c>
      <c r="ER212" s="231">
        <v>10797</v>
      </c>
      <c r="ES212" s="231">
        <v>2889</v>
      </c>
      <c r="ET212" s="231">
        <v>8118</v>
      </c>
      <c r="EU212" s="231">
        <v>15436318</v>
      </c>
      <c r="EV212" s="231">
        <v>21804</v>
      </c>
      <c r="EW212" s="231">
        <v>18423</v>
      </c>
      <c r="EX212" s="231">
        <v>3381</v>
      </c>
      <c r="EY212" s="229">
        <v>0.1835</v>
      </c>
      <c r="EZ212" s="229">
        <v>4.5900000000000003E-2</v>
      </c>
      <c r="FA212" s="227" t="s">
        <v>567</v>
      </c>
      <c r="FB212" s="161">
        <f t="shared" si="5"/>
        <v>0</v>
      </c>
    </row>
    <row r="213" spans="1:158" ht="17.25" thickBot="1" x14ac:dyDescent="0.3">
      <c r="A213" s="226">
        <v>46023</v>
      </c>
      <c r="B213" s="227" t="s">
        <v>221</v>
      </c>
      <c r="C213" s="227" t="s">
        <v>306</v>
      </c>
      <c r="D213" s="228">
        <v>3000</v>
      </c>
      <c r="E213" s="228">
        <v>264.60000000000002</v>
      </c>
      <c r="F213" s="228">
        <v>262.44</v>
      </c>
      <c r="G213" s="228">
        <v>2.16</v>
      </c>
      <c r="H213" s="229">
        <v>8.2000000000000007E-3</v>
      </c>
      <c r="I213" s="228">
        <v>267.35000000000002</v>
      </c>
      <c r="J213" s="228">
        <v>263.27999999999997</v>
      </c>
      <c r="K213" s="228">
        <v>4.07</v>
      </c>
      <c r="L213" s="229">
        <v>1.55E-2</v>
      </c>
      <c r="M213" s="228">
        <v>264.60000000000002</v>
      </c>
      <c r="N213" s="228">
        <v>262.44</v>
      </c>
      <c r="O213" s="228">
        <v>2.16</v>
      </c>
      <c r="P213" s="229">
        <v>8.2000000000000007E-3</v>
      </c>
      <c r="Q213" s="228">
        <v>263.89999999999998</v>
      </c>
      <c r="R213" s="228">
        <v>261.72000000000003</v>
      </c>
      <c r="S213" s="228">
        <v>2.1800000000000002</v>
      </c>
      <c r="T213" s="229">
        <v>8.3000000000000001E-3</v>
      </c>
      <c r="U213" s="228">
        <v>263.95</v>
      </c>
      <c r="V213" s="228">
        <v>261.60000000000002</v>
      </c>
      <c r="W213" s="228">
        <v>2.35</v>
      </c>
      <c r="X213" s="229">
        <v>8.9999999999999993E-3</v>
      </c>
      <c r="Y213" s="228">
        <v>-2.75</v>
      </c>
      <c r="Z213" s="228">
        <v>-0.84</v>
      </c>
      <c r="AA213" s="228">
        <v>-1.91</v>
      </c>
      <c r="AB213" s="229">
        <v>-1.03E-2</v>
      </c>
      <c r="AC213" s="228">
        <v>-2.75</v>
      </c>
      <c r="AD213" s="228">
        <v>-0.84</v>
      </c>
      <c r="AE213" s="228">
        <v>-1.91</v>
      </c>
      <c r="AF213" s="229">
        <v>-1.03E-2</v>
      </c>
      <c r="AG213" s="228">
        <v>-3.45</v>
      </c>
      <c r="AH213" s="228">
        <v>-1.56</v>
      </c>
      <c r="AI213" s="228">
        <v>-1.89</v>
      </c>
      <c r="AJ213" s="229">
        <v>-1.29E-2</v>
      </c>
      <c r="AK213" s="228">
        <v>-3.4</v>
      </c>
      <c r="AL213" s="228">
        <v>-1.68</v>
      </c>
      <c r="AM213" s="228">
        <v>-1.72</v>
      </c>
      <c r="AN213" s="229">
        <v>-1.2699999999999999E-2</v>
      </c>
      <c r="AO213" s="228">
        <v>264.36</v>
      </c>
      <c r="AP213" s="228">
        <v>263.60000000000002</v>
      </c>
      <c r="AQ213" s="228">
        <v>0</v>
      </c>
      <c r="AR213" s="230">
        <v>8295000</v>
      </c>
      <c r="AS213" s="230">
        <v>15393000</v>
      </c>
      <c r="AT213" s="230">
        <v>-7098000</v>
      </c>
      <c r="AU213" s="229">
        <v>-0.46110000000000001</v>
      </c>
      <c r="AV213" s="230">
        <v>7596000</v>
      </c>
      <c r="AW213" s="230">
        <v>14454000</v>
      </c>
      <c r="AX213" s="230">
        <v>-6858000</v>
      </c>
      <c r="AY213" s="229">
        <v>-0.47449999999999998</v>
      </c>
      <c r="AZ213" s="230">
        <v>513000</v>
      </c>
      <c r="BA213" s="230">
        <v>780000</v>
      </c>
      <c r="BB213" s="230">
        <v>-267000</v>
      </c>
      <c r="BC213" s="229">
        <v>-0.34229999999999999</v>
      </c>
      <c r="BD213" s="230">
        <v>186000</v>
      </c>
      <c r="BE213" s="230">
        <v>159000</v>
      </c>
      <c r="BF213" s="230">
        <v>27000</v>
      </c>
      <c r="BG213" s="229">
        <v>0.16980000000000001</v>
      </c>
      <c r="BH213" s="230">
        <v>27783000</v>
      </c>
      <c r="BI213" s="230">
        <v>46857000</v>
      </c>
      <c r="BJ213" s="230">
        <v>-19074000</v>
      </c>
      <c r="BK213" s="229">
        <v>-0.40710000000000002</v>
      </c>
      <c r="BL213" s="230">
        <v>12864000</v>
      </c>
      <c r="BM213" s="230">
        <v>17274000</v>
      </c>
      <c r="BN213" s="230">
        <v>-4410000</v>
      </c>
      <c r="BO213" s="229">
        <v>-0.25530000000000003</v>
      </c>
      <c r="BP213" s="230">
        <v>48942000</v>
      </c>
      <c r="BQ213" s="230">
        <v>79524000</v>
      </c>
      <c r="BR213" s="230">
        <v>-30582000</v>
      </c>
      <c r="BS213" s="229">
        <v>-0.3846</v>
      </c>
      <c r="BT213" s="230">
        <v>4080909</v>
      </c>
      <c r="BU213" s="230">
        <v>6020567</v>
      </c>
      <c r="BV213" s="230">
        <v>-1939658</v>
      </c>
      <c r="BW213" s="229">
        <v>-0.32219999999999999</v>
      </c>
      <c r="BX213" s="230">
        <v>98529000</v>
      </c>
      <c r="BY213" s="230">
        <v>97587000</v>
      </c>
      <c r="BZ213" s="230">
        <v>942000</v>
      </c>
      <c r="CA213" s="229">
        <v>9.7000000000000003E-3</v>
      </c>
      <c r="CB213" s="230">
        <v>94623000</v>
      </c>
      <c r="CC213" s="230">
        <v>93828000</v>
      </c>
      <c r="CD213" s="230">
        <v>795000</v>
      </c>
      <c r="CE213" s="229">
        <v>8.5000000000000006E-3</v>
      </c>
      <c r="CF213" s="230">
        <v>3660000</v>
      </c>
      <c r="CG213" s="230">
        <v>3636000</v>
      </c>
      <c r="CH213" s="230">
        <v>24000</v>
      </c>
      <c r="CI213" s="229">
        <v>6.6E-3</v>
      </c>
      <c r="CJ213" s="230">
        <v>246000</v>
      </c>
      <c r="CK213" s="230">
        <v>123000</v>
      </c>
      <c r="CL213" s="230">
        <v>123000</v>
      </c>
      <c r="CM213" s="229">
        <v>1</v>
      </c>
      <c r="CN213" s="230">
        <v>29280000</v>
      </c>
      <c r="CO213" s="230">
        <v>28392000</v>
      </c>
      <c r="CP213" s="230">
        <v>888000</v>
      </c>
      <c r="CQ213" s="229">
        <v>3.1300000000000001E-2</v>
      </c>
      <c r="CR213" s="230">
        <v>22332000</v>
      </c>
      <c r="CS213" s="230">
        <v>19503000</v>
      </c>
      <c r="CT213" s="230">
        <v>2829000</v>
      </c>
      <c r="CU213" s="229">
        <v>0.14510000000000001</v>
      </c>
      <c r="CV213" s="230">
        <v>150141000</v>
      </c>
      <c r="CW213" s="230">
        <v>145482000</v>
      </c>
      <c r="CX213" s="230">
        <v>4659000</v>
      </c>
      <c r="CY213" s="229">
        <v>3.2000000000000001E-2</v>
      </c>
      <c r="CZ213" s="228">
        <v>24.24</v>
      </c>
      <c r="DA213" s="228">
        <v>24.32</v>
      </c>
      <c r="DB213" s="228">
        <v>-0.08</v>
      </c>
      <c r="DC213" s="228">
        <v>-0.08</v>
      </c>
      <c r="DD213" s="228">
        <v>29.3</v>
      </c>
      <c r="DE213" s="228">
        <v>29.35</v>
      </c>
      <c r="DF213" s="228">
        <v>-5.0599999999999996</v>
      </c>
      <c r="DG213" s="228">
        <v>-0.05</v>
      </c>
      <c r="DH213" s="228">
        <v>24.05</v>
      </c>
      <c r="DI213" s="228">
        <v>24.15</v>
      </c>
      <c r="DJ213" s="228">
        <v>-0.1</v>
      </c>
      <c r="DK213" s="228">
        <v>-0.1</v>
      </c>
      <c r="DL213" s="228">
        <v>24.64</v>
      </c>
      <c r="DM213" s="228">
        <v>24.78</v>
      </c>
      <c r="DN213" s="228">
        <v>-0.14000000000000001</v>
      </c>
      <c r="DO213" s="228">
        <v>-0.14000000000000001</v>
      </c>
      <c r="DP213" s="228">
        <v>0.76</v>
      </c>
      <c r="DQ213" s="228">
        <v>0.69</v>
      </c>
      <c r="DR213" s="228">
        <v>7.0000000000000007E-2</v>
      </c>
      <c r="DS213" s="229">
        <v>0.1014</v>
      </c>
      <c r="DT213" s="228">
        <v>265</v>
      </c>
      <c r="DU213" s="228">
        <v>260</v>
      </c>
      <c r="DV213" s="228">
        <v>0.46</v>
      </c>
      <c r="DW213" s="228">
        <v>0.37</v>
      </c>
      <c r="DX213" s="228">
        <v>0.09</v>
      </c>
      <c r="DY213" s="229">
        <v>0.2432</v>
      </c>
      <c r="DZ213" s="229">
        <v>3.9600000000000003E-2</v>
      </c>
      <c r="EA213" s="230">
        <v>3759000</v>
      </c>
      <c r="EB213" s="229">
        <v>-2.5999999999999999E-3</v>
      </c>
      <c r="EC213" s="229">
        <v>3.9600000000000003E-2</v>
      </c>
      <c r="ED213" s="228">
        <v>-0.76</v>
      </c>
      <c r="EE213" s="229">
        <v>-2.8999999999999998E-3</v>
      </c>
      <c r="EF213" s="230">
        <v>1420851</v>
      </c>
      <c r="EG213" s="230">
        <v>3308829</v>
      </c>
      <c r="EH213" s="229">
        <v>-0.5706</v>
      </c>
      <c r="EI213" s="229">
        <v>0.34820000000000001</v>
      </c>
      <c r="EJ213" s="231">
        <v>77286.39</v>
      </c>
      <c r="EK213" s="231">
        <v>33563.72</v>
      </c>
      <c r="EL213" s="231">
        <v>21923.84</v>
      </c>
      <c r="EM213" s="231">
        <v>16740</v>
      </c>
      <c r="EN213" s="231">
        <v>132773.95000000001</v>
      </c>
      <c r="EO213" s="231">
        <v>213635.04</v>
      </c>
      <c r="EP213" s="231">
        <v>-80861.09</v>
      </c>
      <c r="EQ213" s="229">
        <v>-0.3785</v>
      </c>
      <c r="ER213" s="231">
        <v>80723</v>
      </c>
      <c r="ES213" s="231">
        <v>57050</v>
      </c>
      <c r="ET213" s="231">
        <v>260681</v>
      </c>
      <c r="EU213" s="231">
        <v>358423198</v>
      </c>
      <c r="EV213" s="231">
        <v>398453</v>
      </c>
      <c r="EW213" s="231">
        <v>383987</v>
      </c>
      <c r="EX213" s="231">
        <v>14466</v>
      </c>
      <c r="EY213" s="229">
        <v>3.7699999999999997E-2</v>
      </c>
      <c r="EZ213" s="229">
        <v>0.41889999999999999</v>
      </c>
      <c r="FA213" s="227" t="s">
        <v>555</v>
      </c>
      <c r="FB213" s="161">
        <f t="shared" si="5"/>
        <v>0</v>
      </c>
    </row>
    <row r="214" spans="1:158" ht="17.25" thickBot="1" x14ac:dyDescent="0.3">
      <c r="A214" s="226">
        <v>46023</v>
      </c>
      <c r="B214" s="227" t="s">
        <v>172</v>
      </c>
      <c r="C214" s="227" t="s">
        <v>590</v>
      </c>
      <c r="D214" s="228">
        <v>31100</v>
      </c>
      <c r="E214" s="228">
        <v>21.61</v>
      </c>
      <c r="F214" s="228">
        <v>21.71</v>
      </c>
      <c r="G214" s="228">
        <v>-0.1</v>
      </c>
      <c r="H214" s="229">
        <v>-4.5999999999999999E-3</v>
      </c>
      <c r="I214" s="228">
        <v>21.49</v>
      </c>
      <c r="J214" s="228">
        <v>21.6</v>
      </c>
      <c r="K214" s="228">
        <v>-0.11</v>
      </c>
      <c r="L214" s="229">
        <v>-5.1000000000000004E-3</v>
      </c>
      <c r="M214" s="228">
        <v>21.61</v>
      </c>
      <c r="N214" s="228">
        <v>21.71</v>
      </c>
      <c r="O214" s="228">
        <v>-0.1</v>
      </c>
      <c r="P214" s="229">
        <v>-4.5999999999999999E-3</v>
      </c>
      <c r="Q214" s="228">
        <v>21.75</v>
      </c>
      <c r="R214" s="228">
        <v>21.85</v>
      </c>
      <c r="S214" s="228">
        <v>-0.1</v>
      </c>
      <c r="T214" s="229">
        <v>-4.5999999999999999E-3</v>
      </c>
      <c r="U214" s="228">
        <v>21.87</v>
      </c>
      <c r="V214" s="228">
        <v>22.03</v>
      </c>
      <c r="W214" s="228">
        <v>-0.16</v>
      </c>
      <c r="X214" s="229">
        <v>-7.3000000000000001E-3</v>
      </c>
      <c r="Y214" s="228">
        <v>0.12</v>
      </c>
      <c r="Z214" s="228">
        <v>0.11</v>
      </c>
      <c r="AA214" s="228">
        <v>0.01</v>
      </c>
      <c r="AB214" s="229">
        <v>5.5999999999999999E-3</v>
      </c>
      <c r="AC214" s="228">
        <v>0.12</v>
      </c>
      <c r="AD214" s="228">
        <v>0.11</v>
      </c>
      <c r="AE214" s="228">
        <v>0.01</v>
      </c>
      <c r="AF214" s="229">
        <v>5.5999999999999999E-3</v>
      </c>
      <c r="AG214" s="228">
        <v>0.26</v>
      </c>
      <c r="AH214" s="228">
        <v>0.25</v>
      </c>
      <c r="AI214" s="228">
        <v>0.01</v>
      </c>
      <c r="AJ214" s="229">
        <v>1.21E-2</v>
      </c>
      <c r="AK214" s="228">
        <v>0.38</v>
      </c>
      <c r="AL214" s="228">
        <v>0.43</v>
      </c>
      <c r="AM214" s="228">
        <v>-0.05</v>
      </c>
      <c r="AN214" s="229">
        <v>1.77E-2</v>
      </c>
      <c r="AO214" s="228">
        <v>21.62</v>
      </c>
      <c r="AP214" s="228">
        <v>21.75</v>
      </c>
      <c r="AQ214" s="228">
        <v>0</v>
      </c>
      <c r="AR214" s="230">
        <v>63848300</v>
      </c>
      <c r="AS214" s="230">
        <v>129220500</v>
      </c>
      <c r="AT214" s="230">
        <v>-65372200</v>
      </c>
      <c r="AU214" s="229">
        <v>-0.50590000000000002</v>
      </c>
      <c r="AV214" s="230">
        <v>56135500</v>
      </c>
      <c r="AW214" s="230">
        <v>116127400</v>
      </c>
      <c r="AX214" s="230">
        <v>-59991900</v>
      </c>
      <c r="AY214" s="229">
        <v>-0.51659999999999995</v>
      </c>
      <c r="AZ214" s="230">
        <v>6002300</v>
      </c>
      <c r="BA214" s="230">
        <v>10231900</v>
      </c>
      <c r="BB214" s="230">
        <v>-4229600</v>
      </c>
      <c r="BC214" s="229">
        <v>-0.41339999999999999</v>
      </c>
      <c r="BD214" s="230">
        <v>1710500</v>
      </c>
      <c r="BE214" s="230">
        <v>2861200</v>
      </c>
      <c r="BF214" s="230">
        <v>-1150700</v>
      </c>
      <c r="BG214" s="229">
        <v>-0.4022</v>
      </c>
      <c r="BH214" s="230">
        <v>143837500</v>
      </c>
      <c r="BI214" s="230">
        <v>218446400</v>
      </c>
      <c r="BJ214" s="230">
        <v>-74608900</v>
      </c>
      <c r="BK214" s="229">
        <v>-0.34150000000000003</v>
      </c>
      <c r="BL214" s="230">
        <v>35391800</v>
      </c>
      <c r="BM214" s="230">
        <v>80269100</v>
      </c>
      <c r="BN214" s="230">
        <v>-44877300</v>
      </c>
      <c r="BO214" s="229">
        <v>-0.55910000000000004</v>
      </c>
      <c r="BP214" s="230">
        <v>243077600</v>
      </c>
      <c r="BQ214" s="230">
        <v>427936000</v>
      </c>
      <c r="BR214" s="230">
        <v>-184858400</v>
      </c>
      <c r="BS214" s="229">
        <v>-0.432</v>
      </c>
      <c r="BT214" s="230">
        <v>37678802</v>
      </c>
      <c r="BU214" s="230">
        <v>72196019</v>
      </c>
      <c r="BV214" s="230">
        <v>-34517217</v>
      </c>
      <c r="BW214" s="229">
        <v>-0.47810000000000002</v>
      </c>
      <c r="BX214" s="230">
        <v>1115805800</v>
      </c>
      <c r="BY214" s="230">
        <v>1110860900</v>
      </c>
      <c r="BZ214" s="230">
        <v>4944900</v>
      </c>
      <c r="CA214" s="229">
        <v>4.4999999999999997E-3</v>
      </c>
      <c r="CB214" s="230">
        <v>1059203800</v>
      </c>
      <c r="CC214" s="230">
        <v>1057337800</v>
      </c>
      <c r="CD214" s="230">
        <v>1866000</v>
      </c>
      <c r="CE214" s="229">
        <v>1.8E-3</v>
      </c>
      <c r="CF214" s="230">
        <v>53865200</v>
      </c>
      <c r="CG214" s="230">
        <v>51750400</v>
      </c>
      <c r="CH214" s="230">
        <v>2114800</v>
      </c>
      <c r="CI214" s="229">
        <v>4.0899999999999999E-2</v>
      </c>
      <c r="CJ214" s="230">
        <v>2736800</v>
      </c>
      <c r="CK214" s="230">
        <v>1772700</v>
      </c>
      <c r="CL214" s="230">
        <v>964100</v>
      </c>
      <c r="CM214" s="229">
        <v>0.54390000000000005</v>
      </c>
      <c r="CN214" s="230">
        <v>255331000</v>
      </c>
      <c r="CO214" s="230">
        <v>246063200</v>
      </c>
      <c r="CP214" s="230">
        <v>9267800</v>
      </c>
      <c r="CQ214" s="229">
        <v>3.7699999999999997E-2</v>
      </c>
      <c r="CR214" s="230">
        <v>172231800</v>
      </c>
      <c r="CS214" s="230">
        <v>165047700</v>
      </c>
      <c r="CT214" s="230">
        <v>7184100</v>
      </c>
      <c r="CU214" s="229">
        <v>4.3499999999999997E-2</v>
      </c>
      <c r="CV214" s="230">
        <v>1543368600</v>
      </c>
      <c r="CW214" s="230">
        <v>1521971800</v>
      </c>
      <c r="CX214" s="230">
        <v>21396800</v>
      </c>
      <c r="CY214" s="229">
        <v>1.41E-2</v>
      </c>
      <c r="CZ214" s="228">
        <v>29.28</v>
      </c>
      <c r="DA214" s="228">
        <v>28.79</v>
      </c>
      <c r="DB214" s="228">
        <v>0.49</v>
      </c>
      <c r="DC214" s="228">
        <v>0.49</v>
      </c>
      <c r="DD214" s="228">
        <v>38.69</v>
      </c>
      <c r="DE214" s="228">
        <v>38.78</v>
      </c>
      <c r="DF214" s="228">
        <v>-9.41</v>
      </c>
      <c r="DG214" s="228">
        <v>-0.09</v>
      </c>
      <c r="DH214" s="228">
        <v>29.81</v>
      </c>
      <c r="DI214" s="228">
        <v>29.24</v>
      </c>
      <c r="DJ214" s="228">
        <v>0.56999999999999995</v>
      </c>
      <c r="DK214" s="228">
        <v>0.56999999999999995</v>
      </c>
      <c r="DL214" s="228">
        <v>27.1</v>
      </c>
      <c r="DM214" s="228">
        <v>27.56</v>
      </c>
      <c r="DN214" s="228">
        <v>-0.46</v>
      </c>
      <c r="DO214" s="228">
        <v>-0.46</v>
      </c>
      <c r="DP214" s="228">
        <v>0.67</v>
      </c>
      <c r="DQ214" s="228">
        <v>0.67</v>
      </c>
      <c r="DR214" s="228">
        <v>0</v>
      </c>
      <c r="DS214" s="229">
        <v>0</v>
      </c>
      <c r="DT214" s="228">
        <v>22</v>
      </c>
      <c r="DU214" s="228">
        <v>22</v>
      </c>
      <c r="DV214" s="228">
        <v>0.25</v>
      </c>
      <c r="DW214" s="228">
        <v>0.37</v>
      </c>
      <c r="DX214" s="228">
        <v>-0.12</v>
      </c>
      <c r="DY214" s="229">
        <v>-0.32429999999999998</v>
      </c>
      <c r="DZ214" s="229">
        <v>5.0700000000000002E-2</v>
      </c>
      <c r="EA214" s="230">
        <v>53523100</v>
      </c>
      <c r="EB214" s="229">
        <v>6.4999999999999997E-3</v>
      </c>
      <c r="EC214" s="229">
        <v>5.0700000000000002E-2</v>
      </c>
      <c r="ED214" s="228">
        <v>0.13</v>
      </c>
      <c r="EE214" s="229">
        <v>6.0000000000000001E-3</v>
      </c>
      <c r="EF214" s="230">
        <v>15349074</v>
      </c>
      <c r="EG214" s="230">
        <v>32267242</v>
      </c>
      <c r="EH214" s="229">
        <v>-0.52429999999999999</v>
      </c>
      <c r="EI214" s="229">
        <v>0.40739999999999998</v>
      </c>
      <c r="EJ214" s="231">
        <v>33971.53</v>
      </c>
      <c r="EK214" s="231">
        <v>7468.84</v>
      </c>
      <c r="EL214" s="231">
        <v>13816.68</v>
      </c>
      <c r="EM214" s="231">
        <v>15463</v>
      </c>
      <c r="EN214" s="231">
        <v>55257.05</v>
      </c>
      <c r="EO214" s="231">
        <v>96123.29</v>
      </c>
      <c r="EP214" s="231">
        <v>-40866.239999999998</v>
      </c>
      <c r="EQ214" s="229">
        <v>-0.42509999999999998</v>
      </c>
      <c r="ER214" s="231">
        <v>59204</v>
      </c>
      <c r="ES214" s="231">
        <v>36616</v>
      </c>
      <c r="ET214" s="231">
        <v>241208</v>
      </c>
      <c r="EU214" s="231">
        <v>3547322779</v>
      </c>
      <c r="EV214" s="231">
        <v>337029</v>
      </c>
      <c r="EW214" s="231">
        <v>333414</v>
      </c>
      <c r="EX214" s="231">
        <v>3615</v>
      </c>
      <c r="EY214" s="229">
        <v>1.0800000000000001E-2</v>
      </c>
      <c r="EZ214" s="229">
        <v>0.43509999999999999</v>
      </c>
      <c r="FA214" s="227" t="s">
        <v>567</v>
      </c>
      <c r="FB214" s="161">
        <f t="shared" si="5"/>
        <v>0</v>
      </c>
    </row>
    <row r="215" spans="1:158" ht="17.25" thickBot="1" x14ac:dyDescent="0.3">
      <c r="A215" s="226">
        <v>46023</v>
      </c>
      <c r="B215" s="227" t="s">
        <v>170</v>
      </c>
      <c r="C215" s="227" t="s">
        <v>557</v>
      </c>
      <c r="D215" s="228">
        <v>900</v>
      </c>
      <c r="E215" s="228">
        <v>919.3</v>
      </c>
      <c r="F215" s="228">
        <v>917.65</v>
      </c>
      <c r="G215" s="228">
        <v>1.65</v>
      </c>
      <c r="H215" s="229">
        <v>1.8E-3</v>
      </c>
      <c r="I215" s="228">
        <v>915.05</v>
      </c>
      <c r="J215" s="228">
        <v>914.35</v>
      </c>
      <c r="K215" s="228">
        <v>0.7</v>
      </c>
      <c r="L215" s="229">
        <v>8.0000000000000004E-4</v>
      </c>
      <c r="M215" s="228">
        <v>919.3</v>
      </c>
      <c r="N215" s="228">
        <v>917.65</v>
      </c>
      <c r="O215" s="228">
        <v>1.65</v>
      </c>
      <c r="P215" s="229">
        <v>1.8E-3</v>
      </c>
      <c r="Q215" s="228">
        <v>924.1</v>
      </c>
      <c r="R215" s="228">
        <v>923.65</v>
      </c>
      <c r="S215" s="228">
        <v>0.45</v>
      </c>
      <c r="T215" s="229">
        <v>5.0000000000000001E-4</v>
      </c>
      <c r="U215" s="228">
        <v>925</v>
      </c>
      <c r="V215" s="228">
        <v>925</v>
      </c>
      <c r="W215" s="228">
        <v>0</v>
      </c>
      <c r="X215" s="229">
        <v>0</v>
      </c>
      <c r="Y215" s="228">
        <v>4.25</v>
      </c>
      <c r="Z215" s="228">
        <v>3.3</v>
      </c>
      <c r="AA215" s="228">
        <v>0.95</v>
      </c>
      <c r="AB215" s="229">
        <v>4.5999999999999999E-3</v>
      </c>
      <c r="AC215" s="228">
        <v>4.25</v>
      </c>
      <c r="AD215" s="228">
        <v>3.3</v>
      </c>
      <c r="AE215" s="228">
        <v>0.95</v>
      </c>
      <c r="AF215" s="229">
        <v>4.5999999999999999E-3</v>
      </c>
      <c r="AG215" s="228">
        <v>9.0500000000000007</v>
      </c>
      <c r="AH215" s="228">
        <v>9.3000000000000007</v>
      </c>
      <c r="AI215" s="228">
        <v>-0.25</v>
      </c>
      <c r="AJ215" s="229">
        <v>9.9000000000000008E-3</v>
      </c>
      <c r="AK215" s="228">
        <v>9.9499999999999993</v>
      </c>
      <c r="AL215" s="228">
        <v>10.65</v>
      </c>
      <c r="AM215" s="228">
        <v>-0.7</v>
      </c>
      <c r="AN215" s="229">
        <v>1.09E-2</v>
      </c>
      <c r="AO215" s="228">
        <v>916.29</v>
      </c>
      <c r="AP215" s="228">
        <v>921.19</v>
      </c>
      <c r="AQ215" s="228">
        <v>0</v>
      </c>
      <c r="AR215" s="230">
        <v>659700</v>
      </c>
      <c r="AS215" s="230">
        <v>1138500</v>
      </c>
      <c r="AT215" s="230">
        <v>-478800</v>
      </c>
      <c r="AU215" s="229">
        <v>-0.42059999999999997</v>
      </c>
      <c r="AV215" s="230">
        <v>617400</v>
      </c>
      <c r="AW215" s="230">
        <v>1098900</v>
      </c>
      <c r="AX215" s="230">
        <v>-481500</v>
      </c>
      <c r="AY215" s="229">
        <v>-0.43819999999999998</v>
      </c>
      <c r="AZ215" s="230">
        <v>39600</v>
      </c>
      <c r="BA215" s="230">
        <v>38700</v>
      </c>
      <c r="BB215" s="228">
        <v>900</v>
      </c>
      <c r="BC215" s="229">
        <v>2.3300000000000001E-2</v>
      </c>
      <c r="BD215" s="230">
        <v>2700</v>
      </c>
      <c r="BE215" s="228">
        <v>900</v>
      </c>
      <c r="BF215" s="230">
        <v>1800</v>
      </c>
      <c r="BG215" s="229">
        <v>2</v>
      </c>
      <c r="BH215" s="230">
        <v>1416600</v>
      </c>
      <c r="BI215" s="230">
        <v>1891800</v>
      </c>
      <c r="BJ215" s="230">
        <v>-475200</v>
      </c>
      <c r="BK215" s="229">
        <v>-0.25119999999999998</v>
      </c>
      <c r="BL215" s="230">
        <v>801900</v>
      </c>
      <c r="BM215" s="230">
        <v>1145700</v>
      </c>
      <c r="BN215" s="230">
        <v>-343800</v>
      </c>
      <c r="BO215" s="229">
        <v>-0.30009999999999998</v>
      </c>
      <c r="BP215" s="230">
        <v>2878200</v>
      </c>
      <c r="BQ215" s="230">
        <v>4176000</v>
      </c>
      <c r="BR215" s="230">
        <v>-1297800</v>
      </c>
      <c r="BS215" s="229">
        <v>-0.31080000000000002</v>
      </c>
      <c r="BT215" s="230">
        <v>492814</v>
      </c>
      <c r="BU215" s="230">
        <v>398352</v>
      </c>
      <c r="BV215" s="230">
        <v>94462</v>
      </c>
      <c r="BW215" s="229">
        <v>0.23710000000000001</v>
      </c>
      <c r="BX215" s="230">
        <v>10278900</v>
      </c>
      <c r="BY215" s="230">
        <v>10371600</v>
      </c>
      <c r="BZ215" s="230">
        <v>-92700</v>
      </c>
      <c r="CA215" s="229">
        <v>-8.8999999999999999E-3</v>
      </c>
      <c r="CB215" s="230">
        <v>10020600</v>
      </c>
      <c r="CC215" s="230">
        <v>10119600</v>
      </c>
      <c r="CD215" s="230">
        <v>-99000</v>
      </c>
      <c r="CE215" s="229">
        <v>-9.7999999999999997E-3</v>
      </c>
      <c r="CF215" s="230">
        <v>255600</v>
      </c>
      <c r="CG215" s="230">
        <v>251100</v>
      </c>
      <c r="CH215" s="230">
        <v>4500</v>
      </c>
      <c r="CI215" s="229">
        <v>1.7899999999999999E-2</v>
      </c>
      <c r="CJ215" s="230">
        <v>2700</v>
      </c>
      <c r="CK215" s="228">
        <v>900</v>
      </c>
      <c r="CL215" s="230">
        <v>1800</v>
      </c>
      <c r="CM215" s="229">
        <v>2</v>
      </c>
      <c r="CN215" s="230">
        <v>2719800</v>
      </c>
      <c r="CO215" s="230">
        <v>2431800</v>
      </c>
      <c r="CP215" s="230">
        <v>288000</v>
      </c>
      <c r="CQ215" s="229">
        <v>0.11840000000000001</v>
      </c>
      <c r="CR215" s="230">
        <v>2252700</v>
      </c>
      <c r="CS215" s="230">
        <v>1989000</v>
      </c>
      <c r="CT215" s="230">
        <v>263700</v>
      </c>
      <c r="CU215" s="229">
        <v>0.1326</v>
      </c>
      <c r="CV215" s="230">
        <v>15251400</v>
      </c>
      <c r="CW215" s="230">
        <v>14792400</v>
      </c>
      <c r="CX215" s="230">
        <v>459000</v>
      </c>
      <c r="CY215" s="229">
        <v>3.1E-2</v>
      </c>
      <c r="CZ215" s="228">
        <v>17.64</v>
      </c>
      <c r="DA215" s="228">
        <v>18.57</v>
      </c>
      <c r="DB215" s="228">
        <v>-0.93</v>
      </c>
      <c r="DC215" s="228">
        <v>-0.93</v>
      </c>
      <c r="DD215" s="228">
        <v>27.53</v>
      </c>
      <c r="DE215" s="228">
        <v>27.6</v>
      </c>
      <c r="DF215" s="228">
        <v>-9.89</v>
      </c>
      <c r="DG215" s="228">
        <v>-7.0000000000000007E-2</v>
      </c>
      <c r="DH215" s="228">
        <v>17.39</v>
      </c>
      <c r="DI215" s="228">
        <v>18.37</v>
      </c>
      <c r="DJ215" s="228">
        <v>-0.98</v>
      </c>
      <c r="DK215" s="228">
        <v>-0.98</v>
      </c>
      <c r="DL215" s="228">
        <v>18.079999999999998</v>
      </c>
      <c r="DM215" s="228">
        <v>18.91</v>
      </c>
      <c r="DN215" s="228">
        <v>-0.83</v>
      </c>
      <c r="DO215" s="228">
        <v>-0.83</v>
      </c>
      <c r="DP215" s="228">
        <v>0.83</v>
      </c>
      <c r="DQ215" s="228">
        <v>0.82</v>
      </c>
      <c r="DR215" s="228">
        <v>0.01</v>
      </c>
      <c r="DS215" s="229">
        <v>1.2200000000000001E-2</v>
      </c>
      <c r="DT215" s="231">
        <v>1000</v>
      </c>
      <c r="DU215" s="228">
        <v>900</v>
      </c>
      <c r="DV215" s="228">
        <v>0.56999999999999995</v>
      </c>
      <c r="DW215" s="228">
        <v>0.61</v>
      </c>
      <c r="DX215" s="228">
        <v>-0.04</v>
      </c>
      <c r="DY215" s="229">
        <v>-6.5600000000000006E-2</v>
      </c>
      <c r="DZ215" s="229">
        <v>2.5100000000000001E-2</v>
      </c>
      <c r="EA215" s="230">
        <v>252000</v>
      </c>
      <c r="EB215" s="229">
        <v>5.1999999999999998E-3</v>
      </c>
      <c r="EC215" s="229">
        <v>2.5100000000000001E-2</v>
      </c>
      <c r="ED215" s="228">
        <v>4.9000000000000004</v>
      </c>
      <c r="EE215" s="229">
        <v>5.3E-3</v>
      </c>
      <c r="EF215" s="230">
        <v>230221</v>
      </c>
      <c r="EG215" s="230">
        <v>195274</v>
      </c>
      <c r="EH215" s="229">
        <v>0.17899999999999999</v>
      </c>
      <c r="EI215" s="229">
        <v>0.4672</v>
      </c>
      <c r="EJ215" s="231">
        <v>13492.78</v>
      </c>
      <c r="EK215" s="231">
        <v>7176.68</v>
      </c>
      <c r="EL215" s="231">
        <v>6046.91</v>
      </c>
      <c r="EM215" s="231">
        <v>5206</v>
      </c>
      <c r="EN215" s="231">
        <v>26716.37</v>
      </c>
      <c r="EO215" s="231">
        <v>38949.339999999997</v>
      </c>
      <c r="EP215" s="231">
        <v>-12232.97</v>
      </c>
      <c r="EQ215" s="229">
        <v>-0.31409999999999999</v>
      </c>
      <c r="ER215" s="231">
        <v>25915</v>
      </c>
      <c r="ES215" s="231">
        <v>20542</v>
      </c>
      <c r="ET215" s="231">
        <v>94506</v>
      </c>
      <c r="EU215" s="231">
        <v>37741451</v>
      </c>
      <c r="EV215" s="231">
        <v>140963</v>
      </c>
      <c r="EW215" s="231">
        <v>136615</v>
      </c>
      <c r="EX215" s="231">
        <v>4348</v>
      </c>
      <c r="EY215" s="229">
        <v>3.1800000000000002E-2</v>
      </c>
      <c r="EZ215" s="229">
        <v>0.40410000000000001</v>
      </c>
      <c r="FA215" s="227" t="s">
        <v>556</v>
      </c>
      <c r="FB215" s="161">
        <f t="shared" si="5"/>
        <v>0</v>
      </c>
    </row>
    <row r="216" spans="1:158" x14ac:dyDescent="0.25">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BX325-CB325</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1"/>
  <sheetViews>
    <sheetView topLeftCell="EJ1" zoomScale="87" zoomScaleNormal="87" workbookViewId="0">
      <selection activeCell="EP10" sqref="EP10"/>
    </sheetView>
  </sheetViews>
  <sheetFormatPr defaultRowHeight="15" x14ac:dyDescent="0.25"/>
  <cols>
    <col min="1" max="1" width="6.140625" customWidth="1"/>
    <col min="2" max="2" width="7.85546875" customWidth="1"/>
    <col min="3" max="3" width="9.28515625" customWidth="1"/>
    <col min="4" max="4" width="14.140625" bestFit="1" customWidth="1"/>
    <col min="5" max="5" width="20" bestFit="1" customWidth="1"/>
    <col min="6" max="6" width="18.85546875" bestFit="1" customWidth="1"/>
    <col min="7" max="7" width="16.7109375" bestFit="1" customWidth="1"/>
    <col min="8" max="8" width="6" customWidth="1"/>
    <col min="9" max="9" width="11.5703125" bestFit="1" customWidth="1"/>
    <col min="10" max="10" width="10.5703125" bestFit="1" customWidth="1"/>
    <col min="11" max="11" width="8.5703125"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6.7109375"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7.140625"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0.7109375" customWidth="1"/>
    <col min="76" max="76" width="16.42578125" bestFit="1" customWidth="1"/>
    <col min="77" max="77" width="15.42578125" bestFit="1" customWidth="1"/>
    <col min="78" max="78" width="13.42578125" bestFit="1" customWidth="1"/>
    <col min="79" max="79" width="8.85546875" customWidth="1"/>
    <col min="80" max="80" width="14.5703125" bestFit="1" customWidth="1"/>
    <col min="81" max="81" width="13.5703125" customWidth="1"/>
    <col min="82" max="82" width="11.42578125" bestFit="1" customWidth="1"/>
    <col min="83" max="83" width="8.85546875" customWidth="1"/>
    <col min="84" max="84" width="14.42578125" bestFit="1" customWidth="1"/>
    <col min="85" max="85" width="13.5703125" bestFit="1" customWidth="1"/>
    <col min="86" max="86" width="11.42578125" bestFit="1" customWidth="1"/>
    <col min="87" max="87" width="7" customWidth="1"/>
    <col min="88" max="88" width="12.85546875" bestFit="1" customWidth="1"/>
    <col min="89" max="89" width="11.5703125" bestFit="1" customWidth="1"/>
    <col min="90" max="90" width="9.7109375" customWidth="1"/>
    <col min="91" max="91" width="7.85546875" customWidth="1"/>
    <col min="92" max="92" width="13.42578125" customWidth="1"/>
    <col min="93" max="93" width="12.42578125" customWidth="1"/>
    <col min="94" max="94" width="10.42578125" bestFit="1" customWidth="1"/>
    <col min="95" max="95" width="7.7109375" customWidth="1"/>
    <col min="96" max="96" width="13.28515625" customWidth="1"/>
    <col min="97" max="97" width="12.28515625" customWidth="1"/>
    <col min="98" max="98" width="10.28515625" bestFit="1" customWidth="1"/>
    <col min="99" max="99" width="9.140625" customWidth="1"/>
    <col min="100" max="100" width="14.7109375" bestFit="1" customWidth="1"/>
    <col min="101" max="101" width="13.85546875" customWidth="1"/>
    <col min="102" max="102" width="11.7109375" bestFit="1" customWidth="1"/>
    <col min="103" max="103" width="3.28515625" customWidth="1"/>
    <col min="104" max="104" width="8.85546875" bestFit="1" customWidth="1"/>
    <col min="105" max="105" width="7.85546875" bestFit="1" customWidth="1"/>
    <col min="106" max="106" width="5.85546875" customWidth="1"/>
    <col min="107" max="107" width="4" customWidth="1"/>
    <col min="108" max="108" width="9.5703125" bestFit="1" customWidth="1"/>
    <col min="109" max="109" width="11.85546875" bestFit="1" customWidth="1"/>
    <col min="110" max="110" width="6.5703125" customWidth="1"/>
    <col min="111" max="111" width="7.7109375" customWidth="1"/>
    <col min="112" max="112" width="13.28515625" bestFit="1" customWidth="1"/>
    <col min="113" max="113" width="12.28515625" bestFit="1" customWidth="1"/>
    <col min="114" max="114" width="10.28515625" bestFit="1" customWidth="1"/>
    <col min="115" max="115" width="7.5703125"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customWidth="1"/>
    <col min="123" max="123" width="10.28515625" customWidth="1"/>
    <col min="124" max="124" width="10.140625"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0.140625"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7.7109375"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I7" sqref="I7"/>
    </sheetView>
  </sheetViews>
  <sheetFormatPr defaultColWidth="13.7109375" defaultRowHeight="15" x14ac:dyDescent="0.25"/>
  <cols>
    <col min="1" max="1" width="23.85546875" customWidth="1"/>
    <col min="2" max="2" width="11.5703125" customWidth="1"/>
    <col min="3" max="6" width="11.140625" customWidth="1"/>
    <col min="7" max="7" width="9.28515625" customWidth="1"/>
    <col min="8" max="8" width="9.5703125" customWidth="1"/>
    <col min="9" max="9" width="12"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46023</v>
      </c>
      <c r="C2" s="230">
        <v>6781997</v>
      </c>
      <c r="D2" s="230">
        <v>1133070</v>
      </c>
      <c r="E2" s="230">
        <v>6831309</v>
      </c>
      <c r="F2" s="230">
        <v>1138782</v>
      </c>
      <c r="G2" s="230">
        <v>-49312</v>
      </c>
      <c r="H2" s="230">
        <v>-5712</v>
      </c>
      <c r="I2" s="230">
        <v>9804436</v>
      </c>
      <c r="J2" s="230">
        <v>1039707</v>
      </c>
      <c r="K2" s="230">
        <v>290417</v>
      </c>
      <c r="L2" s="230">
        <v>46112</v>
      </c>
      <c r="M2" s="230">
        <v>10094853</v>
      </c>
      <c r="N2" s="230">
        <v>1085819</v>
      </c>
      <c r="O2" s="61"/>
      <c r="P2" s="61"/>
      <c r="Q2" s="61"/>
      <c r="R2" s="61"/>
      <c r="S2" s="61"/>
      <c r="U2" t="s">
        <v>453</v>
      </c>
      <c r="V2">
        <f>SUM('Data Vlaue (Cr)'!CD:CD)</f>
        <v>548049</v>
      </c>
      <c r="W2" t="s">
        <v>454</v>
      </c>
    </row>
    <row r="3" spans="1:23" ht="17.25" thickBot="1" x14ac:dyDescent="0.3">
      <c r="A3" s="227" t="s">
        <v>617</v>
      </c>
      <c r="B3" s="226">
        <v>46023</v>
      </c>
      <c r="C3" s="230">
        <v>2086</v>
      </c>
      <c r="D3" s="228">
        <v>375</v>
      </c>
      <c r="E3" s="230">
        <v>1117</v>
      </c>
      <c r="F3" s="228">
        <v>201</v>
      </c>
      <c r="G3" s="228">
        <v>969</v>
      </c>
      <c r="H3" s="228">
        <v>174</v>
      </c>
      <c r="I3" s="230">
        <v>13966</v>
      </c>
      <c r="J3" s="230">
        <v>2509</v>
      </c>
      <c r="K3" s="230">
        <v>1033</v>
      </c>
      <c r="L3" s="228">
        <v>189</v>
      </c>
      <c r="M3" s="230">
        <v>14999</v>
      </c>
      <c r="N3" s="230">
        <v>2698</v>
      </c>
      <c r="O3" s="61"/>
      <c r="P3" s="61"/>
      <c r="Q3" s="61"/>
      <c r="R3" s="61"/>
      <c r="S3" s="61"/>
      <c r="U3" t="s">
        <v>453</v>
      </c>
      <c r="V3">
        <f>SUM('Data shares'!CC:CC)</f>
        <v>15784789028</v>
      </c>
      <c r="W3" t="s">
        <v>455</v>
      </c>
    </row>
    <row r="4" spans="1:23" ht="17.25" thickBot="1" x14ac:dyDescent="0.3">
      <c r="A4" s="227" t="s">
        <v>618</v>
      </c>
      <c r="B4" s="226">
        <v>46023</v>
      </c>
      <c r="C4" s="230">
        <v>54589</v>
      </c>
      <c r="D4" s="230">
        <v>9860</v>
      </c>
      <c r="E4" s="230">
        <v>43455</v>
      </c>
      <c r="F4" s="230">
        <v>7851</v>
      </c>
      <c r="G4" s="230">
        <v>11134</v>
      </c>
      <c r="H4" s="230">
        <v>2009</v>
      </c>
      <c r="I4" s="230">
        <v>120407</v>
      </c>
      <c r="J4" s="230">
        <v>21522</v>
      </c>
      <c r="K4" s="230">
        <v>21395</v>
      </c>
      <c r="L4" s="230">
        <v>3879</v>
      </c>
      <c r="M4" s="230">
        <v>141802</v>
      </c>
      <c r="N4" s="230">
        <v>25402</v>
      </c>
      <c r="O4" s="61"/>
      <c r="P4" s="61"/>
      <c r="Q4" s="61"/>
      <c r="R4" s="61"/>
      <c r="S4" s="61"/>
    </row>
    <row r="5" spans="1:23" ht="17.25" thickBot="1" x14ac:dyDescent="0.3">
      <c r="A5" s="227" t="s">
        <v>619</v>
      </c>
      <c r="B5" s="226">
        <v>46023</v>
      </c>
      <c r="C5" s="228">
        <v>63</v>
      </c>
      <c r="D5" s="228">
        <v>11</v>
      </c>
      <c r="E5" s="228">
        <v>23</v>
      </c>
      <c r="F5" s="228">
        <v>4</v>
      </c>
      <c r="G5" s="228">
        <v>40</v>
      </c>
      <c r="H5" s="228">
        <v>7</v>
      </c>
      <c r="I5" s="228">
        <v>512</v>
      </c>
      <c r="J5" s="228">
        <v>85</v>
      </c>
      <c r="K5" s="228">
        <v>32</v>
      </c>
      <c r="L5" s="228">
        <v>5</v>
      </c>
      <c r="M5" s="228">
        <v>544</v>
      </c>
      <c r="N5" s="228">
        <v>91</v>
      </c>
      <c r="O5" s="61"/>
      <c r="P5" s="61"/>
      <c r="Q5" s="61"/>
      <c r="R5" s="61"/>
      <c r="S5" s="61"/>
    </row>
    <row r="6" spans="1:23" ht="17.25" thickBot="1" x14ac:dyDescent="0.3">
      <c r="A6" s="227" t="s">
        <v>620</v>
      </c>
      <c r="B6" s="226">
        <v>46023</v>
      </c>
      <c r="C6" s="230">
        <v>1551</v>
      </c>
      <c r="D6" s="228">
        <v>260</v>
      </c>
      <c r="E6" s="230">
        <v>1644</v>
      </c>
      <c r="F6" s="228">
        <v>276</v>
      </c>
      <c r="G6" s="228">
        <v>-93</v>
      </c>
      <c r="H6" s="228">
        <v>-16</v>
      </c>
      <c r="I6" s="230">
        <v>1219</v>
      </c>
      <c r="J6" s="228">
        <v>202</v>
      </c>
      <c r="K6" s="228">
        <v>437</v>
      </c>
      <c r="L6" s="228">
        <v>73</v>
      </c>
      <c r="M6" s="230">
        <v>1656</v>
      </c>
      <c r="N6" s="228">
        <v>275</v>
      </c>
      <c r="O6" s="61"/>
      <c r="P6" s="61"/>
      <c r="Q6" s="61"/>
      <c r="R6" s="61"/>
      <c r="S6" s="61"/>
    </row>
    <row r="7" spans="1:23" ht="17.25" thickBot="1" x14ac:dyDescent="0.3">
      <c r="A7" s="227" t="s">
        <v>621</v>
      </c>
      <c r="B7" s="226">
        <v>46023</v>
      </c>
      <c r="C7" s="230">
        <v>6338</v>
      </c>
      <c r="D7" s="230">
        <v>1101</v>
      </c>
      <c r="E7" s="230">
        <v>4378</v>
      </c>
      <c r="F7" s="228">
        <v>757</v>
      </c>
      <c r="G7" s="230">
        <v>1960</v>
      </c>
      <c r="H7" s="228">
        <v>344</v>
      </c>
      <c r="I7" s="230">
        <v>177288</v>
      </c>
      <c r="J7" s="230">
        <v>30357</v>
      </c>
      <c r="K7" s="228">
        <v>88</v>
      </c>
      <c r="L7" s="228">
        <v>33</v>
      </c>
      <c r="M7" s="230">
        <v>177376</v>
      </c>
      <c r="N7" s="230">
        <v>30390</v>
      </c>
    </row>
    <row r="8" spans="1:23" ht="17.25" thickBot="1" x14ac:dyDescent="0.3">
      <c r="A8" s="227" t="s">
        <v>622</v>
      </c>
      <c r="B8" s="226">
        <v>46023</v>
      </c>
      <c r="C8" s="230">
        <v>3283204</v>
      </c>
      <c r="D8" s="230">
        <v>558339</v>
      </c>
      <c r="E8" s="230">
        <v>3300727</v>
      </c>
      <c r="F8" s="230">
        <v>561079</v>
      </c>
      <c r="G8" s="230">
        <v>-17523</v>
      </c>
      <c r="H8" s="230">
        <v>-2740</v>
      </c>
      <c r="I8" s="230">
        <v>1630041</v>
      </c>
      <c r="J8" s="230">
        <v>277799</v>
      </c>
      <c r="K8" s="230">
        <v>117628</v>
      </c>
      <c r="L8" s="230">
        <v>20403</v>
      </c>
      <c r="M8" s="230">
        <v>1747669</v>
      </c>
      <c r="N8" s="230">
        <v>298202</v>
      </c>
    </row>
    <row r="9" spans="1:23" ht="17.25" thickBot="1" x14ac:dyDescent="0.3">
      <c r="A9" s="227" t="s">
        <v>623</v>
      </c>
      <c r="B9" s="226">
        <v>46023</v>
      </c>
      <c r="C9" s="228">
        <v>116</v>
      </c>
      <c r="D9" s="228">
        <v>19</v>
      </c>
      <c r="E9" s="228">
        <v>270</v>
      </c>
      <c r="F9" s="228">
        <v>45</v>
      </c>
      <c r="G9" s="228">
        <v>-154</v>
      </c>
      <c r="H9" s="228">
        <v>-26</v>
      </c>
      <c r="I9" s="230">
        <v>16511</v>
      </c>
      <c r="J9" s="230">
        <v>2742</v>
      </c>
      <c r="K9" s="228">
        <v>148</v>
      </c>
      <c r="L9" s="228">
        <v>36</v>
      </c>
      <c r="M9" s="230">
        <v>16659</v>
      </c>
      <c r="N9" s="230">
        <v>2779</v>
      </c>
    </row>
    <row r="10" spans="1:23" ht="17.25" thickBot="1" x14ac:dyDescent="0.3">
      <c r="A10" s="227" t="s">
        <v>624</v>
      </c>
      <c r="B10" s="226">
        <v>46023</v>
      </c>
      <c r="C10" s="230">
        <v>21398</v>
      </c>
      <c r="D10" s="230">
        <v>3542</v>
      </c>
      <c r="E10" s="230">
        <v>20532</v>
      </c>
      <c r="F10" s="230">
        <v>3396</v>
      </c>
      <c r="G10" s="228">
        <v>866</v>
      </c>
      <c r="H10" s="228">
        <v>147</v>
      </c>
      <c r="I10" s="230">
        <v>26141</v>
      </c>
      <c r="J10" s="230">
        <v>4322</v>
      </c>
      <c r="K10" s="230">
        <v>3860</v>
      </c>
      <c r="L10" s="228">
        <v>662</v>
      </c>
      <c r="M10" s="230">
        <v>30001</v>
      </c>
      <c r="N10" s="230">
        <v>4984</v>
      </c>
    </row>
    <row r="11" spans="1:23" ht="17.25" thickBot="1" x14ac:dyDescent="0.3">
      <c r="A11" s="227" t="s">
        <v>625</v>
      </c>
      <c r="B11" s="226">
        <v>46023</v>
      </c>
      <c r="C11" s="230">
        <v>4024</v>
      </c>
      <c r="D11" s="228">
        <v>688</v>
      </c>
      <c r="E11" s="230">
        <v>2952</v>
      </c>
      <c r="F11" s="228">
        <v>505</v>
      </c>
      <c r="G11" s="230">
        <v>1072</v>
      </c>
      <c r="H11" s="228">
        <v>183</v>
      </c>
      <c r="I11" s="230">
        <v>145604</v>
      </c>
      <c r="J11" s="230">
        <v>24899</v>
      </c>
      <c r="K11" s="230">
        <v>-1084</v>
      </c>
      <c r="L11" s="228">
        <v>-190</v>
      </c>
      <c r="M11" s="230">
        <v>144520</v>
      </c>
      <c r="N11" s="230">
        <v>24708</v>
      </c>
    </row>
    <row r="12" spans="1:23" ht="17.25" thickBot="1" x14ac:dyDescent="0.3">
      <c r="A12" s="227" t="s">
        <v>626</v>
      </c>
      <c r="B12" s="226">
        <v>46023</v>
      </c>
      <c r="C12" s="230">
        <v>3205547</v>
      </c>
      <c r="D12" s="230">
        <v>544656</v>
      </c>
      <c r="E12" s="230">
        <v>3235003</v>
      </c>
      <c r="F12" s="230">
        <v>549539</v>
      </c>
      <c r="G12" s="230">
        <v>-29456</v>
      </c>
      <c r="H12" s="230">
        <v>-4884</v>
      </c>
      <c r="I12" s="230">
        <v>1482194</v>
      </c>
      <c r="J12" s="230">
        <v>251739</v>
      </c>
      <c r="K12" s="230">
        <v>91899</v>
      </c>
      <c r="L12" s="230">
        <v>15782</v>
      </c>
      <c r="M12" s="230">
        <v>1574093</v>
      </c>
      <c r="N12" s="230">
        <v>267521</v>
      </c>
    </row>
    <row r="13" spans="1:23" ht="17.25" thickBot="1" x14ac:dyDescent="0.3">
      <c r="A13" s="227" t="s">
        <v>627</v>
      </c>
      <c r="B13" s="226">
        <v>46023</v>
      </c>
      <c r="C13" s="228">
        <v>49</v>
      </c>
      <c r="D13" s="228">
        <v>9</v>
      </c>
      <c r="E13" s="228">
        <v>16</v>
      </c>
      <c r="F13" s="228">
        <v>3</v>
      </c>
      <c r="G13" s="228">
        <v>33</v>
      </c>
      <c r="H13" s="228">
        <v>6</v>
      </c>
      <c r="I13" s="228">
        <v>695</v>
      </c>
      <c r="J13" s="228">
        <v>121</v>
      </c>
      <c r="K13" s="228">
        <v>-41</v>
      </c>
      <c r="L13" s="228">
        <v>-7</v>
      </c>
      <c r="M13" s="228">
        <v>654</v>
      </c>
      <c r="N13" s="228">
        <v>114</v>
      </c>
    </row>
    <row r="14" spans="1:23" ht="17.25" thickBot="1" x14ac:dyDescent="0.3">
      <c r="A14" s="227" t="s">
        <v>628</v>
      </c>
      <c r="B14" s="226">
        <v>46023</v>
      </c>
      <c r="C14" s="228">
        <v>119</v>
      </c>
      <c r="D14" s="228">
        <v>21</v>
      </c>
      <c r="E14" s="228">
        <v>93</v>
      </c>
      <c r="F14" s="228">
        <v>16</v>
      </c>
      <c r="G14" s="228">
        <v>26</v>
      </c>
      <c r="H14" s="228">
        <v>5</v>
      </c>
      <c r="I14" s="228">
        <v>80</v>
      </c>
      <c r="J14" s="228">
        <v>14</v>
      </c>
      <c r="K14" s="228">
        <v>36</v>
      </c>
      <c r="L14" s="228">
        <v>6</v>
      </c>
      <c r="M14" s="228">
        <v>116</v>
      </c>
      <c r="N14" s="228">
        <v>20</v>
      </c>
    </row>
    <row r="15" spans="1:23" ht="17.25" thickBot="1" x14ac:dyDescent="0.3">
      <c r="A15" s="227" t="s">
        <v>629</v>
      </c>
      <c r="B15" s="226">
        <v>46023</v>
      </c>
      <c r="C15" s="230">
        <v>136150</v>
      </c>
      <c r="D15" s="230">
        <v>9393</v>
      </c>
      <c r="E15" s="230">
        <v>148458</v>
      </c>
      <c r="F15" s="230">
        <v>9959</v>
      </c>
      <c r="G15" s="230">
        <v>-12308</v>
      </c>
      <c r="H15" s="228">
        <v>-566</v>
      </c>
      <c r="I15" s="230">
        <v>5976172</v>
      </c>
      <c r="J15" s="230">
        <v>408828</v>
      </c>
      <c r="K15" s="230">
        <v>14972</v>
      </c>
      <c r="L15" s="230">
        <v>2350</v>
      </c>
      <c r="M15" s="230">
        <v>5991144</v>
      </c>
      <c r="N15" s="230">
        <v>411177</v>
      </c>
    </row>
    <row r="16" spans="1:23" ht="17.25" thickBot="1" x14ac:dyDescent="0.3">
      <c r="A16" s="227" t="s">
        <v>630</v>
      </c>
      <c r="B16" s="226">
        <v>46023</v>
      </c>
      <c r="C16" s="230">
        <v>66763</v>
      </c>
      <c r="D16" s="230">
        <v>4797</v>
      </c>
      <c r="E16" s="230">
        <v>72641</v>
      </c>
      <c r="F16" s="230">
        <v>5152</v>
      </c>
      <c r="G16" s="230">
        <v>-5878</v>
      </c>
      <c r="H16" s="228">
        <v>-355</v>
      </c>
      <c r="I16" s="230">
        <v>213606</v>
      </c>
      <c r="J16" s="230">
        <v>14568</v>
      </c>
      <c r="K16" s="230">
        <v>40014</v>
      </c>
      <c r="L16" s="230">
        <v>2890</v>
      </c>
      <c r="M16" s="230">
        <v>253620</v>
      </c>
      <c r="N16" s="230">
        <v>17458</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61" activePane="bottomLeft" state="frozen"/>
      <selection activeCell="A6" sqref="A6:S6"/>
      <selection pane="bottomLeft" activeCell="W98" sqref="W98"/>
    </sheetView>
  </sheetViews>
  <sheetFormatPr defaultRowHeight="15" x14ac:dyDescent="0.25"/>
  <cols>
    <col min="1" max="1" width="14.5703125" style="74" bestFit="1" customWidth="1"/>
    <col min="6" max="6" width="12.28515625" bestFit="1" customWidth="1"/>
    <col min="7" max="7" width="12.7109375" customWidth="1"/>
    <col min="9" max="10" width="12.140625" customWidth="1"/>
  </cols>
  <sheetData>
    <row r="1" spans="1:17" hidden="1" x14ac:dyDescent="0.25"/>
    <row r="2" spans="1:17" ht="15.75" thickBot="1" x14ac:dyDescent="0.3"/>
    <row r="3" spans="1:17" s="70" customFormat="1" ht="21" customHeight="1" thickBot="1" x14ac:dyDescent="0.3">
      <c r="A3" s="257" t="s">
        <v>325</v>
      </c>
      <c r="B3" s="258"/>
      <c r="C3" s="258"/>
      <c r="D3" s="258"/>
      <c r="E3" s="258"/>
      <c r="F3" s="258"/>
      <c r="G3" s="258"/>
      <c r="H3" s="258"/>
      <c r="I3" s="258"/>
      <c r="J3" s="258"/>
      <c r="K3" s="258"/>
      <c r="L3" s="258"/>
      <c r="M3" s="258"/>
      <c r="N3" s="258"/>
      <c r="O3" s="258"/>
      <c r="P3" s="258"/>
      <c r="Q3" s="259"/>
    </row>
    <row r="4" spans="1:17" s="64" customFormat="1" x14ac:dyDescent="0.25">
      <c r="A4" s="260"/>
      <c r="B4" s="260" t="s">
        <v>308</v>
      </c>
      <c r="C4" s="260"/>
      <c r="D4" s="262"/>
      <c r="E4" s="262"/>
      <c r="F4" s="260" t="s">
        <v>326</v>
      </c>
      <c r="G4" s="260"/>
      <c r="H4" s="260"/>
      <c r="I4" s="260" t="s">
        <v>327</v>
      </c>
      <c r="J4" s="260"/>
      <c r="K4" s="260"/>
      <c r="L4" s="260" t="s">
        <v>311</v>
      </c>
      <c r="M4" s="260"/>
      <c r="N4" s="260"/>
      <c r="O4" s="260"/>
      <c r="P4" s="260"/>
      <c r="Q4" s="260"/>
    </row>
    <row r="5" spans="1:17" s="64" customFormat="1" x14ac:dyDescent="0.25">
      <c r="A5" s="261"/>
      <c r="B5" s="73" t="s">
        <v>312</v>
      </c>
      <c r="C5" s="261" t="s">
        <v>313</v>
      </c>
      <c r="D5" s="264"/>
      <c r="E5" s="264"/>
      <c r="F5" s="261" t="s">
        <v>314</v>
      </c>
      <c r="G5" s="261"/>
      <c r="H5" s="261"/>
      <c r="I5" s="261" t="s">
        <v>315</v>
      </c>
      <c r="J5" s="261"/>
      <c r="K5" s="261"/>
      <c r="L5" s="261" t="s">
        <v>316</v>
      </c>
      <c r="M5" s="261"/>
      <c r="N5" s="261"/>
      <c r="O5" s="261" t="s">
        <v>317</v>
      </c>
      <c r="P5" s="261"/>
      <c r="Q5" s="261"/>
    </row>
    <row r="6" spans="1:17" s="72" customFormat="1" ht="33.75" x14ac:dyDescent="0.25">
      <c r="A6" s="71" t="s">
        <v>558</v>
      </c>
      <c r="B6" s="66">
        <f>'Snapshot (Value)'!C10</f>
        <v>46023</v>
      </c>
      <c r="C6" s="66">
        <f>'Snapshot (Value)'!D10</f>
        <v>46023</v>
      </c>
      <c r="D6" s="71" t="s">
        <v>322</v>
      </c>
      <c r="E6" s="71" t="s">
        <v>328</v>
      </c>
      <c r="F6" s="66">
        <f>C6</f>
        <v>46023</v>
      </c>
      <c r="G6" s="71" t="s">
        <v>322</v>
      </c>
      <c r="H6" s="71" t="s">
        <v>328</v>
      </c>
      <c r="I6" s="66">
        <f>C6</f>
        <v>46023</v>
      </c>
      <c r="J6" s="71" t="s">
        <v>322</v>
      </c>
      <c r="K6" s="71" t="s">
        <v>328</v>
      </c>
      <c r="L6" s="66">
        <f>C6</f>
        <v>46023</v>
      </c>
      <c r="M6" s="71" t="s">
        <v>322</v>
      </c>
      <c r="N6" s="71" t="s">
        <v>328</v>
      </c>
      <c r="O6" s="66">
        <f>C6</f>
        <v>46023</v>
      </c>
      <c r="P6" s="71" t="s">
        <v>322</v>
      </c>
      <c r="Q6" s="71" t="s">
        <v>328</v>
      </c>
    </row>
    <row r="7" spans="1:17" x14ac:dyDescent="0.25">
      <c r="A7" s="97" t="str">
        <f>'Data Vlaue (Cr)'!C2</f>
        <v>360ONE</v>
      </c>
      <c r="B7" s="140">
        <f>VLOOKUP($A7,'Data shares'!$C:$FB,7)</f>
        <v>1179.7</v>
      </c>
      <c r="C7" s="140">
        <f>VLOOKUP($A7,'Data shares'!$C:$FB,3)</f>
        <v>1182.5</v>
      </c>
      <c r="D7" s="140">
        <f>VLOOKUP($A7,'Data shares'!$C:$FB,4)</f>
        <v>1186.9000000000001</v>
      </c>
      <c r="E7" s="50">
        <f>(C7-D7)/D7*100</f>
        <v>-0.37071362372567956</v>
      </c>
      <c r="F7" s="49">
        <f>VLOOKUP($A7,'Data shares'!$C:$FB,98)</f>
        <v>2926000</v>
      </c>
      <c r="G7" s="49">
        <f>VLOOKUP($A7,'Data shares'!$C:$FB,99)</f>
        <v>2867500</v>
      </c>
      <c r="H7" s="50">
        <f>(F7-G7)/G7*100</f>
        <v>2.0401046207497822</v>
      </c>
      <c r="I7" s="49">
        <f>VLOOKUP($A7,'Data shares'!$C:$FB,66)</f>
        <v>446000</v>
      </c>
      <c r="J7" s="49">
        <f>VLOOKUP($A7,'Data shares'!$C:$FB,67)</f>
        <v>1256500</v>
      </c>
      <c r="K7" s="50">
        <f>(I7-J7)/I7*100</f>
        <v>-181.72645739910314</v>
      </c>
      <c r="L7" s="50">
        <f>VLOOKUP($A7,'Data shares'!$C:$FB,118)</f>
        <v>0.41</v>
      </c>
      <c r="M7" s="50">
        <f>VLOOKUP($A7,'Data shares'!$C:$FB,119)</f>
        <v>0.42</v>
      </c>
      <c r="N7" s="50">
        <f>VLOOKUP($A7,'Data shares'!$C:$FB,121)*100</f>
        <v>-2.3800000000000003</v>
      </c>
      <c r="O7" s="50">
        <f>VLOOKUP($A7,'Data shares'!$C:$FB,124)</f>
        <v>0.17</v>
      </c>
      <c r="P7" s="50">
        <f>VLOOKUP($A7,'Data shares'!$C:$FB,125)</f>
        <v>0.15</v>
      </c>
      <c r="Q7" s="50">
        <f>VLOOKUP($A7,'Data shares'!$C:$FB,127)*100</f>
        <v>13.33</v>
      </c>
    </row>
    <row r="8" spans="1:17" x14ac:dyDescent="0.25">
      <c r="A8" s="97" t="str">
        <f>'Data Vlaue (Cr)'!C3</f>
        <v>ABB</v>
      </c>
      <c r="B8" s="140">
        <f>VLOOKUP($A8,'Data shares'!$C:$FB,7)</f>
        <v>5176.5</v>
      </c>
      <c r="C8" s="140">
        <f>VLOOKUP($A8,'Data shares'!$C:$FB,3)</f>
        <v>5209</v>
      </c>
      <c r="D8" s="140">
        <f>VLOOKUP($A8,'Data shares'!$C:$FB,4)</f>
        <v>5204</v>
      </c>
      <c r="E8" s="50">
        <f t="shared" ref="E8:E71" si="0">(C8-D8)/D8*100</f>
        <v>9.6079938508839349E-2</v>
      </c>
      <c r="F8" s="49">
        <f>VLOOKUP($A8,'Data shares'!$C:$FB,98)</f>
        <v>3058625</v>
      </c>
      <c r="G8" s="49">
        <f>VLOOKUP($A8,'Data shares'!$C:$FB,99)</f>
        <v>3020375</v>
      </c>
      <c r="H8" s="50">
        <f t="shared" ref="H8:H71" si="1">(F8-G8)/G8*100</f>
        <v>1.2663990398543228</v>
      </c>
      <c r="I8" s="49">
        <f>VLOOKUP($A8,'Data shares'!$C:$FB,66)</f>
        <v>460875</v>
      </c>
      <c r="J8" s="49">
        <f>VLOOKUP($A8,'Data shares'!$C:$FB,67)</f>
        <v>714000</v>
      </c>
      <c r="K8" s="50">
        <f t="shared" ref="K8:K71" si="2">(I8-J8)/I8*100</f>
        <v>-54.922701383238405</v>
      </c>
      <c r="L8" s="50">
        <f>VLOOKUP($A8,'Data shares'!$C:$FB,118)</f>
        <v>1.06</v>
      </c>
      <c r="M8" s="50">
        <f>VLOOKUP($A8,'Data shares'!$C:$FB,119)</f>
        <v>1.0900000000000001</v>
      </c>
      <c r="N8" s="50">
        <f>VLOOKUP($A8,'Data shares'!$C:$FB,121)*100</f>
        <v>-2.75</v>
      </c>
      <c r="O8" s="50">
        <f>VLOOKUP($A8,'Data shares'!$C:$FB,124)</f>
        <v>0.35</v>
      </c>
      <c r="P8" s="50">
        <f>VLOOKUP($A8,'Data shares'!$C:$FB,125)</f>
        <v>0.54</v>
      </c>
      <c r="Q8" s="50">
        <f>VLOOKUP($A8,'Data shares'!$C:$FB,127)*100</f>
        <v>-35.19</v>
      </c>
    </row>
    <row r="9" spans="1:17" x14ac:dyDescent="0.25">
      <c r="A9" s="97" t="str">
        <f>'Data Vlaue (Cr)'!C4</f>
        <v>ABCAPITAL</v>
      </c>
      <c r="B9" s="140">
        <f>VLOOKUP($A9,'Data shares'!$C:$FB,7)</f>
        <v>361.95</v>
      </c>
      <c r="C9" s="140">
        <f>VLOOKUP($A9,'Data shares'!$C:$FB,3)</f>
        <v>364.4</v>
      </c>
      <c r="D9" s="140">
        <f>VLOOKUP($A9,'Data shares'!$C:$FB,4)</f>
        <v>360</v>
      </c>
      <c r="E9" s="50">
        <f t="shared" si="0"/>
        <v>1.2222222222222159</v>
      </c>
      <c r="F9" s="49">
        <f>VLOOKUP($A9,'Data shares'!$C:$FB,98)</f>
        <v>106723700</v>
      </c>
      <c r="G9" s="49">
        <f>VLOOKUP($A9,'Data shares'!$C:$FB,99)</f>
        <v>99751800</v>
      </c>
      <c r="H9" s="50">
        <f t="shared" si="1"/>
        <v>6.9892473118279561</v>
      </c>
      <c r="I9" s="49">
        <f>VLOOKUP($A9,'Data shares'!$C:$FB,66)</f>
        <v>65248800</v>
      </c>
      <c r="J9" s="49">
        <f>VLOOKUP($A9,'Data shares'!$C:$FB,67)</f>
        <v>69455500</v>
      </c>
      <c r="K9" s="50">
        <f t="shared" si="2"/>
        <v>-6.4471683770429502</v>
      </c>
      <c r="L9" s="50">
        <f>VLOOKUP($A9,'Data shares'!$C:$FB,118)</f>
        <v>0.55000000000000004</v>
      </c>
      <c r="M9" s="50">
        <f>VLOOKUP($A9,'Data shares'!$C:$FB,119)</f>
        <v>0.61</v>
      </c>
      <c r="N9" s="50">
        <f>VLOOKUP($A9,'Data shares'!$C:$FB,121)*100</f>
        <v>-9.84</v>
      </c>
      <c r="O9" s="50">
        <f>VLOOKUP($A9,'Data shares'!$C:$FB,124)</f>
        <v>0.3</v>
      </c>
      <c r="P9" s="50">
        <f>VLOOKUP($A9,'Data shares'!$C:$FB,125)</f>
        <v>0.44</v>
      </c>
      <c r="Q9" s="50">
        <f>VLOOKUP($A9,'Data shares'!$C:$FB,127)*100</f>
        <v>-31.819999999999997</v>
      </c>
    </row>
    <row r="10" spans="1:17" x14ac:dyDescent="0.25">
      <c r="A10" s="97" t="str">
        <f>'Data Vlaue (Cr)'!C5</f>
        <v>ADANIENSOL</v>
      </c>
      <c r="B10" s="140">
        <f>VLOOKUP($A10,'Data shares'!$C:$FB,7)</f>
        <v>1046.4000000000001</v>
      </c>
      <c r="C10" s="140">
        <f>VLOOKUP($A10,'Data shares'!$C:$FB,3)</f>
        <v>1053.5</v>
      </c>
      <c r="D10" s="140">
        <f>VLOOKUP($A10,'Data shares'!$C:$FB,4)</f>
        <v>1030.95</v>
      </c>
      <c r="E10" s="50">
        <f t="shared" si="0"/>
        <v>2.1873029729860765</v>
      </c>
      <c r="F10" s="49">
        <f>VLOOKUP($A10,'Data shares'!$C:$FB,98)</f>
        <v>22275675</v>
      </c>
      <c r="G10" s="49">
        <f>VLOOKUP($A10,'Data shares'!$C:$FB,99)</f>
        <v>20361375</v>
      </c>
      <c r="H10" s="50">
        <f t="shared" si="1"/>
        <v>9.4016243991380737</v>
      </c>
      <c r="I10" s="49">
        <f>VLOOKUP($A10,'Data shares'!$C:$FB,66)</f>
        <v>24291225</v>
      </c>
      <c r="J10" s="49">
        <f>VLOOKUP($A10,'Data shares'!$C:$FB,67)</f>
        <v>4690575</v>
      </c>
      <c r="K10" s="50">
        <f t="shared" si="2"/>
        <v>80.690249256676012</v>
      </c>
      <c r="L10" s="50">
        <f>VLOOKUP($A10,'Data shares'!$C:$FB,118)</f>
        <v>0.54</v>
      </c>
      <c r="M10" s="50">
        <f>VLOOKUP($A10,'Data shares'!$C:$FB,119)</f>
        <v>0.6</v>
      </c>
      <c r="N10" s="50">
        <f>VLOOKUP($A10,'Data shares'!$C:$FB,121)*100</f>
        <v>-10</v>
      </c>
      <c r="O10" s="50">
        <f>VLOOKUP($A10,'Data shares'!$C:$FB,124)</f>
        <v>0.23</v>
      </c>
      <c r="P10" s="50">
        <f>VLOOKUP($A10,'Data shares'!$C:$FB,125)</f>
        <v>0.4</v>
      </c>
      <c r="Q10" s="50">
        <f>VLOOKUP($A10,'Data shares'!$C:$FB,127)*100</f>
        <v>-42.5</v>
      </c>
    </row>
    <row r="11" spans="1:17" x14ac:dyDescent="0.25">
      <c r="A11" s="97" t="str">
        <f>'Data Vlaue (Cr)'!C6</f>
        <v>ADANIENT</v>
      </c>
      <c r="B11" s="140">
        <f>VLOOKUP($A11,'Data shares'!$C:$FB,7)</f>
        <v>2260</v>
      </c>
      <c r="C11" s="140">
        <f>VLOOKUP($A11,'Data shares'!$C:$FB,3)</f>
        <v>2271.9</v>
      </c>
      <c r="D11" s="140">
        <f>VLOOKUP($A11,'Data shares'!$C:$FB,4)</f>
        <v>2249.3000000000002</v>
      </c>
      <c r="E11" s="50">
        <f t="shared" si="0"/>
        <v>1.0047570355221584</v>
      </c>
      <c r="F11" s="49">
        <f>VLOOKUP($A11,'Data shares'!$C:$FB,98)</f>
        <v>33055275</v>
      </c>
      <c r="G11" s="49">
        <f>VLOOKUP($A11,'Data shares'!$C:$FB,99)</f>
        <v>32231172</v>
      </c>
      <c r="H11" s="50">
        <f t="shared" si="1"/>
        <v>2.5568508647467119</v>
      </c>
      <c r="I11" s="49">
        <f>VLOOKUP($A11,'Data shares'!$C:$FB,66)</f>
        <v>17289477</v>
      </c>
      <c r="J11" s="49">
        <f>VLOOKUP($A11,'Data shares'!$C:$FB,67)</f>
        <v>10013145</v>
      </c>
      <c r="K11" s="50">
        <f t="shared" si="2"/>
        <v>42.085321609207725</v>
      </c>
      <c r="L11" s="50">
        <f>VLOOKUP($A11,'Data shares'!$C:$FB,118)</f>
        <v>0.88</v>
      </c>
      <c r="M11" s="50">
        <f>VLOOKUP($A11,'Data shares'!$C:$FB,119)</f>
        <v>0.95</v>
      </c>
      <c r="N11" s="50">
        <f>VLOOKUP($A11,'Data shares'!$C:$FB,121)*100</f>
        <v>-7.37</v>
      </c>
      <c r="O11" s="50">
        <f>VLOOKUP($A11,'Data shares'!$C:$FB,124)</f>
        <v>0.3</v>
      </c>
      <c r="P11" s="50">
        <f>VLOOKUP($A11,'Data shares'!$C:$FB,125)</f>
        <v>0.52</v>
      </c>
      <c r="Q11" s="50">
        <f>VLOOKUP($A11,'Data shares'!$C:$FB,127)*100</f>
        <v>-42.309999999999995</v>
      </c>
    </row>
    <row r="12" spans="1:17" x14ac:dyDescent="0.25">
      <c r="A12" s="97" t="str">
        <f>'Data Vlaue (Cr)'!C7</f>
        <v>ADANIGREEN</v>
      </c>
      <c r="B12" s="140">
        <f>VLOOKUP($A12,'Data shares'!$C:$FB,7)</f>
        <v>1025.9000000000001</v>
      </c>
      <c r="C12" s="140">
        <f>VLOOKUP($A12,'Data shares'!$C:$FB,3)</f>
        <v>1032.8</v>
      </c>
      <c r="D12" s="140">
        <f>VLOOKUP($A12,'Data shares'!$C:$FB,4)</f>
        <v>1021.6</v>
      </c>
      <c r="E12" s="50">
        <f t="shared" si="0"/>
        <v>1.0963194988253653</v>
      </c>
      <c r="F12" s="49">
        <f>VLOOKUP($A12,'Data shares'!$C:$FB,98)</f>
        <v>34424400</v>
      </c>
      <c r="G12" s="49">
        <f>VLOOKUP($A12,'Data shares'!$C:$FB,99)</f>
        <v>32063400</v>
      </c>
      <c r="H12" s="50">
        <f t="shared" si="1"/>
        <v>7.3635359943112713</v>
      </c>
      <c r="I12" s="49">
        <f>VLOOKUP($A12,'Data shares'!$C:$FB,66)</f>
        <v>22438200</v>
      </c>
      <c r="J12" s="49">
        <f>VLOOKUP($A12,'Data shares'!$C:$FB,67)</f>
        <v>5914200</v>
      </c>
      <c r="K12" s="50">
        <f t="shared" si="2"/>
        <v>73.642270770382652</v>
      </c>
      <c r="L12" s="50">
        <f>VLOOKUP($A12,'Data shares'!$C:$FB,118)</f>
        <v>0.59</v>
      </c>
      <c r="M12" s="50">
        <f>VLOOKUP($A12,'Data shares'!$C:$FB,119)</f>
        <v>0.68</v>
      </c>
      <c r="N12" s="50">
        <f>VLOOKUP($A12,'Data shares'!$C:$FB,121)*100</f>
        <v>-13.239999999999998</v>
      </c>
      <c r="O12" s="50">
        <f>VLOOKUP($A12,'Data shares'!$C:$FB,124)</f>
        <v>0.18</v>
      </c>
      <c r="P12" s="50">
        <f>VLOOKUP($A12,'Data shares'!$C:$FB,125)</f>
        <v>0.43</v>
      </c>
      <c r="Q12" s="50">
        <f>VLOOKUP($A12,'Data shares'!$C:$FB,127)*100</f>
        <v>-58.14</v>
      </c>
    </row>
    <row r="13" spans="1:17" x14ac:dyDescent="0.25">
      <c r="A13" s="97" t="str">
        <f>'Data Vlaue (Cr)'!C8</f>
        <v>ADANIPORTS</v>
      </c>
      <c r="B13" s="140">
        <f>VLOOKUP($A13,'Data shares'!$C:$FB,7)</f>
        <v>1481.1</v>
      </c>
      <c r="C13" s="140">
        <f>VLOOKUP($A13,'Data shares'!$C:$FB,3)</f>
        <v>1488.5</v>
      </c>
      <c r="D13" s="140">
        <f>VLOOKUP($A13,'Data shares'!$C:$FB,4)</f>
        <v>1478.6</v>
      </c>
      <c r="E13" s="50">
        <f t="shared" si="0"/>
        <v>0.66955227918301718</v>
      </c>
      <c r="F13" s="49">
        <f>VLOOKUP($A13,'Data shares'!$C:$FB,98)</f>
        <v>34128275</v>
      </c>
      <c r="G13" s="49">
        <f>VLOOKUP($A13,'Data shares'!$C:$FB,99)</f>
        <v>33376350</v>
      </c>
      <c r="H13" s="50">
        <f t="shared" si="1"/>
        <v>2.2528676742663589</v>
      </c>
      <c r="I13" s="49">
        <f>VLOOKUP($A13,'Data shares'!$C:$FB,66)</f>
        <v>11915375</v>
      </c>
      <c r="J13" s="49">
        <f>VLOOKUP($A13,'Data shares'!$C:$FB,67)</f>
        <v>10770625</v>
      </c>
      <c r="K13" s="50">
        <f t="shared" si="2"/>
        <v>9.6073350607933019</v>
      </c>
      <c r="L13" s="50">
        <f>VLOOKUP($A13,'Data shares'!$C:$FB,118)</f>
        <v>0.72</v>
      </c>
      <c r="M13" s="50">
        <f>VLOOKUP($A13,'Data shares'!$C:$FB,119)</f>
        <v>0.73</v>
      </c>
      <c r="N13" s="50">
        <f>VLOOKUP($A13,'Data shares'!$C:$FB,121)*100</f>
        <v>-1.37</v>
      </c>
      <c r="O13" s="50">
        <f>VLOOKUP($A13,'Data shares'!$C:$FB,124)</f>
        <v>0.37</v>
      </c>
      <c r="P13" s="50">
        <f>VLOOKUP($A13,'Data shares'!$C:$FB,125)</f>
        <v>0.52</v>
      </c>
      <c r="Q13" s="50">
        <f>VLOOKUP($A13,'Data shares'!$C:$FB,127)*100</f>
        <v>-28.849999999999998</v>
      </c>
    </row>
    <row r="14" spans="1:17" x14ac:dyDescent="0.25">
      <c r="A14" s="97" t="str">
        <f>'Data Vlaue (Cr)'!C9</f>
        <v>ALKEM</v>
      </c>
      <c r="B14" s="140">
        <f>VLOOKUP($A14,'Data shares'!$C:$FB,7)</f>
        <v>5463.5</v>
      </c>
      <c r="C14" s="140">
        <f>VLOOKUP($A14,'Data shares'!$C:$FB,3)</f>
        <v>5487</v>
      </c>
      <c r="D14" s="140">
        <f>VLOOKUP($A14,'Data shares'!$C:$FB,4)</f>
        <v>5527</v>
      </c>
      <c r="E14" s="50">
        <f>(C14-D14)/D14*100</f>
        <v>-0.72371992039080868</v>
      </c>
      <c r="F14" s="49">
        <f>VLOOKUP($A14,'Data shares'!$C:$FB,98)</f>
        <v>1703000</v>
      </c>
      <c r="G14" s="49">
        <f>VLOOKUP($A14,'Data shares'!$C:$FB,99)</f>
        <v>1636375</v>
      </c>
      <c r="H14" s="50">
        <f t="shared" si="1"/>
        <v>4.0714995034756702</v>
      </c>
      <c r="I14" s="49">
        <f>VLOOKUP($A14,'Data shares'!$C:$FB,66)</f>
        <v>621125</v>
      </c>
      <c r="J14" s="49">
        <f>VLOOKUP($A14,'Data shares'!$C:$FB,67)</f>
        <v>243500</v>
      </c>
      <c r="K14" s="50">
        <f t="shared" si="2"/>
        <v>60.796941034413365</v>
      </c>
      <c r="L14" s="50">
        <f>VLOOKUP($A14,'Data shares'!$C:$FB,118)</f>
        <v>1.22</v>
      </c>
      <c r="M14" s="50">
        <f>VLOOKUP($A14,'Data shares'!$C:$FB,119)</f>
        <v>0.84</v>
      </c>
      <c r="N14" s="50">
        <f>VLOOKUP($A14,'Data shares'!$C:$FB,121)*100</f>
        <v>45.24</v>
      </c>
      <c r="O14" s="50">
        <f>VLOOKUP($A14,'Data shares'!$C:$FB,124)</f>
        <v>2.06</v>
      </c>
      <c r="P14" s="50">
        <f>VLOOKUP($A14,'Data shares'!$C:$FB,125)</f>
        <v>0.74</v>
      </c>
      <c r="Q14" s="50">
        <f>VLOOKUP($A14,'Data shares'!$C:$FB,127)*100</f>
        <v>178.38</v>
      </c>
    </row>
    <row r="15" spans="1:17" x14ac:dyDescent="0.25">
      <c r="A15" s="97" t="str">
        <f>'Data Vlaue (Cr)'!C10</f>
        <v>AMBER</v>
      </c>
      <c r="B15" s="140">
        <f>VLOOKUP($A15,'Data shares'!$C:$FB,7)</f>
        <v>6447.5</v>
      </c>
      <c r="C15" s="140">
        <f>VLOOKUP($A15,'Data shares'!$C:$FB,3)</f>
        <v>6443</v>
      </c>
      <c r="D15" s="140">
        <f>VLOOKUP($A15,'Data shares'!$C:$FB,4)</f>
        <v>6366</v>
      </c>
      <c r="E15" s="50">
        <f t="shared" si="0"/>
        <v>1.2095507382972039</v>
      </c>
      <c r="F15" s="49">
        <f>VLOOKUP($A15,'Data shares'!$C:$FB,98)</f>
        <v>1510400</v>
      </c>
      <c r="G15" s="49">
        <f>VLOOKUP($A15,'Data shares'!$C:$FB,99)</f>
        <v>1471500</v>
      </c>
      <c r="H15" s="50">
        <f t="shared" si="1"/>
        <v>2.6435609921848453</v>
      </c>
      <c r="I15" s="49">
        <f>VLOOKUP($A15,'Data shares'!$C:$FB,66)</f>
        <v>494100</v>
      </c>
      <c r="J15" s="49">
        <f>VLOOKUP($A15,'Data shares'!$C:$FB,67)</f>
        <v>1196000</v>
      </c>
      <c r="K15" s="50">
        <f t="shared" si="2"/>
        <v>-142.05626391418741</v>
      </c>
      <c r="L15" s="50">
        <f>VLOOKUP($A15,'Data shares'!$C:$FB,118)</f>
        <v>0.74</v>
      </c>
      <c r="M15" s="50">
        <f>VLOOKUP($A15,'Data shares'!$C:$FB,119)</f>
        <v>0.72</v>
      </c>
      <c r="N15" s="50">
        <f>VLOOKUP($A15,'Data shares'!$C:$FB,121)*100</f>
        <v>2.78</v>
      </c>
      <c r="O15" s="50">
        <f>VLOOKUP($A15,'Data shares'!$C:$FB,124)</f>
        <v>0.48</v>
      </c>
      <c r="P15" s="50">
        <f>VLOOKUP($A15,'Data shares'!$C:$FB,125)</f>
        <v>0.64</v>
      </c>
      <c r="Q15" s="50">
        <f>VLOOKUP($A15,'Data shares'!$C:$FB,127)*100</f>
        <v>-25</v>
      </c>
    </row>
    <row r="16" spans="1:17" x14ac:dyDescent="0.25">
      <c r="A16" s="97" t="str">
        <f>'Data Vlaue (Cr)'!C11</f>
        <v>AMBUJACEM</v>
      </c>
      <c r="B16" s="140">
        <f>VLOOKUP($A16,'Data shares'!$C:$FB,7)</f>
        <v>559.65</v>
      </c>
      <c r="C16" s="140">
        <f>VLOOKUP($A16,'Data shares'!$C:$FB,3)</f>
        <v>563.25</v>
      </c>
      <c r="D16" s="140">
        <f>VLOOKUP($A16,'Data shares'!$C:$FB,4)</f>
        <v>559</v>
      </c>
      <c r="E16" s="50">
        <f t="shared" si="0"/>
        <v>0.76028622540250446</v>
      </c>
      <c r="F16" s="49">
        <f>VLOOKUP($A16,'Data shares'!$C:$FB,98)</f>
        <v>71451450</v>
      </c>
      <c r="G16" s="49">
        <f>VLOOKUP($A16,'Data shares'!$C:$FB,99)</f>
        <v>70132650</v>
      </c>
      <c r="H16" s="50">
        <f t="shared" si="1"/>
        <v>1.8804365726947436</v>
      </c>
      <c r="I16" s="49">
        <f>VLOOKUP($A16,'Data shares'!$C:$FB,66)</f>
        <v>15740550</v>
      </c>
      <c r="J16" s="49">
        <f>VLOOKUP($A16,'Data shares'!$C:$FB,67)</f>
        <v>12795300</v>
      </c>
      <c r="K16" s="50">
        <f t="shared" si="2"/>
        <v>18.711226736041624</v>
      </c>
      <c r="L16" s="50">
        <f>VLOOKUP($A16,'Data shares'!$C:$FB,118)</f>
        <v>0.97</v>
      </c>
      <c r="M16" s="50">
        <f>VLOOKUP($A16,'Data shares'!$C:$FB,119)</f>
        <v>0.97</v>
      </c>
      <c r="N16" s="50">
        <f>VLOOKUP($A16,'Data shares'!$C:$FB,121)*100</f>
        <v>0</v>
      </c>
      <c r="O16" s="50">
        <f>VLOOKUP($A16,'Data shares'!$C:$FB,124)</f>
        <v>0.32</v>
      </c>
      <c r="P16" s="50">
        <f>VLOOKUP($A16,'Data shares'!$C:$FB,125)</f>
        <v>0.6</v>
      </c>
      <c r="Q16" s="50">
        <f>VLOOKUP($A16,'Data shares'!$C:$FB,127)*100</f>
        <v>-46.67</v>
      </c>
    </row>
    <row r="17" spans="1:17" x14ac:dyDescent="0.25">
      <c r="A17" s="97" t="str">
        <f>'Data Vlaue (Cr)'!C12</f>
        <v>ANGELONE</v>
      </c>
      <c r="B17" s="140">
        <f>VLOOKUP($A17,'Data shares'!$C:$FB,7)</f>
        <v>2362.8000000000002</v>
      </c>
      <c r="C17" s="140">
        <f>VLOOKUP($A17,'Data shares'!$C:$FB,3)</f>
        <v>2366.6</v>
      </c>
      <c r="D17" s="140">
        <f>VLOOKUP($A17,'Data shares'!$C:$FB,4)</f>
        <v>2348.1</v>
      </c>
      <c r="E17" s="50">
        <f t="shared" si="0"/>
        <v>0.78787104467441771</v>
      </c>
      <c r="F17" s="49">
        <f>VLOOKUP($A17,'Data shares'!$C:$FB,98)</f>
        <v>7425750</v>
      </c>
      <c r="G17" s="49">
        <f>VLOOKUP($A17,'Data shares'!$C:$FB,99)</f>
        <v>7167250</v>
      </c>
      <c r="H17" s="50">
        <f t="shared" si="1"/>
        <v>3.6066831769507131</v>
      </c>
      <c r="I17" s="49">
        <f>VLOOKUP($A17,'Data shares'!$C:$FB,66)</f>
        <v>3850000</v>
      </c>
      <c r="J17" s="49">
        <f>VLOOKUP($A17,'Data shares'!$C:$FB,67)</f>
        <v>6007500</v>
      </c>
      <c r="K17" s="50">
        <f t="shared" si="2"/>
        <v>-56.038961038961041</v>
      </c>
      <c r="L17" s="50">
        <f>VLOOKUP($A17,'Data shares'!$C:$FB,118)</f>
        <v>0.88</v>
      </c>
      <c r="M17" s="50">
        <f>VLOOKUP($A17,'Data shares'!$C:$FB,119)</f>
        <v>0.89</v>
      </c>
      <c r="N17" s="50">
        <f>VLOOKUP($A17,'Data shares'!$C:$FB,121)*100</f>
        <v>-1.1199999999999999</v>
      </c>
      <c r="O17" s="50">
        <f>VLOOKUP($A17,'Data shares'!$C:$FB,124)</f>
        <v>0.53</v>
      </c>
      <c r="P17" s="50">
        <f>VLOOKUP($A17,'Data shares'!$C:$FB,125)</f>
        <v>0.4</v>
      </c>
      <c r="Q17" s="50">
        <f>VLOOKUP($A17,'Data shares'!$C:$FB,127)*100</f>
        <v>32.5</v>
      </c>
    </row>
    <row r="18" spans="1:17" x14ac:dyDescent="0.25">
      <c r="A18" s="97" t="str">
        <f>'Data Vlaue (Cr)'!C13</f>
        <v>APLAPOLLO</v>
      </c>
      <c r="B18" s="140">
        <f>VLOOKUP($A18,'Data shares'!$C:$FB,7)</f>
        <v>1970</v>
      </c>
      <c r="C18" s="140">
        <f>VLOOKUP($A18,'Data shares'!$C:$FB,3)</f>
        <v>1983</v>
      </c>
      <c r="D18" s="140">
        <f>VLOOKUP($A18,'Data shares'!$C:$FB,4)</f>
        <v>1925.7</v>
      </c>
      <c r="E18" s="50">
        <f t="shared" si="0"/>
        <v>2.9755413615827986</v>
      </c>
      <c r="F18" s="49">
        <f>VLOOKUP($A18,'Data shares'!$C:$FB,98)</f>
        <v>11552450</v>
      </c>
      <c r="G18" s="49">
        <f>VLOOKUP($A18,'Data shares'!$C:$FB,99)</f>
        <v>9942450</v>
      </c>
      <c r="H18" s="50">
        <f t="shared" si="1"/>
        <v>16.193191818917875</v>
      </c>
      <c r="I18" s="49">
        <f>VLOOKUP($A18,'Data shares'!$C:$FB,66)</f>
        <v>12068350</v>
      </c>
      <c r="J18" s="49">
        <f>VLOOKUP($A18,'Data shares'!$C:$FB,67)</f>
        <v>2722300</v>
      </c>
      <c r="K18" s="50">
        <f t="shared" si="2"/>
        <v>77.442649575128328</v>
      </c>
      <c r="L18" s="50">
        <f>VLOOKUP($A18,'Data shares'!$C:$FB,118)</f>
        <v>0.54</v>
      </c>
      <c r="M18" s="50">
        <f>VLOOKUP($A18,'Data shares'!$C:$FB,119)</f>
        <v>0.55000000000000004</v>
      </c>
      <c r="N18" s="50">
        <f>VLOOKUP($A18,'Data shares'!$C:$FB,121)*100</f>
        <v>-1.82</v>
      </c>
      <c r="O18" s="50">
        <f>VLOOKUP($A18,'Data shares'!$C:$FB,124)</f>
        <v>0.3</v>
      </c>
      <c r="P18" s="50">
        <f>VLOOKUP($A18,'Data shares'!$C:$FB,125)</f>
        <v>0.33</v>
      </c>
      <c r="Q18" s="50">
        <f>VLOOKUP($A18,'Data shares'!$C:$FB,127)*100</f>
        <v>-9.09</v>
      </c>
    </row>
    <row r="19" spans="1:17" x14ac:dyDescent="0.25">
      <c r="A19" s="97" t="str">
        <f>'Data Vlaue (Cr)'!C14</f>
        <v>APOLLOHOSP</v>
      </c>
      <c r="B19" s="140">
        <f>VLOOKUP($A19,'Data shares'!$C:$FB,7)</f>
        <v>7111.5</v>
      </c>
      <c r="C19" s="140">
        <f>VLOOKUP($A19,'Data shares'!$C:$FB,3)</f>
        <v>7140</v>
      </c>
      <c r="D19" s="140">
        <f>VLOOKUP($A19,'Data shares'!$C:$FB,4)</f>
        <v>7088.5</v>
      </c>
      <c r="E19" s="50">
        <f t="shared" si="0"/>
        <v>0.72652888481343025</v>
      </c>
      <c r="F19" s="49">
        <f>VLOOKUP($A19,'Data shares'!$C:$FB,98)</f>
        <v>4625375</v>
      </c>
      <c r="G19" s="49">
        <f>VLOOKUP($A19,'Data shares'!$C:$FB,99)</f>
        <v>4522250</v>
      </c>
      <c r="H19" s="50">
        <f t="shared" si="1"/>
        <v>2.2803913980872355</v>
      </c>
      <c r="I19" s="49">
        <f>VLOOKUP($A19,'Data shares'!$C:$FB,66)</f>
        <v>1872250</v>
      </c>
      <c r="J19" s="49">
        <f>VLOOKUP($A19,'Data shares'!$C:$FB,67)</f>
        <v>2342250</v>
      </c>
      <c r="K19" s="50">
        <f t="shared" si="2"/>
        <v>-25.103485111496859</v>
      </c>
      <c r="L19" s="50">
        <f>VLOOKUP($A19,'Data shares'!$C:$FB,118)</f>
        <v>0.73</v>
      </c>
      <c r="M19" s="50">
        <f>VLOOKUP($A19,'Data shares'!$C:$FB,119)</f>
        <v>0.59</v>
      </c>
      <c r="N19" s="50">
        <f>VLOOKUP($A19,'Data shares'!$C:$FB,121)*100</f>
        <v>23.73</v>
      </c>
      <c r="O19" s="50">
        <f>VLOOKUP($A19,'Data shares'!$C:$FB,124)</f>
        <v>0.56000000000000005</v>
      </c>
      <c r="P19" s="50">
        <f>VLOOKUP($A19,'Data shares'!$C:$FB,125)</f>
        <v>0.35</v>
      </c>
      <c r="Q19" s="50">
        <f>VLOOKUP($A19,'Data shares'!$C:$FB,127)*100</f>
        <v>60</v>
      </c>
    </row>
    <row r="20" spans="1:17" x14ac:dyDescent="0.25">
      <c r="A20" s="97" t="str">
        <f>'Data Vlaue (Cr)'!C15</f>
        <v>ASHOKLEY</v>
      </c>
      <c r="B20" s="140">
        <f>VLOOKUP($A20,'Data shares'!$C:$FB,7)</f>
        <v>184.88</v>
      </c>
      <c r="C20" s="140">
        <f>VLOOKUP($A20,'Data shares'!$C:$FB,3)</f>
        <v>182.04</v>
      </c>
      <c r="D20" s="140">
        <f>VLOOKUP($A20,'Data shares'!$C:$FB,4)</f>
        <v>177.04</v>
      </c>
      <c r="E20" s="50">
        <f t="shared" si="0"/>
        <v>2.8242205151378221</v>
      </c>
      <c r="F20" s="49">
        <f>VLOOKUP($A20,'Data shares'!$C:$FB,98)</f>
        <v>269345000</v>
      </c>
      <c r="G20" s="49">
        <f>VLOOKUP($A20,'Data shares'!$C:$FB,99)</f>
        <v>232545000</v>
      </c>
      <c r="H20" s="50">
        <f t="shared" si="1"/>
        <v>15.824894106517018</v>
      </c>
      <c r="I20" s="49">
        <f>VLOOKUP($A20,'Data shares'!$C:$FB,66)</f>
        <v>364775000</v>
      </c>
      <c r="J20" s="49">
        <f>VLOOKUP($A20,'Data shares'!$C:$FB,67)</f>
        <v>111615000</v>
      </c>
      <c r="K20" s="50">
        <f t="shared" si="2"/>
        <v>69.401685970803911</v>
      </c>
      <c r="L20" s="50">
        <f>VLOOKUP($A20,'Data shares'!$C:$FB,118)</f>
        <v>0.59</v>
      </c>
      <c r="M20" s="50">
        <f>VLOOKUP($A20,'Data shares'!$C:$FB,119)</f>
        <v>0.6</v>
      </c>
      <c r="N20" s="50">
        <f>VLOOKUP($A20,'Data shares'!$C:$FB,121)*100</f>
        <v>-1.67</v>
      </c>
      <c r="O20" s="50">
        <f>VLOOKUP($A20,'Data shares'!$C:$FB,124)</f>
        <v>0.24</v>
      </c>
      <c r="P20" s="50">
        <f>VLOOKUP($A20,'Data shares'!$C:$FB,125)</f>
        <v>0.33</v>
      </c>
      <c r="Q20" s="50">
        <f>VLOOKUP($A20,'Data shares'!$C:$FB,127)*100</f>
        <v>-27.27</v>
      </c>
    </row>
    <row r="21" spans="1:17" x14ac:dyDescent="0.25">
      <c r="A21" s="97" t="str">
        <f>'Data Vlaue (Cr)'!C16</f>
        <v>ASIANPAINT</v>
      </c>
      <c r="B21" s="140">
        <f>VLOOKUP($A21,'Data shares'!$C:$FB,7)</f>
        <v>2752</v>
      </c>
      <c r="C21" s="140">
        <f>VLOOKUP($A21,'Data shares'!$C:$FB,3)</f>
        <v>2766.6</v>
      </c>
      <c r="D21" s="140">
        <f>VLOOKUP($A21,'Data shares'!$C:$FB,4)</f>
        <v>2781.9</v>
      </c>
      <c r="E21" s="50">
        <f t="shared" si="0"/>
        <v>-0.54998382400518286</v>
      </c>
      <c r="F21" s="49">
        <f>VLOOKUP($A21,'Data shares'!$C:$FB,98)</f>
        <v>18974000</v>
      </c>
      <c r="G21" s="49">
        <f>VLOOKUP($A21,'Data shares'!$C:$FB,99)</f>
        <v>18263500</v>
      </c>
      <c r="H21" s="50">
        <f t="shared" si="1"/>
        <v>3.8902729487776164</v>
      </c>
      <c r="I21" s="49">
        <f>VLOOKUP($A21,'Data shares'!$C:$FB,66)</f>
        <v>4260750</v>
      </c>
      <c r="J21" s="49">
        <f>VLOOKUP($A21,'Data shares'!$C:$FB,67)</f>
        <v>8232000</v>
      </c>
      <c r="K21" s="50">
        <f t="shared" si="2"/>
        <v>-93.205421580707622</v>
      </c>
      <c r="L21" s="50">
        <f>VLOOKUP($A21,'Data shares'!$C:$FB,118)</f>
        <v>0.71</v>
      </c>
      <c r="M21" s="50">
        <f>VLOOKUP($A21,'Data shares'!$C:$FB,119)</f>
        <v>0.69</v>
      </c>
      <c r="N21" s="50">
        <f>VLOOKUP($A21,'Data shares'!$C:$FB,121)*100</f>
        <v>2.9000000000000004</v>
      </c>
      <c r="O21" s="50">
        <f>VLOOKUP($A21,'Data shares'!$C:$FB,124)</f>
        <v>0.62</v>
      </c>
      <c r="P21" s="50">
        <f>VLOOKUP($A21,'Data shares'!$C:$FB,125)</f>
        <v>0.61</v>
      </c>
      <c r="Q21" s="50">
        <f>VLOOKUP($A21,'Data shares'!$C:$FB,127)*100</f>
        <v>1.6400000000000001</v>
      </c>
    </row>
    <row r="22" spans="1:17" x14ac:dyDescent="0.25">
      <c r="A22" s="97" t="str">
        <f>'Data Vlaue (Cr)'!C17</f>
        <v>ASTRAL</v>
      </c>
      <c r="B22" s="140">
        <f>VLOOKUP($A22,'Data shares'!$C:$FB,7)</f>
        <v>1434.9</v>
      </c>
      <c r="C22" s="140">
        <f>VLOOKUP($A22,'Data shares'!$C:$FB,3)</f>
        <v>1442.7</v>
      </c>
      <c r="D22" s="140">
        <f>VLOOKUP($A22,'Data shares'!$C:$FB,4)</f>
        <v>1389.5</v>
      </c>
      <c r="E22" s="50">
        <f t="shared" si="0"/>
        <v>3.8287153652392978</v>
      </c>
      <c r="F22" s="49">
        <f>VLOOKUP($A22,'Data shares'!$C:$FB,98)</f>
        <v>11277375</v>
      </c>
      <c r="G22" s="49">
        <f>VLOOKUP($A22,'Data shares'!$C:$FB,99)</f>
        <v>11160925</v>
      </c>
      <c r="H22" s="50">
        <f t="shared" si="1"/>
        <v>1.0433723011309546</v>
      </c>
      <c r="I22" s="49">
        <f>VLOOKUP($A22,'Data shares'!$C:$FB,66)</f>
        <v>10045725</v>
      </c>
      <c r="J22" s="49">
        <f>VLOOKUP($A22,'Data shares'!$C:$FB,67)</f>
        <v>5779575</v>
      </c>
      <c r="K22" s="50">
        <f t="shared" si="2"/>
        <v>42.467318187587253</v>
      </c>
      <c r="L22" s="50">
        <f>VLOOKUP($A22,'Data shares'!$C:$FB,118)</f>
        <v>0.69</v>
      </c>
      <c r="M22" s="50">
        <f>VLOOKUP($A22,'Data shares'!$C:$FB,119)</f>
        <v>0.81</v>
      </c>
      <c r="N22" s="50">
        <f>VLOOKUP($A22,'Data shares'!$C:$FB,121)*100</f>
        <v>-14.81</v>
      </c>
      <c r="O22" s="50">
        <f>VLOOKUP($A22,'Data shares'!$C:$FB,124)</f>
        <v>0.41</v>
      </c>
      <c r="P22" s="50">
        <f>VLOOKUP($A22,'Data shares'!$C:$FB,125)</f>
        <v>0.42</v>
      </c>
      <c r="Q22" s="50">
        <f>VLOOKUP($A22,'Data shares'!$C:$FB,127)*100</f>
        <v>-2.3800000000000003</v>
      </c>
    </row>
    <row r="23" spans="1:17" x14ac:dyDescent="0.25">
      <c r="A23" s="97" t="str">
        <f>'Data Vlaue (Cr)'!C18</f>
        <v>AUBANK</v>
      </c>
      <c r="B23" s="140">
        <f>VLOOKUP($A23,'Data shares'!$C:$FB,7)</f>
        <v>999.45</v>
      </c>
      <c r="C23" s="140">
        <f>VLOOKUP($A23,'Data shares'!$C:$FB,3)</f>
        <v>1002.85</v>
      </c>
      <c r="D23" s="140">
        <f>VLOOKUP($A23,'Data shares'!$C:$FB,4)</f>
        <v>1000.15</v>
      </c>
      <c r="E23" s="50">
        <f t="shared" si="0"/>
        <v>0.26995950607409341</v>
      </c>
      <c r="F23" s="49">
        <f>VLOOKUP($A23,'Data shares'!$C:$FB,98)</f>
        <v>27608000</v>
      </c>
      <c r="G23" s="49">
        <f>VLOOKUP($A23,'Data shares'!$C:$FB,99)</f>
        <v>26942000</v>
      </c>
      <c r="H23" s="50">
        <f t="shared" si="1"/>
        <v>2.4719768391359214</v>
      </c>
      <c r="I23" s="49">
        <f>VLOOKUP($A23,'Data shares'!$C:$FB,66)</f>
        <v>5837000</v>
      </c>
      <c r="J23" s="49">
        <f>VLOOKUP($A23,'Data shares'!$C:$FB,67)</f>
        <v>12277000</v>
      </c>
      <c r="K23" s="50">
        <f t="shared" si="2"/>
        <v>-110.33064930615042</v>
      </c>
      <c r="L23" s="50">
        <f>VLOOKUP($A23,'Data shares'!$C:$FB,118)</f>
        <v>0.78</v>
      </c>
      <c r="M23" s="50">
        <f>VLOOKUP($A23,'Data shares'!$C:$FB,119)</f>
        <v>0.82</v>
      </c>
      <c r="N23" s="50">
        <f>VLOOKUP($A23,'Data shares'!$C:$FB,121)*100</f>
        <v>-4.88</v>
      </c>
      <c r="O23" s="50">
        <f>VLOOKUP($A23,'Data shares'!$C:$FB,124)</f>
        <v>0.48</v>
      </c>
      <c r="P23" s="50">
        <f>VLOOKUP($A23,'Data shares'!$C:$FB,125)</f>
        <v>0.55000000000000004</v>
      </c>
      <c r="Q23" s="50">
        <f>VLOOKUP($A23,'Data shares'!$C:$FB,127)*100</f>
        <v>-12.73</v>
      </c>
    </row>
    <row r="24" spans="1:17" x14ac:dyDescent="0.25">
      <c r="A24" s="97" t="str">
        <f>'Data Vlaue (Cr)'!C19</f>
        <v>AUROPHARMA</v>
      </c>
      <c r="B24" s="140">
        <f>VLOOKUP($A24,'Data shares'!$C:$FB,7)</f>
        <v>1193</v>
      </c>
      <c r="C24" s="140">
        <f>VLOOKUP($A24,'Data shares'!$C:$FB,3)</f>
        <v>1199.7</v>
      </c>
      <c r="D24" s="140">
        <f>VLOOKUP($A24,'Data shares'!$C:$FB,4)</f>
        <v>1189.5</v>
      </c>
      <c r="E24" s="50">
        <f t="shared" si="0"/>
        <v>0.85750315258512366</v>
      </c>
      <c r="F24" s="49">
        <f>VLOOKUP($A24,'Data shares'!$C:$FB,98)</f>
        <v>26674450</v>
      </c>
      <c r="G24" s="49">
        <f>VLOOKUP($A24,'Data shares'!$C:$FB,99)</f>
        <v>26024350</v>
      </c>
      <c r="H24" s="50">
        <f t="shared" si="1"/>
        <v>2.4980451000697421</v>
      </c>
      <c r="I24" s="49">
        <f>VLOOKUP($A24,'Data shares'!$C:$FB,66)</f>
        <v>6114900</v>
      </c>
      <c r="J24" s="49">
        <f>VLOOKUP($A24,'Data shares'!$C:$FB,67)</f>
        <v>7237450</v>
      </c>
      <c r="K24" s="50">
        <f t="shared" si="2"/>
        <v>-18.357618276668468</v>
      </c>
      <c r="L24" s="50">
        <f>VLOOKUP($A24,'Data shares'!$C:$FB,118)</f>
        <v>0.57999999999999996</v>
      </c>
      <c r="M24" s="50">
        <f>VLOOKUP($A24,'Data shares'!$C:$FB,119)</f>
        <v>0.57999999999999996</v>
      </c>
      <c r="N24" s="50">
        <f>VLOOKUP($A24,'Data shares'!$C:$FB,121)*100</f>
        <v>0</v>
      </c>
      <c r="O24" s="50">
        <f>VLOOKUP($A24,'Data shares'!$C:$FB,124)</f>
        <v>0.38</v>
      </c>
      <c r="P24" s="50">
        <f>VLOOKUP($A24,'Data shares'!$C:$FB,125)</f>
        <v>0.56000000000000005</v>
      </c>
      <c r="Q24" s="50">
        <f>VLOOKUP($A24,'Data shares'!$C:$FB,127)*100</f>
        <v>-32.14</v>
      </c>
    </row>
    <row r="25" spans="1:17" x14ac:dyDescent="0.25">
      <c r="A25" s="97" t="str">
        <f>'Data Vlaue (Cr)'!C20</f>
        <v>AXISBANK</v>
      </c>
      <c r="B25" s="140">
        <f>VLOOKUP($A25,'Data shares'!$C:$FB,7)</f>
        <v>1274.4000000000001</v>
      </c>
      <c r="C25" s="140">
        <f>VLOOKUP($A25,'Data shares'!$C:$FB,3)</f>
        <v>1279.0999999999999</v>
      </c>
      <c r="D25" s="140">
        <f>VLOOKUP($A25,'Data shares'!$C:$FB,4)</f>
        <v>1274.2</v>
      </c>
      <c r="E25" s="50">
        <f t="shared" si="0"/>
        <v>0.38455501491130617</v>
      </c>
      <c r="F25" s="49">
        <f>VLOOKUP($A25,'Data shares'!$C:$FB,98)</f>
        <v>98046875</v>
      </c>
      <c r="G25" s="49">
        <f>VLOOKUP($A25,'Data shares'!$C:$FB,99)</f>
        <v>95950625</v>
      </c>
      <c r="H25" s="50">
        <f t="shared" si="1"/>
        <v>2.1847174002253764</v>
      </c>
      <c r="I25" s="49">
        <f>VLOOKUP($A25,'Data shares'!$C:$FB,66)</f>
        <v>23614375</v>
      </c>
      <c r="J25" s="49">
        <f>VLOOKUP($A25,'Data shares'!$C:$FB,67)</f>
        <v>50955625</v>
      </c>
      <c r="K25" s="50">
        <f t="shared" si="2"/>
        <v>-115.78223010348569</v>
      </c>
      <c r="L25" s="50">
        <f>VLOOKUP($A25,'Data shares'!$C:$FB,118)</f>
        <v>0.88</v>
      </c>
      <c r="M25" s="50">
        <f>VLOOKUP($A25,'Data shares'!$C:$FB,119)</f>
        <v>0.86</v>
      </c>
      <c r="N25" s="50">
        <f>VLOOKUP($A25,'Data shares'!$C:$FB,121)*100</f>
        <v>2.33</v>
      </c>
      <c r="O25" s="50">
        <f>VLOOKUP($A25,'Data shares'!$C:$FB,124)</f>
        <v>0.81</v>
      </c>
      <c r="P25" s="50">
        <f>VLOOKUP($A25,'Data shares'!$C:$FB,125)</f>
        <v>0.62</v>
      </c>
      <c r="Q25" s="50">
        <f>VLOOKUP($A25,'Data shares'!$C:$FB,127)*100</f>
        <v>30.65</v>
      </c>
    </row>
    <row r="26" spans="1:17" x14ac:dyDescent="0.25">
      <c r="A26" s="97" t="str">
        <f>'Data Vlaue (Cr)'!C21</f>
        <v>BAJAJ-AUTO</v>
      </c>
      <c r="B26" s="140">
        <f>VLOOKUP($A26,'Data shares'!$C:$FB,7)</f>
        <v>9558</v>
      </c>
      <c r="C26" s="140">
        <f>VLOOKUP($A26,'Data shares'!$C:$FB,3)</f>
        <v>9611</v>
      </c>
      <c r="D26" s="140">
        <f>VLOOKUP($A26,'Data shares'!$C:$FB,4)</f>
        <v>9402</v>
      </c>
      <c r="E26" s="50">
        <f t="shared" si="0"/>
        <v>2.2229312912146351</v>
      </c>
      <c r="F26" s="49">
        <f>VLOOKUP($A26,'Data shares'!$C:$FB,98)</f>
        <v>5102400</v>
      </c>
      <c r="G26" s="49">
        <f>VLOOKUP($A26,'Data shares'!$C:$FB,99)</f>
        <v>4612050</v>
      </c>
      <c r="H26" s="50">
        <f t="shared" si="1"/>
        <v>10.631931570559731</v>
      </c>
      <c r="I26" s="49">
        <f>VLOOKUP($A26,'Data shares'!$C:$FB,66)</f>
        <v>6875100</v>
      </c>
      <c r="J26" s="49">
        <f>VLOOKUP($A26,'Data shares'!$C:$FB,67)</f>
        <v>5355825</v>
      </c>
      <c r="K26" s="50">
        <f t="shared" si="2"/>
        <v>22.098224025832351</v>
      </c>
      <c r="L26" s="50">
        <f>VLOOKUP($A26,'Data shares'!$C:$FB,118)</f>
        <v>0.82</v>
      </c>
      <c r="M26" s="50">
        <f>VLOOKUP($A26,'Data shares'!$C:$FB,119)</f>
        <v>0.74</v>
      </c>
      <c r="N26" s="50">
        <f>VLOOKUP($A26,'Data shares'!$C:$FB,121)*100</f>
        <v>10.81</v>
      </c>
      <c r="O26" s="50">
        <f>VLOOKUP($A26,'Data shares'!$C:$FB,124)</f>
        <v>0.37</v>
      </c>
      <c r="P26" s="50">
        <f>VLOOKUP($A26,'Data shares'!$C:$FB,125)</f>
        <v>0.35</v>
      </c>
      <c r="Q26" s="50">
        <f>VLOOKUP($A26,'Data shares'!$C:$FB,127)*100</f>
        <v>5.71</v>
      </c>
    </row>
    <row r="27" spans="1:17" x14ac:dyDescent="0.25">
      <c r="A27" s="97" t="str">
        <f>'Data Vlaue (Cr)'!C22</f>
        <v>BAJAJFINSV</v>
      </c>
      <c r="B27" s="140">
        <f>VLOOKUP($A27,'Data shares'!$C:$FB,7)</f>
        <v>2037</v>
      </c>
      <c r="C27" s="140">
        <f>VLOOKUP($A27,'Data shares'!$C:$FB,3)</f>
        <v>2044.6</v>
      </c>
      <c r="D27" s="140">
        <f>VLOOKUP($A27,'Data shares'!$C:$FB,4)</f>
        <v>2047</v>
      </c>
      <c r="E27" s="50">
        <f t="shared" si="0"/>
        <v>-0.11724474841231514</v>
      </c>
      <c r="F27" s="49">
        <f>VLOOKUP($A27,'Data shares'!$C:$FB,98)</f>
        <v>23363000</v>
      </c>
      <c r="G27" s="49">
        <f>VLOOKUP($A27,'Data shares'!$C:$FB,99)</f>
        <v>22793000</v>
      </c>
      <c r="H27" s="50">
        <f t="shared" si="1"/>
        <v>2.5007677795814502</v>
      </c>
      <c r="I27" s="49">
        <f>VLOOKUP($A27,'Data shares'!$C:$FB,66)</f>
        <v>3476000</v>
      </c>
      <c r="J27" s="49">
        <f>VLOOKUP($A27,'Data shares'!$C:$FB,67)</f>
        <v>7206250</v>
      </c>
      <c r="K27" s="50">
        <f t="shared" si="2"/>
        <v>-107.31444188722669</v>
      </c>
      <c r="L27" s="50">
        <f>VLOOKUP($A27,'Data shares'!$C:$FB,118)</f>
        <v>0.87</v>
      </c>
      <c r="M27" s="50">
        <f>VLOOKUP($A27,'Data shares'!$C:$FB,119)</f>
        <v>0.92</v>
      </c>
      <c r="N27" s="50">
        <f>VLOOKUP($A27,'Data shares'!$C:$FB,121)*100</f>
        <v>-5.43</v>
      </c>
      <c r="O27" s="50">
        <f>VLOOKUP($A27,'Data shares'!$C:$FB,124)</f>
        <v>0.56999999999999995</v>
      </c>
      <c r="P27" s="50">
        <f>VLOOKUP($A27,'Data shares'!$C:$FB,125)</f>
        <v>0.5</v>
      </c>
      <c r="Q27" s="50">
        <f>VLOOKUP($A27,'Data shares'!$C:$FB,127)*100</f>
        <v>14.000000000000002</v>
      </c>
    </row>
    <row r="28" spans="1:17" x14ac:dyDescent="0.25">
      <c r="A28" s="97" t="str">
        <f>'Data Vlaue (Cr)'!C23</f>
        <v>BAJAJHLDNG</v>
      </c>
      <c r="B28" s="140">
        <f>VLOOKUP($A28,'Data shares'!$C:$FB,7)</f>
        <v>11342</v>
      </c>
      <c r="C28" s="140">
        <f>VLOOKUP($A28,'Data shares'!$C:$FB,3)</f>
        <v>11420</v>
      </c>
      <c r="D28" s="140">
        <f>VLOOKUP($A28,'Data shares'!$C:$FB,4)</f>
        <v>11397</v>
      </c>
      <c r="E28" s="50">
        <f t="shared" si="0"/>
        <v>0.20180749319996494</v>
      </c>
      <c r="F28" s="49">
        <f>VLOOKUP($A28,'Data shares'!$C:$FB,98)</f>
        <v>110650</v>
      </c>
      <c r="G28" s="49">
        <f>VLOOKUP($A28,'Data shares'!$C:$FB,99)</f>
        <v>86050</v>
      </c>
      <c r="H28" s="50">
        <f t="shared" si="1"/>
        <v>28.588030214991285</v>
      </c>
      <c r="I28" s="49">
        <f>VLOOKUP($A28,'Data shares'!$C:$FB,66)</f>
        <v>102750</v>
      </c>
      <c r="J28" s="49">
        <f>VLOOKUP($A28,'Data shares'!$C:$FB,67)</f>
        <v>251550</v>
      </c>
      <c r="K28" s="50">
        <f t="shared" si="2"/>
        <v>-144.81751824817519</v>
      </c>
      <c r="L28" s="50">
        <f>VLOOKUP($A28,'Data shares'!$C:$FB,118)</f>
        <v>0.25</v>
      </c>
      <c r="M28" s="50">
        <f>VLOOKUP($A28,'Data shares'!$C:$FB,119)</f>
        <v>0.15</v>
      </c>
      <c r="N28" s="50">
        <f>VLOOKUP($A28,'Data shares'!$C:$FB,121)*100</f>
        <v>66.67</v>
      </c>
      <c r="O28" s="50">
        <f>VLOOKUP($A28,'Data shares'!$C:$FB,124)</f>
        <v>0.19</v>
      </c>
      <c r="P28" s="50">
        <f>VLOOKUP($A28,'Data shares'!$C:$FB,125)</f>
        <v>0.06</v>
      </c>
      <c r="Q28" s="50">
        <f>VLOOKUP($A28,'Data shares'!$C:$FB,127)*100</f>
        <v>216.67000000000002</v>
      </c>
    </row>
    <row r="29" spans="1:17" x14ac:dyDescent="0.25">
      <c r="A29" s="97" t="str">
        <f>'Data Vlaue (Cr)'!C24</f>
        <v>BAJFINANCE</v>
      </c>
      <c r="B29" s="140">
        <f>VLOOKUP($A29,'Data shares'!$C:$FB,7)</f>
        <v>973.1</v>
      </c>
      <c r="C29" s="140">
        <f>VLOOKUP($A29,'Data shares'!$C:$FB,3)</f>
        <v>979.9</v>
      </c>
      <c r="D29" s="140">
        <f>VLOOKUP($A29,'Data shares'!$C:$FB,4)</f>
        <v>993.1</v>
      </c>
      <c r="E29" s="50">
        <f t="shared" si="0"/>
        <v>-1.3291712818447332</v>
      </c>
      <c r="F29" s="49">
        <f>VLOOKUP($A29,'Data shares'!$C:$FB,98)</f>
        <v>133674000</v>
      </c>
      <c r="G29" s="49">
        <f>VLOOKUP($A29,'Data shares'!$C:$FB,99)</f>
        <v>125130750</v>
      </c>
      <c r="H29" s="50">
        <f t="shared" si="1"/>
        <v>6.8274584784315611</v>
      </c>
      <c r="I29" s="49">
        <f>VLOOKUP($A29,'Data shares'!$C:$FB,66)</f>
        <v>37766250</v>
      </c>
      <c r="J29" s="49">
        <f>VLOOKUP($A29,'Data shares'!$C:$FB,67)</f>
        <v>53538750</v>
      </c>
      <c r="K29" s="50">
        <f t="shared" si="2"/>
        <v>-41.763479296991363</v>
      </c>
      <c r="L29" s="50">
        <f>VLOOKUP($A29,'Data shares'!$C:$FB,118)</f>
        <v>0.71</v>
      </c>
      <c r="M29" s="50">
        <f>VLOOKUP($A29,'Data shares'!$C:$FB,119)</f>
        <v>0.74</v>
      </c>
      <c r="N29" s="50">
        <f>VLOOKUP($A29,'Data shares'!$C:$FB,121)*100</f>
        <v>-4.05</v>
      </c>
      <c r="O29" s="50">
        <f>VLOOKUP($A29,'Data shares'!$C:$FB,124)</f>
        <v>0.56999999999999995</v>
      </c>
      <c r="P29" s="50">
        <f>VLOOKUP($A29,'Data shares'!$C:$FB,125)</f>
        <v>0.48</v>
      </c>
      <c r="Q29" s="50">
        <f>VLOOKUP($A29,'Data shares'!$C:$FB,127)*100</f>
        <v>18.75</v>
      </c>
    </row>
    <row r="30" spans="1:17" x14ac:dyDescent="0.25">
      <c r="A30" s="97" t="str">
        <f>'Data Vlaue (Cr)'!C25</f>
        <v>BANDHANBNK</v>
      </c>
      <c r="B30" s="176">
        <f>VLOOKUP($A30,'Data shares'!$C:$FB,7)</f>
        <v>144.18</v>
      </c>
      <c r="C30" s="176">
        <f>VLOOKUP($A30,'Data shares'!$C:$FB,3)</f>
        <v>145.15</v>
      </c>
      <c r="D30" s="176">
        <f>VLOOKUP($A30,'Data shares'!$C:$FB,4)</f>
        <v>146.72999999999999</v>
      </c>
      <c r="E30" s="50">
        <f t="shared" si="0"/>
        <v>-1.0768077421113502</v>
      </c>
      <c r="F30" s="49">
        <f>VLOOKUP($A30,'Data shares'!$C:$FB,98)</f>
        <v>167720400</v>
      </c>
      <c r="G30" s="49">
        <f>VLOOKUP($A30,'Data shares'!$C:$FB,99)</f>
        <v>163008000</v>
      </c>
      <c r="H30" s="50">
        <f t="shared" si="1"/>
        <v>2.890901060070671</v>
      </c>
      <c r="I30" s="49">
        <f>VLOOKUP($A30,'Data shares'!$C:$FB,66)</f>
        <v>27399600</v>
      </c>
      <c r="J30" s="49">
        <f>VLOOKUP($A30,'Data shares'!$C:$FB,67)</f>
        <v>32414400</v>
      </c>
      <c r="K30" s="50">
        <f t="shared" si="2"/>
        <v>-18.302456970174745</v>
      </c>
      <c r="L30" s="50">
        <f>VLOOKUP($A30,'Data shares'!$C:$FB,118)</f>
        <v>1.07</v>
      </c>
      <c r="M30" s="50">
        <f>VLOOKUP($A30,'Data shares'!$C:$FB,119)</f>
        <v>1.08</v>
      </c>
      <c r="N30" s="50">
        <f>VLOOKUP($A30,'Data shares'!$C:$FB,121)*100</f>
        <v>-0.92999999999999994</v>
      </c>
      <c r="O30" s="50">
        <f>VLOOKUP($A30,'Data shares'!$C:$FB,124)</f>
        <v>0.42</v>
      </c>
      <c r="P30" s="50">
        <f>VLOOKUP($A30,'Data shares'!$C:$FB,125)</f>
        <v>0.49</v>
      </c>
      <c r="Q30" s="50">
        <f>VLOOKUP($A30,'Data shares'!$C:$FB,127)*100</f>
        <v>-14.29</v>
      </c>
    </row>
    <row r="31" spans="1:17" x14ac:dyDescent="0.25">
      <c r="A31" s="97" t="str">
        <f>'Data Vlaue (Cr)'!C26</f>
        <v>BANKBARODA</v>
      </c>
      <c r="B31" s="140">
        <f>VLOOKUP($A31,'Data shares'!$C:$FB,7)</f>
        <v>300.75</v>
      </c>
      <c r="C31" s="140">
        <f>VLOOKUP($A31,'Data shares'!$C:$FB,3)</f>
        <v>302.85000000000002</v>
      </c>
      <c r="D31" s="140">
        <f>VLOOKUP($A31,'Data shares'!$C:$FB,4)</f>
        <v>297.85000000000002</v>
      </c>
      <c r="E31" s="50">
        <f t="shared" si="0"/>
        <v>1.6786973308712438</v>
      </c>
      <c r="F31" s="49">
        <f>VLOOKUP($A31,'Data shares'!$C:$FB,98)</f>
        <v>134745975</v>
      </c>
      <c r="G31" s="49">
        <f>VLOOKUP($A31,'Data shares'!$C:$FB,99)</f>
        <v>122914350</v>
      </c>
      <c r="H31" s="50">
        <f t="shared" si="1"/>
        <v>9.6259102374946455</v>
      </c>
      <c r="I31" s="49">
        <f>VLOOKUP($A31,'Data shares'!$C:$FB,66)</f>
        <v>120744000</v>
      </c>
      <c r="J31" s="49">
        <f>VLOOKUP($A31,'Data shares'!$C:$FB,67)</f>
        <v>105063075</v>
      </c>
      <c r="K31" s="50">
        <f t="shared" si="2"/>
        <v>12.986918604651162</v>
      </c>
      <c r="L31" s="50">
        <f>VLOOKUP($A31,'Data shares'!$C:$FB,118)</f>
        <v>0.91</v>
      </c>
      <c r="M31" s="50">
        <f>VLOOKUP($A31,'Data shares'!$C:$FB,119)</f>
        <v>1.0900000000000001</v>
      </c>
      <c r="N31" s="50">
        <f>VLOOKUP($A31,'Data shares'!$C:$FB,121)*100</f>
        <v>-16.509999999999998</v>
      </c>
      <c r="O31" s="50">
        <f>VLOOKUP($A31,'Data shares'!$C:$FB,124)</f>
        <v>0.49</v>
      </c>
      <c r="P31" s="50">
        <f>VLOOKUP($A31,'Data shares'!$C:$FB,125)</f>
        <v>0.6</v>
      </c>
      <c r="Q31" s="50">
        <f>VLOOKUP($A31,'Data shares'!$C:$FB,127)*100</f>
        <v>-18.329999999999998</v>
      </c>
    </row>
    <row r="32" spans="1:17" x14ac:dyDescent="0.25">
      <c r="A32" s="97" t="str">
        <f>'Data Vlaue (Cr)'!C27</f>
        <v>BANKINDIA</v>
      </c>
      <c r="B32" s="140">
        <f>VLOOKUP($A32,'Data shares'!$C:$FB,7)</f>
        <v>146.99</v>
      </c>
      <c r="C32" s="140">
        <f>VLOOKUP($A32,'Data shares'!$C:$FB,3)</f>
        <v>147.97999999999999</v>
      </c>
      <c r="D32" s="140">
        <f>VLOOKUP($A32,'Data shares'!$C:$FB,4)</f>
        <v>144.6</v>
      </c>
      <c r="E32" s="50">
        <f t="shared" si="0"/>
        <v>2.3374827109266914</v>
      </c>
      <c r="F32" s="49">
        <f>VLOOKUP($A32,'Data shares'!$C:$FB,98)</f>
        <v>71957600</v>
      </c>
      <c r="G32" s="49">
        <f>VLOOKUP($A32,'Data shares'!$C:$FB,99)</f>
        <v>71141200</v>
      </c>
      <c r="H32" s="50">
        <f t="shared" si="1"/>
        <v>1.1475769315108546</v>
      </c>
      <c r="I32" s="49">
        <f>VLOOKUP($A32,'Data shares'!$C:$FB,66)</f>
        <v>32448000</v>
      </c>
      <c r="J32" s="49">
        <f>VLOOKUP($A32,'Data shares'!$C:$FB,67)</f>
        <v>38079600</v>
      </c>
      <c r="K32" s="50">
        <f t="shared" si="2"/>
        <v>-17.35576923076923</v>
      </c>
      <c r="L32" s="50">
        <f>VLOOKUP($A32,'Data shares'!$C:$FB,118)</f>
        <v>1.22</v>
      </c>
      <c r="M32" s="50">
        <f>VLOOKUP($A32,'Data shares'!$C:$FB,119)</f>
        <v>1.06</v>
      </c>
      <c r="N32" s="50">
        <f>VLOOKUP($A32,'Data shares'!$C:$FB,121)*100</f>
        <v>15.09</v>
      </c>
      <c r="O32" s="50">
        <f>VLOOKUP($A32,'Data shares'!$C:$FB,124)</f>
        <v>0.55000000000000004</v>
      </c>
      <c r="P32" s="50">
        <f>VLOOKUP($A32,'Data shares'!$C:$FB,125)</f>
        <v>0.49</v>
      </c>
      <c r="Q32" s="50">
        <f>VLOOKUP($A32,'Data shares'!$C:$FB,127)*100</f>
        <v>12.24</v>
      </c>
    </row>
    <row r="33" spans="1:17" x14ac:dyDescent="0.25">
      <c r="A33" s="97" t="str">
        <f>'Data Vlaue (Cr)'!C28</f>
        <v>BANKNIFTY</v>
      </c>
      <c r="B33" s="140">
        <f>VLOOKUP($A33,'Data shares'!$C:$FB,7)</f>
        <v>59711.55</v>
      </c>
      <c r="C33" s="140">
        <f>VLOOKUP($A33,'Data shares'!$C:$FB,3)</f>
        <v>59955.6</v>
      </c>
      <c r="D33" s="140">
        <f>VLOOKUP($A33,'Data shares'!$C:$FB,4)</f>
        <v>59883.6</v>
      </c>
      <c r="E33" s="50">
        <f t="shared" si="0"/>
        <v>0.12023325250986915</v>
      </c>
      <c r="F33" s="49">
        <f>VLOOKUP($A33,'Data shares'!$C:$FB,98)</f>
        <v>23044375</v>
      </c>
      <c r="G33" s="49">
        <f>VLOOKUP($A33,'Data shares'!$C:$FB,99)</f>
        <v>21315325</v>
      </c>
      <c r="H33" s="50">
        <f t="shared" si="1"/>
        <v>8.1117693490481617</v>
      </c>
      <c r="I33" s="49">
        <f>VLOOKUP($A33,'Data shares'!$C:$FB,66)</f>
        <v>32022390</v>
      </c>
      <c r="J33" s="49">
        <f>VLOOKUP($A33,'Data shares'!$C:$FB,67)</f>
        <v>60525180</v>
      </c>
      <c r="K33" s="50">
        <f t="shared" si="2"/>
        <v>-89.008940307078888</v>
      </c>
      <c r="L33" s="50">
        <f>VLOOKUP($A33,'Data shares'!$C:$FB,118)</f>
        <v>1.1399999999999999</v>
      </c>
      <c r="M33" s="50">
        <f>VLOOKUP($A33,'Data shares'!$C:$FB,119)</f>
        <v>1.1299999999999999</v>
      </c>
      <c r="N33" s="50">
        <f>VLOOKUP($A33,'Data shares'!$C:$FB,121)*100</f>
        <v>0.88</v>
      </c>
      <c r="O33" s="50">
        <f>VLOOKUP($A33,'Data shares'!$C:$FB,124)</f>
        <v>0.91</v>
      </c>
      <c r="P33" s="50">
        <f>VLOOKUP($A33,'Data shares'!$C:$FB,125)</f>
        <v>0.88</v>
      </c>
      <c r="Q33" s="50">
        <f>VLOOKUP($A33,'Data shares'!$C:$FB,127)*100</f>
        <v>3.4099999999999997</v>
      </c>
    </row>
    <row r="34" spans="1:17" x14ac:dyDescent="0.25">
      <c r="A34" s="97" t="str">
        <f>'Data Vlaue (Cr)'!C29</f>
        <v>BDL</v>
      </c>
      <c r="B34" s="140">
        <f>VLOOKUP($A34,'Data shares'!$C:$FB,7)</f>
        <v>1481.5</v>
      </c>
      <c r="C34" s="140">
        <f>VLOOKUP($A34,'Data shares'!$C:$FB,3)</f>
        <v>1487.2</v>
      </c>
      <c r="D34" s="140">
        <f>VLOOKUP($A34,'Data shares'!$C:$FB,4)</f>
        <v>1474.8</v>
      </c>
      <c r="E34" s="50">
        <f t="shared" si="0"/>
        <v>0.84079197179279164</v>
      </c>
      <c r="F34" s="49">
        <f>VLOOKUP($A34,'Data shares'!$C:$FB,98)</f>
        <v>10358250</v>
      </c>
      <c r="G34" s="49">
        <f>VLOOKUP($A34,'Data shares'!$C:$FB,99)</f>
        <v>10261650</v>
      </c>
      <c r="H34" s="50">
        <f t="shared" si="1"/>
        <v>0.94136907807223991</v>
      </c>
      <c r="I34" s="49">
        <f>VLOOKUP($A34,'Data shares'!$C:$FB,66)</f>
        <v>5574800</v>
      </c>
      <c r="J34" s="49">
        <f>VLOOKUP($A34,'Data shares'!$C:$FB,67)</f>
        <v>5031950</v>
      </c>
      <c r="K34" s="50">
        <f t="shared" si="2"/>
        <v>9.7375690607734811</v>
      </c>
      <c r="L34" s="50">
        <f>VLOOKUP($A34,'Data shares'!$C:$FB,118)</f>
        <v>0.9</v>
      </c>
      <c r="M34" s="50">
        <f>VLOOKUP($A34,'Data shares'!$C:$FB,119)</f>
        <v>0.91</v>
      </c>
      <c r="N34" s="50">
        <f>VLOOKUP($A34,'Data shares'!$C:$FB,121)*100</f>
        <v>-1.0999999999999999</v>
      </c>
      <c r="O34" s="50">
        <f>VLOOKUP($A34,'Data shares'!$C:$FB,124)</f>
        <v>0.56999999999999995</v>
      </c>
      <c r="P34" s="50">
        <f>VLOOKUP($A34,'Data shares'!$C:$FB,125)</f>
        <v>0.47</v>
      </c>
      <c r="Q34" s="50">
        <f>VLOOKUP($A34,'Data shares'!$C:$FB,127)*100</f>
        <v>21.279999999999998</v>
      </c>
    </row>
    <row r="35" spans="1:17" x14ac:dyDescent="0.25">
      <c r="A35" s="97" t="str">
        <f>'Data Vlaue (Cr)'!C30</f>
        <v>BEL</v>
      </c>
      <c r="B35" s="140">
        <f>VLOOKUP($A35,'Data shares'!$C:$FB,7)</f>
        <v>397.7</v>
      </c>
      <c r="C35" s="140">
        <f>VLOOKUP($A35,'Data shares'!$C:$FB,3)</f>
        <v>400.3</v>
      </c>
      <c r="D35" s="140">
        <f>VLOOKUP($A35,'Data shares'!$C:$FB,4)</f>
        <v>402.2</v>
      </c>
      <c r="E35" s="50">
        <f t="shared" si="0"/>
        <v>-0.47240179015414652</v>
      </c>
      <c r="F35" s="49">
        <f>VLOOKUP($A35,'Data shares'!$C:$FB,98)</f>
        <v>194035125</v>
      </c>
      <c r="G35" s="49">
        <f>VLOOKUP($A35,'Data shares'!$C:$FB,99)</f>
        <v>191406000</v>
      </c>
      <c r="H35" s="50">
        <f t="shared" si="1"/>
        <v>1.3735854675402024</v>
      </c>
      <c r="I35" s="49">
        <f>VLOOKUP($A35,'Data shares'!$C:$FB,66)</f>
        <v>55290000</v>
      </c>
      <c r="J35" s="49">
        <f>VLOOKUP($A35,'Data shares'!$C:$FB,67)</f>
        <v>87683100</v>
      </c>
      <c r="K35" s="50">
        <f t="shared" si="2"/>
        <v>-58.587628865979383</v>
      </c>
      <c r="L35" s="50">
        <f>VLOOKUP($A35,'Data shares'!$C:$FB,118)</f>
        <v>0.68</v>
      </c>
      <c r="M35" s="50">
        <f>VLOOKUP($A35,'Data shares'!$C:$FB,119)</f>
        <v>0.7</v>
      </c>
      <c r="N35" s="50">
        <f>VLOOKUP($A35,'Data shares'!$C:$FB,121)*100</f>
        <v>-2.86</v>
      </c>
      <c r="O35" s="50">
        <f>VLOOKUP($A35,'Data shares'!$C:$FB,124)</f>
        <v>0.43</v>
      </c>
      <c r="P35" s="50">
        <f>VLOOKUP($A35,'Data shares'!$C:$FB,125)</f>
        <v>0.42</v>
      </c>
      <c r="Q35" s="50">
        <f>VLOOKUP($A35,'Data shares'!$C:$FB,127)*100</f>
        <v>2.3800000000000003</v>
      </c>
    </row>
    <row r="36" spans="1:17" x14ac:dyDescent="0.25">
      <c r="A36" s="97" t="str">
        <f>'Data Vlaue (Cr)'!C31</f>
        <v>BHARATFORG</v>
      </c>
      <c r="B36" s="140">
        <f>VLOOKUP($A36,'Data shares'!$C:$FB,7)</f>
        <v>1464.4</v>
      </c>
      <c r="C36" s="140">
        <f>VLOOKUP($A36,'Data shares'!$C:$FB,3)</f>
        <v>1473.8</v>
      </c>
      <c r="D36" s="140">
        <f>VLOOKUP($A36,'Data shares'!$C:$FB,4)</f>
        <v>1476.8</v>
      </c>
      <c r="E36" s="50">
        <f t="shared" si="0"/>
        <v>-0.20314192849404117</v>
      </c>
      <c r="F36" s="49">
        <f>VLOOKUP($A36,'Data shares'!$C:$FB,98)</f>
        <v>12681000</v>
      </c>
      <c r="G36" s="49">
        <f>VLOOKUP($A36,'Data shares'!$C:$FB,99)</f>
        <v>12284000</v>
      </c>
      <c r="H36" s="50">
        <f t="shared" si="1"/>
        <v>3.2318463041354608</v>
      </c>
      <c r="I36" s="49">
        <f>VLOOKUP($A36,'Data shares'!$C:$FB,66)</f>
        <v>6094500</v>
      </c>
      <c r="J36" s="49">
        <f>VLOOKUP($A36,'Data shares'!$C:$FB,67)</f>
        <v>18629500</v>
      </c>
      <c r="K36" s="50">
        <f t="shared" si="2"/>
        <v>-205.67724997948972</v>
      </c>
      <c r="L36" s="50">
        <f>VLOOKUP($A36,'Data shares'!$C:$FB,118)</f>
        <v>0.57999999999999996</v>
      </c>
      <c r="M36" s="50">
        <f>VLOOKUP($A36,'Data shares'!$C:$FB,119)</f>
        <v>0.56000000000000005</v>
      </c>
      <c r="N36" s="50">
        <f>VLOOKUP($A36,'Data shares'!$C:$FB,121)*100</f>
        <v>3.5700000000000003</v>
      </c>
      <c r="O36" s="50">
        <f>VLOOKUP($A36,'Data shares'!$C:$FB,124)</f>
        <v>0.48</v>
      </c>
      <c r="P36" s="50">
        <f>VLOOKUP($A36,'Data shares'!$C:$FB,125)</f>
        <v>0.24</v>
      </c>
      <c r="Q36" s="50">
        <f>VLOOKUP($A36,'Data shares'!$C:$FB,127)*100</f>
        <v>100</v>
      </c>
    </row>
    <row r="37" spans="1:17" x14ac:dyDescent="0.25">
      <c r="A37" s="97" t="str">
        <f>'Data Vlaue (Cr)'!C32</f>
        <v>BHARTIARTL</v>
      </c>
      <c r="B37" s="140">
        <f>VLOOKUP($A37,'Data shares'!$C:$FB,7)</f>
        <v>2110.4</v>
      </c>
      <c r="C37" s="140">
        <f>VLOOKUP($A37,'Data shares'!$C:$FB,3)</f>
        <v>2123.6</v>
      </c>
      <c r="D37" s="140">
        <f>VLOOKUP($A37,'Data shares'!$C:$FB,4)</f>
        <v>2118.9</v>
      </c>
      <c r="E37" s="50">
        <f t="shared" si="0"/>
        <v>0.22181320496483165</v>
      </c>
      <c r="F37" s="49">
        <f>VLOOKUP($A37,'Data shares'!$C:$FB,98)</f>
        <v>59259575</v>
      </c>
      <c r="G37" s="49">
        <f>VLOOKUP($A37,'Data shares'!$C:$FB,99)</f>
        <v>57945250</v>
      </c>
      <c r="H37" s="50">
        <f t="shared" si="1"/>
        <v>2.2682187064513486</v>
      </c>
      <c r="I37" s="49">
        <f>VLOOKUP($A37,'Data shares'!$C:$FB,66)</f>
        <v>16394625</v>
      </c>
      <c r="J37" s="49">
        <f>VLOOKUP($A37,'Data shares'!$C:$FB,67)</f>
        <v>31395125</v>
      </c>
      <c r="K37" s="50">
        <f t="shared" si="2"/>
        <v>-91.496450818484718</v>
      </c>
      <c r="L37" s="50">
        <f>VLOOKUP($A37,'Data shares'!$C:$FB,118)</f>
        <v>0.66</v>
      </c>
      <c r="M37" s="50">
        <f>VLOOKUP($A37,'Data shares'!$C:$FB,119)</f>
        <v>0.65</v>
      </c>
      <c r="N37" s="50">
        <f>VLOOKUP($A37,'Data shares'!$C:$FB,121)*100</f>
        <v>1.54</v>
      </c>
      <c r="O37" s="50">
        <f>VLOOKUP($A37,'Data shares'!$C:$FB,124)</f>
        <v>0.47</v>
      </c>
      <c r="P37" s="50">
        <f>VLOOKUP($A37,'Data shares'!$C:$FB,125)</f>
        <v>0.5</v>
      </c>
      <c r="Q37" s="50">
        <f>VLOOKUP($A37,'Data shares'!$C:$FB,127)*100</f>
        <v>-6</v>
      </c>
    </row>
    <row r="38" spans="1:17" x14ac:dyDescent="0.25">
      <c r="A38" s="97" t="str">
        <f>'Data Vlaue (Cr)'!C33</f>
        <v>BHEL</v>
      </c>
      <c r="B38" s="140">
        <f>VLOOKUP($A38,'Data shares'!$C:$FB,7)</f>
        <v>291.45</v>
      </c>
      <c r="C38" s="140">
        <f>VLOOKUP($A38,'Data shares'!$C:$FB,3)</f>
        <v>293.39999999999998</v>
      </c>
      <c r="D38" s="140">
        <f>VLOOKUP($A38,'Data shares'!$C:$FB,4)</f>
        <v>289.2</v>
      </c>
      <c r="E38" s="50">
        <f t="shared" si="0"/>
        <v>1.4522821576763445</v>
      </c>
      <c r="F38" s="49">
        <f>VLOOKUP($A38,'Data shares'!$C:$FB,98)</f>
        <v>115683750</v>
      </c>
      <c r="G38" s="49">
        <f>VLOOKUP($A38,'Data shares'!$C:$FB,99)</f>
        <v>109683000</v>
      </c>
      <c r="H38" s="50">
        <f t="shared" si="1"/>
        <v>5.4709936817920735</v>
      </c>
      <c r="I38" s="49">
        <f>VLOOKUP($A38,'Data shares'!$C:$FB,66)</f>
        <v>90050625</v>
      </c>
      <c r="J38" s="49">
        <f>VLOOKUP($A38,'Data shares'!$C:$FB,67)</f>
        <v>115857000</v>
      </c>
      <c r="K38" s="50">
        <f t="shared" si="2"/>
        <v>-28.657630083078267</v>
      </c>
      <c r="L38" s="50">
        <f>VLOOKUP($A38,'Data shares'!$C:$FB,118)</f>
        <v>0.57999999999999996</v>
      </c>
      <c r="M38" s="50">
        <f>VLOOKUP($A38,'Data shares'!$C:$FB,119)</f>
        <v>0.54</v>
      </c>
      <c r="N38" s="50">
        <f>VLOOKUP($A38,'Data shares'!$C:$FB,121)*100</f>
        <v>7.41</v>
      </c>
      <c r="O38" s="50">
        <f>VLOOKUP($A38,'Data shares'!$C:$FB,124)</f>
        <v>0.3</v>
      </c>
      <c r="P38" s="50">
        <f>VLOOKUP($A38,'Data shares'!$C:$FB,125)</f>
        <v>0.36</v>
      </c>
      <c r="Q38" s="50">
        <f>VLOOKUP($A38,'Data shares'!$C:$FB,127)*100</f>
        <v>-16.669999999999998</v>
      </c>
    </row>
    <row r="39" spans="1:17" x14ac:dyDescent="0.25">
      <c r="A39" s="97" t="str">
        <f>'Data Vlaue (Cr)'!C34</f>
        <v>BIOCON</v>
      </c>
      <c r="B39" s="140">
        <f>VLOOKUP($A39,'Data shares'!$C:$FB,7)</f>
        <v>387.75</v>
      </c>
      <c r="C39" s="140">
        <f>VLOOKUP($A39,'Data shares'!$C:$FB,3)</f>
        <v>390.35</v>
      </c>
      <c r="D39" s="140">
        <f>VLOOKUP($A39,'Data shares'!$C:$FB,4)</f>
        <v>395.9</v>
      </c>
      <c r="E39" s="50">
        <f t="shared" si="0"/>
        <v>-1.4018691588784933</v>
      </c>
      <c r="F39" s="49">
        <f>VLOOKUP($A39,'Data shares'!$C:$FB,98)</f>
        <v>65297500</v>
      </c>
      <c r="G39" s="49">
        <f>VLOOKUP($A39,'Data shares'!$C:$FB,99)</f>
        <v>63202500</v>
      </c>
      <c r="H39" s="50">
        <f t="shared" si="1"/>
        <v>3.3147422965863691</v>
      </c>
      <c r="I39" s="49">
        <f>VLOOKUP($A39,'Data shares'!$C:$FB,66)</f>
        <v>20385000</v>
      </c>
      <c r="J39" s="49">
        <f>VLOOKUP($A39,'Data shares'!$C:$FB,67)</f>
        <v>21180000</v>
      </c>
      <c r="K39" s="50">
        <f t="shared" si="2"/>
        <v>-3.8999264164827081</v>
      </c>
      <c r="L39" s="50">
        <f>VLOOKUP($A39,'Data shares'!$C:$FB,118)</f>
        <v>0.65</v>
      </c>
      <c r="M39" s="50">
        <f>VLOOKUP($A39,'Data shares'!$C:$FB,119)</f>
        <v>0.65</v>
      </c>
      <c r="N39" s="50">
        <f>VLOOKUP($A39,'Data shares'!$C:$FB,121)*100</f>
        <v>0</v>
      </c>
      <c r="O39" s="50">
        <f>VLOOKUP($A39,'Data shares'!$C:$FB,124)</f>
        <v>0.54</v>
      </c>
      <c r="P39" s="50">
        <f>VLOOKUP($A39,'Data shares'!$C:$FB,125)</f>
        <v>0.48</v>
      </c>
      <c r="Q39" s="50">
        <f>VLOOKUP($A39,'Data shares'!$C:$FB,127)*100</f>
        <v>12.5</v>
      </c>
    </row>
    <row r="40" spans="1:17" x14ac:dyDescent="0.25">
      <c r="A40" s="97" t="str">
        <f>'Data Vlaue (Cr)'!C35</f>
        <v>BLUESTARCO</v>
      </c>
      <c r="B40" s="140">
        <f>VLOOKUP($A40,'Data shares'!$C:$FB,7)</f>
        <v>1772.2</v>
      </c>
      <c r="C40" s="140">
        <f>VLOOKUP($A40,'Data shares'!$C:$FB,3)</f>
        <v>1779.7</v>
      </c>
      <c r="D40" s="140">
        <f>VLOOKUP($A40,'Data shares'!$C:$FB,4)</f>
        <v>1739.8</v>
      </c>
      <c r="E40" s="50">
        <f t="shared" si="0"/>
        <v>2.2933670536843369</v>
      </c>
      <c r="F40" s="49">
        <f>VLOOKUP($A40,'Data shares'!$C:$FB,98)</f>
        <v>2826525</v>
      </c>
      <c r="G40" s="49">
        <f>VLOOKUP($A40,'Data shares'!$C:$FB,99)</f>
        <v>2634450</v>
      </c>
      <c r="H40" s="50">
        <f t="shared" si="1"/>
        <v>7.2908956328645438</v>
      </c>
      <c r="I40" s="49">
        <f>VLOOKUP($A40,'Data shares'!$C:$FB,66)</f>
        <v>1791075</v>
      </c>
      <c r="J40" s="49">
        <f>VLOOKUP($A40,'Data shares'!$C:$FB,67)</f>
        <v>1265875</v>
      </c>
      <c r="K40" s="50">
        <f t="shared" si="2"/>
        <v>29.323171838141899</v>
      </c>
      <c r="L40" s="50">
        <f>VLOOKUP($A40,'Data shares'!$C:$FB,118)</f>
        <v>0.98</v>
      </c>
      <c r="M40" s="50">
        <f>VLOOKUP($A40,'Data shares'!$C:$FB,119)</f>
        <v>0.86</v>
      </c>
      <c r="N40" s="50">
        <f>VLOOKUP($A40,'Data shares'!$C:$FB,121)*100</f>
        <v>13.950000000000001</v>
      </c>
      <c r="O40" s="50">
        <f>VLOOKUP($A40,'Data shares'!$C:$FB,124)</f>
        <v>0.34</v>
      </c>
      <c r="P40" s="50">
        <f>VLOOKUP($A40,'Data shares'!$C:$FB,125)</f>
        <v>0.4</v>
      </c>
      <c r="Q40" s="50">
        <f>VLOOKUP($A40,'Data shares'!$C:$FB,127)*100</f>
        <v>-15</v>
      </c>
    </row>
    <row r="41" spans="1:17" x14ac:dyDescent="0.25">
      <c r="A41" s="97" t="str">
        <f>'Data Vlaue (Cr)'!C36</f>
        <v>BOSCHLTD</v>
      </c>
      <c r="B41" s="140">
        <f>VLOOKUP($A41,'Data shares'!$C:$FB,7)</f>
        <v>36140</v>
      </c>
      <c r="C41" s="140">
        <f>VLOOKUP($A41,'Data shares'!$C:$FB,3)</f>
        <v>36325</v>
      </c>
      <c r="D41" s="140">
        <f>VLOOKUP($A41,'Data shares'!$C:$FB,4)</f>
        <v>36210</v>
      </c>
      <c r="E41" s="50">
        <f t="shared" si="0"/>
        <v>0.31759182546257936</v>
      </c>
      <c r="F41" s="49">
        <f>VLOOKUP($A41,'Data shares'!$C:$FB,98)</f>
        <v>257825</v>
      </c>
      <c r="G41" s="49">
        <f>VLOOKUP($A41,'Data shares'!$C:$FB,99)</f>
        <v>243575</v>
      </c>
      <c r="H41" s="50">
        <f t="shared" si="1"/>
        <v>5.8503541003797599</v>
      </c>
      <c r="I41" s="49">
        <f>VLOOKUP($A41,'Data shares'!$C:$FB,66)</f>
        <v>72625</v>
      </c>
      <c r="J41" s="49">
        <f>VLOOKUP($A41,'Data shares'!$C:$FB,67)</f>
        <v>159225</v>
      </c>
      <c r="K41" s="50">
        <f t="shared" si="2"/>
        <v>-119.24268502581756</v>
      </c>
      <c r="L41" s="50">
        <f>VLOOKUP($A41,'Data shares'!$C:$FB,118)</f>
        <v>1.1000000000000001</v>
      </c>
      <c r="M41" s="50">
        <f>VLOOKUP($A41,'Data shares'!$C:$FB,119)</f>
        <v>0.96</v>
      </c>
      <c r="N41" s="50">
        <f>VLOOKUP($A41,'Data shares'!$C:$FB,121)*100</f>
        <v>14.580000000000002</v>
      </c>
      <c r="O41" s="50">
        <f>VLOOKUP($A41,'Data shares'!$C:$FB,124)</f>
        <v>1.57</v>
      </c>
      <c r="P41" s="50">
        <f>VLOOKUP($A41,'Data shares'!$C:$FB,125)</f>
        <v>0.47</v>
      </c>
      <c r="Q41" s="50">
        <f>VLOOKUP($A41,'Data shares'!$C:$FB,127)*100</f>
        <v>234.04</v>
      </c>
    </row>
    <row r="42" spans="1:17" x14ac:dyDescent="0.25">
      <c r="A42" s="97" t="str">
        <f>'Data Vlaue (Cr)'!C37</f>
        <v>BPCL</v>
      </c>
      <c r="B42" s="140">
        <f>VLOOKUP($A42,'Data shares'!$C:$FB,7)</f>
        <v>381.5</v>
      </c>
      <c r="C42" s="140">
        <f>VLOOKUP($A42,'Data shares'!$C:$FB,3)</f>
        <v>383.6</v>
      </c>
      <c r="D42" s="140">
        <f>VLOOKUP($A42,'Data shares'!$C:$FB,4)</f>
        <v>386.35</v>
      </c>
      <c r="E42" s="50">
        <f t="shared" si="0"/>
        <v>-0.71178982787627798</v>
      </c>
      <c r="F42" s="49">
        <f>VLOOKUP($A42,'Data shares'!$C:$FB,98)</f>
        <v>45107025</v>
      </c>
      <c r="G42" s="49">
        <f>VLOOKUP($A42,'Data shares'!$C:$FB,99)</f>
        <v>42632350</v>
      </c>
      <c r="H42" s="50">
        <f t="shared" si="1"/>
        <v>5.8046882238487907</v>
      </c>
      <c r="I42" s="49">
        <f>VLOOKUP($A42,'Data shares'!$C:$FB,66)</f>
        <v>38326850</v>
      </c>
      <c r="J42" s="49">
        <f>VLOOKUP($A42,'Data shares'!$C:$FB,67)</f>
        <v>73734650</v>
      </c>
      <c r="K42" s="50">
        <f t="shared" si="2"/>
        <v>-92.383798825105629</v>
      </c>
      <c r="L42" s="50">
        <f>VLOOKUP($A42,'Data shares'!$C:$FB,118)</f>
        <v>0.66</v>
      </c>
      <c r="M42" s="50">
        <f>VLOOKUP($A42,'Data shares'!$C:$FB,119)</f>
        <v>0.8</v>
      </c>
      <c r="N42" s="50">
        <f>VLOOKUP($A42,'Data shares'!$C:$FB,121)*100</f>
        <v>-17.5</v>
      </c>
      <c r="O42" s="50">
        <f>VLOOKUP($A42,'Data shares'!$C:$FB,124)</f>
        <v>0.49</v>
      </c>
      <c r="P42" s="50">
        <f>VLOOKUP($A42,'Data shares'!$C:$FB,125)</f>
        <v>0.35</v>
      </c>
      <c r="Q42" s="50">
        <f>VLOOKUP($A42,'Data shares'!$C:$FB,127)*100</f>
        <v>40</v>
      </c>
    </row>
    <row r="43" spans="1:17" x14ac:dyDescent="0.25">
      <c r="A43" s="97" t="str">
        <f>'Data Vlaue (Cr)'!C38</f>
        <v>BRITANNIA</v>
      </c>
      <c r="B43" s="140">
        <f>VLOOKUP($A43,'Data shares'!$C:$FB,7)</f>
        <v>6009.5</v>
      </c>
      <c r="C43" s="140">
        <f>VLOOKUP($A43,'Data shares'!$C:$FB,3)</f>
        <v>6050</v>
      </c>
      <c r="D43" s="140">
        <f>VLOOKUP($A43,'Data shares'!$C:$FB,4)</f>
        <v>6070</v>
      </c>
      <c r="E43" s="50">
        <f t="shared" si="0"/>
        <v>-0.32948929159802309</v>
      </c>
      <c r="F43" s="49">
        <f>VLOOKUP($A43,'Data shares'!$C:$FB,98)</f>
        <v>3503125</v>
      </c>
      <c r="G43" s="49">
        <f>VLOOKUP($A43,'Data shares'!$C:$FB,99)</f>
        <v>3283500</v>
      </c>
      <c r="H43" s="50">
        <f t="shared" si="1"/>
        <v>6.6887467641236489</v>
      </c>
      <c r="I43" s="49">
        <f>VLOOKUP($A43,'Data shares'!$C:$FB,66)</f>
        <v>933125</v>
      </c>
      <c r="J43" s="49">
        <f>VLOOKUP($A43,'Data shares'!$C:$FB,67)</f>
        <v>848000</v>
      </c>
      <c r="K43" s="50">
        <f t="shared" si="2"/>
        <v>9.1225720026791688</v>
      </c>
      <c r="L43" s="50">
        <f>VLOOKUP($A43,'Data shares'!$C:$FB,118)</f>
        <v>0.44</v>
      </c>
      <c r="M43" s="50">
        <f>VLOOKUP($A43,'Data shares'!$C:$FB,119)</f>
        <v>0.51</v>
      </c>
      <c r="N43" s="50">
        <f>VLOOKUP($A43,'Data shares'!$C:$FB,121)*100</f>
        <v>-13.73</v>
      </c>
      <c r="O43" s="50">
        <f>VLOOKUP($A43,'Data shares'!$C:$FB,124)</f>
        <v>0.45</v>
      </c>
      <c r="P43" s="50">
        <f>VLOOKUP($A43,'Data shares'!$C:$FB,125)</f>
        <v>0.38</v>
      </c>
      <c r="Q43" s="50">
        <f>VLOOKUP($A43,'Data shares'!$C:$FB,127)*100</f>
        <v>18.420000000000002</v>
      </c>
    </row>
    <row r="44" spans="1:17" x14ac:dyDescent="0.25">
      <c r="A44" s="97" t="str">
        <f>'Data Vlaue (Cr)'!C39</f>
        <v>BSE</v>
      </c>
      <c r="B44" s="140">
        <f>VLOOKUP($A44,'Data shares'!$C:$FB,7)</f>
        <v>2628</v>
      </c>
      <c r="C44" s="140">
        <f>VLOOKUP($A44,'Data shares'!$C:$FB,3)</f>
        <v>2644.6</v>
      </c>
      <c r="D44" s="140">
        <f>VLOOKUP($A44,'Data shares'!$C:$FB,4)</f>
        <v>2649.2</v>
      </c>
      <c r="E44" s="50">
        <f t="shared" si="0"/>
        <v>-0.17363732447530988</v>
      </c>
      <c r="F44" s="49">
        <f>VLOOKUP($A44,'Data shares'!$C:$FB,98)</f>
        <v>23062125</v>
      </c>
      <c r="G44" s="49">
        <f>VLOOKUP($A44,'Data shares'!$C:$FB,99)</f>
        <v>22311375</v>
      </c>
      <c r="H44" s="50">
        <f t="shared" si="1"/>
        <v>3.3648755399431907</v>
      </c>
      <c r="I44" s="49">
        <f>VLOOKUP($A44,'Data shares'!$C:$FB,66)</f>
        <v>10023375</v>
      </c>
      <c r="J44" s="49">
        <f>VLOOKUP($A44,'Data shares'!$C:$FB,67)</f>
        <v>17170125</v>
      </c>
      <c r="K44" s="50">
        <f t="shared" si="2"/>
        <v>-71.30083429982416</v>
      </c>
      <c r="L44" s="50">
        <f>VLOOKUP($A44,'Data shares'!$C:$FB,118)</f>
        <v>0.66</v>
      </c>
      <c r="M44" s="50">
        <f>VLOOKUP($A44,'Data shares'!$C:$FB,119)</f>
        <v>0.68</v>
      </c>
      <c r="N44" s="50">
        <f>VLOOKUP($A44,'Data shares'!$C:$FB,121)*100</f>
        <v>-2.94</v>
      </c>
      <c r="O44" s="50">
        <f>VLOOKUP($A44,'Data shares'!$C:$FB,124)</f>
        <v>0.65</v>
      </c>
      <c r="P44" s="50">
        <f>VLOOKUP($A44,'Data shares'!$C:$FB,125)</f>
        <v>0.47</v>
      </c>
      <c r="Q44" s="50">
        <f>VLOOKUP($A44,'Data shares'!$C:$FB,127)*100</f>
        <v>38.299999999999997</v>
      </c>
    </row>
    <row r="45" spans="1:17" x14ac:dyDescent="0.25">
      <c r="A45" s="97" t="str">
        <f>'Data Vlaue (Cr)'!C40</f>
        <v>CAMS</v>
      </c>
      <c r="B45" s="140">
        <f>VLOOKUP($A45,'Data shares'!$C:$FB,7)</f>
        <v>735.1</v>
      </c>
      <c r="C45" s="140">
        <f>VLOOKUP($A45,'Data shares'!$C:$FB,3)</f>
        <v>739.95</v>
      </c>
      <c r="D45" s="140">
        <f>VLOOKUP($A45,'Data shares'!$C:$FB,4)</f>
        <v>745.4</v>
      </c>
      <c r="E45" s="50">
        <f t="shared" si="0"/>
        <v>-0.73115105983363715</v>
      </c>
      <c r="F45" s="49">
        <f>VLOOKUP($A45,'Data shares'!$C:$FB,98)</f>
        <v>12054000</v>
      </c>
      <c r="G45" s="49">
        <f>VLOOKUP($A45,'Data shares'!$C:$FB,99)</f>
        <v>11873250</v>
      </c>
      <c r="H45" s="50">
        <f t="shared" si="1"/>
        <v>1.5223296064683216</v>
      </c>
      <c r="I45" s="49">
        <f>VLOOKUP($A45,'Data shares'!$C:$FB,66)</f>
        <v>2118000</v>
      </c>
      <c r="J45" s="49">
        <f>VLOOKUP($A45,'Data shares'!$C:$FB,67)</f>
        <v>3634500</v>
      </c>
      <c r="K45" s="50">
        <f t="shared" si="2"/>
        <v>-71.600566572237952</v>
      </c>
      <c r="L45" s="50">
        <f>VLOOKUP($A45,'Data shares'!$C:$FB,118)</f>
        <v>0.98</v>
      </c>
      <c r="M45" s="50">
        <f>VLOOKUP($A45,'Data shares'!$C:$FB,119)</f>
        <v>0.99</v>
      </c>
      <c r="N45" s="50">
        <f>VLOOKUP($A45,'Data shares'!$C:$FB,121)*100</f>
        <v>-1.01</v>
      </c>
      <c r="O45" s="50">
        <f>VLOOKUP($A45,'Data shares'!$C:$FB,124)</f>
        <v>0.49</v>
      </c>
      <c r="P45" s="50">
        <f>VLOOKUP($A45,'Data shares'!$C:$FB,125)</f>
        <v>0.51</v>
      </c>
      <c r="Q45" s="50">
        <f>VLOOKUP($A45,'Data shares'!$C:$FB,127)*100</f>
        <v>-3.92</v>
      </c>
    </row>
    <row r="46" spans="1:17" x14ac:dyDescent="0.25">
      <c r="A46" s="97" t="str">
        <f>'Data Vlaue (Cr)'!C41</f>
        <v>CANBK</v>
      </c>
      <c r="B46" s="140">
        <f>VLOOKUP($A46,'Data shares'!$C:$FB,7)</f>
        <v>154.24</v>
      </c>
      <c r="C46" s="140">
        <f>VLOOKUP($A46,'Data shares'!$C:$FB,3)</f>
        <v>155.03</v>
      </c>
      <c r="D46" s="140">
        <f>VLOOKUP($A46,'Data shares'!$C:$FB,4)</f>
        <v>155.13</v>
      </c>
      <c r="E46" s="50">
        <f t="shared" si="0"/>
        <v>-6.4462064075288025E-2</v>
      </c>
      <c r="F46" s="49">
        <f>VLOOKUP($A46,'Data shares'!$C:$FB,98)</f>
        <v>273489750</v>
      </c>
      <c r="G46" s="49">
        <f>VLOOKUP($A46,'Data shares'!$C:$FB,99)</f>
        <v>254576250</v>
      </c>
      <c r="H46" s="50">
        <f t="shared" si="1"/>
        <v>7.4294047461222323</v>
      </c>
      <c r="I46" s="49">
        <f>VLOOKUP($A46,'Data shares'!$C:$FB,66)</f>
        <v>160400250</v>
      </c>
      <c r="J46" s="49">
        <f>VLOOKUP($A46,'Data shares'!$C:$FB,67)</f>
        <v>317121750</v>
      </c>
      <c r="K46" s="50">
        <f t="shared" si="2"/>
        <v>-97.706518537221726</v>
      </c>
      <c r="L46" s="50">
        <f>VLOOKUP($A46,'Data shares'!$C:$FB,118)</f>
        <v>0.9</v>
      </c>
      <c r="M46" s="50">
        <f>VLOOKUP($A46,'Data shares'!$C:$FB,119)</f>
        <v>0.95</v>
      </c>
      <c r="N46" s="50">
        <f>VLOOKUP($A46,'Data shares'!$C:$FB,121)*100</f>
        <v>-5.26</v>
      </c>
      <c r="O46" s="50">
        <f>VLOOKUP($A46,'Data shares'!$C:$FB,124)</f>
        <v>0.55000000000000004</v>
      </c>
      <c r="P46" s="50">
        <f>VLOOKUP($A46,'Data shares'!$C:$FB,125)</f>
        <v>0.53</v>
      </c>
      <c r="Q46" s="50">
        <f>VLOOKUP($A46,'Data shares'!$C:$FB,127)*100</f>
        <v>3.7699999999999996</v>
      </c>
    </row>
    <row r="47" spans="1:17" x14ac:dyDescent="0.25">
      <c r="A47" s="97" t="str">
        <f>'Data Vlaue (Cr)'!C42</f>
        <v>CDSL</v>
      </c>
      <c r="B47" s="140">
        <f>VLOOKUP($A47,'Data shares'!$C:$FB,7)</f>
        <v>1446.2</v>
      </c>
      <c r="C47" s="140">
        <f>VLOOKUP($A47,'Data shares'!$C:$FB,3)</f>
        <v>1455.2</v>
      </c>
      <c r="D47" s="140">
        <f>VLOOKUP($A47,'Data shares'!$C:$FB,4)</f>
        <v>1452.7</v>
      </c>
      <c r="E47" s="50">
        <f t="shared" si="0"/>
        <v>0.17209334342947613</v>
      </c>
      <c r="F47" s="49">
        <f>VLOOKUP($A47,'Data shares'!$C:$FB,98)</f>
        <v>19568575</v>
      </c>
      <c r="G47" s="49">
        <f>VLOOKUP($A47,'Data shares'!$C:$FB,99)</f>
        <v>19105925</v>
      </c>
      <c r="H47" s="50">
        <f t="shared" si="1"/>
        <v>2.4215001367376874</v>
      </c>
      <c r="I47" s="49">
        <f>VLOOKUP($A47,'Data shares'!$C:$FB,66)</f>
        <v>3961500</v>
      </c>
      <c r="J47" s="49">
        <f>VLOOKUP($A47,'Data shares'!$C:$FB,67)</f>
        <v>7670300</v>
      </c>
      <c r="K47" s="50">
        <f t="shared" si="2"/>
        <v>-93.621103117505996</v>
      </c>
      <c r="L47" s="50">
        <f>VLOOKUP($A47,'Data shares'!$C:$FB,118)</f>
        <v>0.76</v>
      </c>
      <c r="M47" s="50">
        <f>VLOOKUP($A47,'Data shares'!$C:$FB,119)</f>
        <v>0.78</v>
      </c>
      <c r="N47" s="50">
        <f>VLOOKUP($A47,'Data shares'!$C:$FB,121)*100</f>
        <v>-2.56</v>
      </c>
      <c r="O47" s="50">
        <f>VLOOKUP($A47,'Data shares'!$C:$FB,124)</f>
        <v>0.28999999999999998</v>
      </c>
      <c r="P47" s="50">
        <f>VLOOKUP($A47,'Data shares'!$C:$FB,125)</f>
        <v>0.46</v>
      </c>
      <c r="Q47" s="50">
        <f>VLOOKUP($A47,'Data shares'!$C:$FB,127)*100</f>
        <v>-36.96</v>
      </c>
    </row>
    <row r="48" spans="1:17" x14ac:dyDescent="0.25">
      <c r="A48" s="97" t="str">
        <f>'Data Vlaue (Cr)'!C43</f>
        <v>CGPOWER</v>
      </c>
      <c r="B48" s="140">
        <f>VLOOKUP($A48,'Data shares'!$C:$FB,7)</f>
        <v>637.9</v>
      </c>
      <c r="C48" s="140">
        <f>VLOOKUP($A48,'Data shares'!$C:$FB,3)</f>
        <v>641.85</v>
      </c>
      <c r="D48" s="140">
        <f>VLOOKUP($A48,'Data shares'!$C:$FB,4)</f>
        <v>650.29999999999995</v>
      </c>
      <c r="E48" s="50">
        <f t="shared" si="0"/>
        <v>-1.2994002767953148</v>
      </c>
      <c r="F48" s="49">
        <f>VLOOKUP($A48,'Data shares'!$C:$FB,98)</f>
        <v>20749350</v>
      </c>
      <c r="G48" s="49">
        <f>VLOOKUP($A48,'Data shares'!$C:$FB,99)</f>
        <v>19552550</v>
      </c>
      <c r="H48" s="50">
        <f t="shared" si="1"/>
        <v>6.1209407468591053</v>
      </c>
      <c r="I48" s="49">
        <f>VLOOKUP($A48,'Data shares'!$C:$FB,66)</f>
        <v>6371600</v>
      </c>
      <c r="J48" s="49">
        <f>VLOOKUP($A48,'Data shares'!$C:$FB,67)</f>
        <v>8046950</v>
      </c>
      <c r="K48" s="50">
        <f t="shared" si="2"/>
        <v>-26.294023479188901</v>
      </c>
      <c r="L48" s="50">
        <f>VLOOKUP($A48,'Data shares'!$C:$FB,118)</f>
        <v>0.69</v>
      </c>
      <c r="M48" s="50">
        <f>VLOOKUP($A48,'Data shares'!$C:$FB,119)</f>
        <v>0.75</v>
      </c>
      <c r="N48" s="50">
        <f>VLOOKUP($A48,'Data shares'!$C:$FB,121)*100</f>
        <v>-8</v>
      </c>
      <c r="O48" s="50">
        <f>VLOOKUP($A48,'Data shares'!$C:$FB,124)</f>
        <v>0.39</v>
      </c>
      <c r="P48" s="50">
        <f>VLOOKUP($A48,'Data shares'!$C:$FB,125)</f>
        <v>0.42</v>
      </c>
      <c r="Q48" s="50">
        <f>VLOOKUP($A48,'Data shares'!$C:$FB,127)*100</f>
        <v>-7.1400000000000006</v>
      </c>
    </row>
    <row r="49" spans="1:17" x14ac:dyDescent="0.25">
      <c r="A49" s="97" t="str">
        <f>'Data Vlaue (Cr)'!C44</f>
        <v>CHOLAFIN</v>
      </c>
      <c r="B49" s="140">
        <f>VLOOKUP($A49,'Data shares'!$C:$FB,7)</f>
        <v>1724</v>
      </c>
      <c r="C49" s="140">
        <f>VLOOKUP($A49,'Data shares'!$C:$FB,3)</f>
        <v>1735.1</v>
      </c>
      <c r="D49" s="140">
        <f>VLOOKUP($A49,'Data shares'!$C:$FB,4)</f>
        <v>1712.8</v>
      </c>
      <c r="E49" s="50">
        <f t="shared" si="0"/>
        <v>1.3019617001401189</v>
      </c>
      <c r="F49" s="49">
        <f>VLOOKUP($A49,'Data shares'!$C:$FB,98)</f>
        <v>18989375</v>
      </c>
      <c r="G49" s="49">
        <f>VLOOKUP($A49,'Data shares'!$C:$FB,99)</f>
        <v>18649375</v>
      </c>
      <c r="H49" s="50">
        <f t="shared" si="1"/>
        <v>1.8231173966955998</v>
      </c>
      <c r="I49" s="49">
        <f>VLOOKUP($A49,'Data shares'!$C:$FB,66)</f>
        <v>8852500</v>
      </c>
      <c r="J49" s="49">
        <f>VLOOKUP($A49,'Data shares'!$C:$FB,67)</f>
        <v>6572500</v>
      </c>
      <c r="K49" s="50">
        <f t="shared" si="2"/>
        <v>25.755436317424458</v>
      </c>
      <c r="L49" s="50">
        <f>VLOOKUP($A49,'Data shares'!$C:$FB,118)</f>
        <v>1.02</v>
      </c>
      <c r="M49" s="50">
        <f>VLOOKUP($A49,'Data shares'!$C:$FB,119)</f>
        <v>0.98</v>
      </c>
      <c r="N49" s="50">
        <f>VLOOKUP($A49,'Data shares'!$C:$FB,121)*100</f>
        <v>4.08</v>
      </c>
      <c r="O49" s="50">
        <f>VLOOKUP($A49,'Data shares'!$C:$FB,124)</f>
        <v>0.49</v>
      </c>
      <c r="P49" s="50">
        <f>VLOOKUP($A49,'Data shares'!$C:$FB,125)</f>
        <v>0.67</v>
      </c>
      <c r="Q49" s="50">
        <f>VLOOKUP($A49,'Data shares'!$C:$FB,127)*100</f>
        <v>-26.87</v>
      </c>
    </row>
    <row r="50" spans="1:17" x14ac:dyDescent="0.25">
      <c r="A50" s="97" t="str">
        <f>'Data Vlaue (Cr)'!C45</f>
        <v>CIPLA</v>
      </c>
      <c r="B50" s="140">
        <f>VLOOKUP($A50,'Data shares'!$C:$FB,7)</f>
        <v>1500.9</v>
      </c>
      <c r="C50" s="140">
        <f>VLOOKUP($A50,'Data shares'!$C:$FB,3)</f>
        <v>1510.2</v>
      </c>
      <c r="D50" s="140">
        <f>VLOOKUP($A50,'Data shares'!$C:$FB,4)</f>
        <v>1516.4</v>
      </c>
      <c r="E50" s="50">
        <f t="shared" si="0"/>
        <v>-0.40886309680823296</v>
      </c>
      <c r="F50" s="49">
        <f>VLOOKUP($A50,'Data shares'!$C:$FB,98)</f>
        <v>17350125</v>
      </c>
      <c r="G50" s="49">
        <f>VLOOKUP($A50,'Data shares'!$C:$FB,99)</f>
        <v>16910625</v>
      </c>
      <c r="H50" s="50">
        <f t="shared" si="1"/>
        <v>2.598957755848764</v>
      </c>
      <c r="I50" s="49">
        <f>VLOOKUP($A50,'Data shares'!$C:$FB,66)</f>
        <v>3487500</v>
      </c>
      <c r="J50" s="49">
        <f>VLOOKUP($A50,'Data shares'!$C:$FB,67)</f>
        <v>5670375</v>
      </c>
      <c r="K50" s="50">
        <f t="shared" si="2"/>
        <v>-62.591397849462361</v>
      </c>
      <c r="L50" s="50">
        <f>VLOOKUP($A50,'Data shares'!$C:$FB,118)</f>
        <v>0.85</v>
      </c>
      <c r="M50" s="50">
        <f>VLOOKUP($A50,'Data shares'!$C:$FB,119)</f>
        <v>0.82</v>
      </c>
      <c r="N50" s="50">
        <f>VLOOKUP($A50,'Data shares'!$C:$FB,121)*100</f>
        <v>3.66</v>
      </c>
      <c r="O50" s="50">
        <f>VLOOKUP($A50,'Data shares'!$C:$FB,124)</f>
        <v>0.73</v>
      </c>
      <c r="P50" s="50">
        <f>VLOOKUP($A50,'Data shares'!$C:$FB,125)</f>
        <v>0.52</v>
      </c>
      <c r="Q50" s="50">
        <f>VLOOKUP($A50,'Data shares'!$C:$FB,127)*100</f>
        <v>40.380000000000003</v>
      </c>
    </row>
    <row r="51" spans="1:17" x14ac:dyDescent="0.25">
      <c r="A51" s="97" t="str">
        <f>'Data Vlaue (Cr)'!C46</f>
        <v>COALINDIA</v>
      </c>
      <c r="B51" s="140">
        <f>VLOOKUP($A51,'Data shares'!$C:$FB,7)</f>
        <v>400.45</v>
      </c>
      <c r="C51" s="140">
        <f>VLOOKUP($A51,'Data shares'!$C:$FB,3)</f>
        <v>402.4</v>
      </c>
      <c r="D51" s="140">
        <f>VLOOKUP($A51,'Data shares'!$C:$FB,4)</f>
        <v>400.45</v>
      </c>
      <c r="E51" s="50">
        <f t="shared" si="0"/>
        <v>0.48695217879884845</v>
      </c>
      <c r="F51" s="49">
        <f>VLOOKUP($A51,'Data shares'!$C:$FB,98)</f>
        <v>108673650</v>
      </c>
      <c r="G51" s="49">
        <f>VLOOKUP($A51,'Data shares'!$C:$FB,99)</f>
        <v>106272000</v>
      </c>
      <c r="H51" s="50">
        <f t="shared" si="1"/>
        <v>2.2599085365853657</v>
      </c>
      <c r="I51" s="49">
        <f>VLOOKUP($A51,'Data shares'!$C:$FB,66)</f>
        <v>34635600</v>
      </c>
      <c r="J51" s="49">
        <f>VLOOKUP($A51,'Data shares'!$C:$FB,67)</f>
        <v>64978200</v>
      </c>
      <c r="K51" s="50">
        <f t="shared" si="2"/>
        <v>-87.605238540692227</v>
      </c>
      <c r="L51" s="50">
        <f>VLOOKUP($A51,'Data shares'!$C:$FB,118)</f>
        <v>0.56000000000000005</v>
      </c>
      <c r="M51" s="50">
        <f>VLOOKUP($A51,'Data shares'!$C:$FB,119)</f>
        <v>0.54</v>
      </c>
      <c r="N51" s="50">
        <f>VLOOKUP($A51,'Data shares'!$C:$FB,121)*100</f>
        <v>3.6999999999999997</v>
      </c>
      <c r="O51" s="50">
        <f>VLOOKUP($A51,'Data shares'!$C:$FB,124)</f>
        <v>0.36</v>
      </c>
      <c r="P51" s="50">
        <f>VLOOKUP($A51,'Data shares'!$C:$FB,125)</f>
        <v>0.36</v>
      </c>
      <c r="Q51" s="50">
        <f>VLOOKUP($A51,'Data shares'!$C:$FB,127)*100</f>
        <v>0</v>
      </c>
    </row>
    <row r="52" spans="1:17" x14ac:dyDescent="0.25">
      <c r="A52" s="97" t="str">
        <f>'Data Vlaue (Cr)'!C47</f>
        <v>COFORGE</v>
      </c>
      <c r="B52" s="140">
        <f>VLOOKUP($A52,'Data shares'!$C:$FB,7)</f>
        <v>1655.8</v>
      </c>
      <c r="C52" s="140">
        <f>VLOOKUP($A52,'Data shares'!$C:$FB,3)</f>
        <v>1667.2</v>
      </c>
      <c r="D52" s="140">
        <f>VLOOKUP($A52,'Data shares'!$C:$FB,4)</f>
        <v>1669</v>
      </c>
      <c r="E52" s="50">
        <f t="shared" si="0"/>
        <v>-0.10784901138405958</v>
      </c>
      <c r="F52" s="49">
        <f>VLOOKUP($A52,'Data shares'!$C:$FB,98)</f>
        <v>32110875</v>
      </c>
      <c r="G52" s="49">
        <f>VLOOKUP($A52,'Data shares'!$C:$FB,99)</f>
        <v>31625250</v>
      </c>
      <c r="H52" s="50">
        <f t="shared" si="1"/>
        <v>1.5355609837076387</v>
      </c>
      <c r="I52" s="49">
        <f>VLOOKUP($A52,'Data shares'!$C:$FB,66)</f>
        <v>7496250</v>
      </c>
      <c r="J52" s="49">
        <f>VLOOKUP($A52,'Data shares'!$C:$FB,67)</f>
        <v>14614500</v>
      </c>
      <c r="K52" s="50">
        <f t="shared" si="2"/>
        <v>-94.957478739369677</v>
      </c>
      <c r="L52" s="50">
        <f>VLOOKUP($A52,'Data shares'!$C:$FB,118)</f>
        <v>0.5</v>
      </c>
      <c r="M52" s="50">
        <f>VLOOKUP($A52,'Data shares'!$C:$FB,119)</f>
        <v>0.51</v>
      </c>
      <c r="N52" s="50">
        <f>VLOOKUP($A52,'Data shares'!$C:$FB,121)*100</f>
        <v>-1.96</v>
      </c>
      <c r="O52" s="50">
        <f>VLOOKUP($A52,'Data shares'!$C:$FB,124)</f>
        <v>0.39</v>
      </c>
      <c r="P52" s="50">
        <f>VLOOKUP($A52,'Data shares'!$C:$FB,125)</f>
        <v>0.44</v>
      </c>
      <c r="Q52" s="50">
        <f>VLOOKUP($A52,'Data shares'!$C:$FB,127)*100</f>
        <v>-11.360000000000001</v>
      </c>
    </row>
    <row r="53" spans="1:17" x14ac:dyDescent="0.25">
      <c r="A53" s="97" t="str">
        <f>'Data Vlaue (Cr)'!C48</f>
        <v>COLPAL</v>
      </c>
      <c r="B53" s="140">
        <f>VLOOKUP($A53,'Data shares'!$C:$FB,7)</f>
        <v>2093.8000000000002</v>
      </c>
      <c r="C53" s="140">
        <f>VLOOKUP($A53,'Data shares'!$C:$FB,3)</f>
        <v>2098.6999999999998</v>
      </c>
      <c r="D53" s="140">
        <f>VLOOKUP($A53,'Data shares'!$C:$FB,4)</f>
        <v>2089.3000000000002</v>
      </c>
      <c r="E53" s="50">
        <f t="shared" si="0"/>
        <v>0.44991145359688106</v>
      </c>
      <c r="F53" s="49">
        <f>VLOOKUP($A53,'Data shares'!$C:$FB,98)</f>
        <v>9200025</v>
      </c>
      <c r="G53" s="49">
        <f>VLOOKUP($A53,'Data shares'!$C:$FB,99)</f>
        <v>9041625</v>
      </c>
      <c r="H53" s="50">
        <f t="shared" si="1"/>
        <v>1.7518974741819089</v>
      </c>
      <c r="I53" s="49">
        <f>VLOOKUP($A53,'Data shares'!$C:$FB,66)</f>
        <v>1922175</v>
      </c>
      <c r="J53" s="49">
        <f>VLOOKUP($A53,'Data shares'!$C:$FB,67)</f>
        <v>2385450</v>
      </c>
      <c r="K53" s="50">
        <f t="shared" si="2"/>
        <v>-24.101603652112839</v>
      </c>
      <c r="L53" s="50">
        <f>VLOOKUP($A53,'Data shares'!$C:$FB,118)</f>
        <v>1.02</v>
      </c>
      <c r="M53" s="50">
        <f>VLOOKUP($A53,'Data shares'!$C:$FB,119)</f>
        <v>1.08</v>
      </c>
      <c r="N53" s="50">
        <f>VLOOKUP($A53,'Data shares'!$C:$FB,121)*100</f>
        <v>-5.56</v>
      </c>
      <c r="O53" s="50">
        <f>VLOOKUP($A53,'Data shares'!$C:$FB,124)</f>
        <v>0.45</v>
      </c>
      <c r="P53" s="50">
        <f>VLOOKUP($A53,'Data shares'!$C:$FB,125)</f>
        <v>0.45</v>
      </c>
      <c r="Q53" s="50">
        <f>VLOOKUP($A53,'Data shares'!$C:$FB,127)*100</f>
        <v>0</v>
      </c>
    </row>
    <row r="54" spans="1:17" x14ac:dyDescent="0.25">
      <c r="A54" s="97" t="str">
        <f>'Data Vlaue (Cr)'!C49</f>
        <v>CONCOR</v>
      </c>
      <c r="B54" s="140">
        <f>VLOOKUP($A54,'Data shares'!$C:$FB,7)</f>
        <v>524.25</v>
      </c>
      <c r="C54" s="140">
        <f>VLOOKUP($A54,'Data shares'!$C:$FB,3)</f>
        <v>527</v>
      </c>
      <c r="D54" s="140">
        <f>VLOOKUP($A54,'Data shares'!$C:$FB,4)</f>
        <v>526.85</v>
      </c>
      <c r="E54" s="50">
        <f t="shared" si="0"/>
        <v>2.8471101831636567E-2</v>
      </c>
      <c r="F54" s="49">
        <f>VLOOKUP($A54,'Data shares'!$C:$FB,98)</f>
        <v>55700000</v>
      </c>
      <c r="G54" s="49">
        <f>VLOOKUP($A54,'Data shares'!$C:$FB,99)</f>
        <v>55068750</v>
      </c>
      <c r="H54" s="50">
        <f t="shared" si="1"/>
        <v>1.146294404721371</v>
      </c>
      <c r="I54" s="49">
        <f>VLOOKUP($A54,'Data shares'!$C:$FB,66)</f>
        <v>8643750</v>
      </c>
      <c r="J54" s="49">
        <f>VLOOKUP($A54,'Data shares'!$C:$FB,67)</f>
        <v>20785000</v>
      </c>
      <c r="K54" s="50">
        <f t="shared" si="2"/>
        <v>-140.46276211135213</v>
      </c>
      <c r="L54" s="50">
        <f>VLOOKUP($A54,'Data shares'!$C:$FB,118)</f>
        <v>0.7</v>
      </c>
      <c r="M54" s="50">
        <f>VLOOKUP($A54,'Data shares'!$C:$FB,119)</f>
        <v>0.7</v>
      </c>
      <c r="N54" s="50">
        <f>VLOOKUP($A54,'Data shares'!$C:$FB,121)*100</f>
        <v>0</v>
      </c>
      <c r="O54" s="50">
        <f>VLOOKUP($A54,'Data shares'!$C:$FB,124)</f>
        <v>0.25</v>
      </c>
      <c r="P54" s="50">
        <f>VLOOKUP($A54,'Data shares'!$C:$FB,125)</f>
        <v>0.24</v>
      </c>
      <c r="Q54" s="50">
        <f>VLOOKUP($A54,'Data shares'!$C:$FB,127)*100</f>
        <v>4.17</v>
      </c>
    </row>
    <row r="55" spans="1:17" x14ac:dyDescent="0.25">
      <c r="A55" s="97" t="str">
        <f>'Data Vlaue (Cr)'!C50</f>
        <v>CROMPTON</v>
      </c>
      <c r="B55" s="140">
        <f>VLOOKUP($A55,'Data shares'!$C:$FB,7)</f>
        <v>249.25</v>
      </c>
      <c r="C55" s="140">
        <f>VLOOKUP($A55,'Data shares'!$C:$FB,3)</f>
        <v>250.85</v>
      </c>
      <c r="D55" s="140">
        <f>VLOOKUP($A55,'Data shares'!$C:$FB,4)</f>
        <v>254.05</v>
      </c>
      <c r="E55" s="50">
        <f t="shared" si="0"/>
        <v>-1.2595945679984322</v>
      </c>
      <c r="F55" s="49">
        <f>VLOOKUP($A55,'Data shares'!$C:$FB,98)</f>
        <v>77038200</v>
      </c>
      <c r="G55" s="49">
        <f>VLOOKUP($A55,'Data shares'!$C:$FB,99)</f>
        <v>76302000</v>
      </c>
      <c r="H55" s="50">
        <f t="shared" si="1"/>
        <v>0.9648502005189904</v>
      </c>
      <c r="I55" s="49">
        <f>VLOOKUP($A55,'Data shares'!$C:$FB,66)</f>
        <v>8616600</v>
      </c>
      <c r="J55" s="49">
        <f>VLOOKUP($A55,'Data shares'!$C:$FB,67)</f>
        <v>27480600</v>
      </c>
      <c r="K55" s="50">
        <f t="shared" si="2"/>
        <v>-218.92625861708797</v>
      </c>
      <c r="L55" s="50">
        <f>VLOOKUP($A55,'Data shares'!$C:$FB,118)</f>
        <v>0.67</v>
      </c>
      <c r="M55" s="50">
        <f>VLOOKUP($A55,'Data shares'!$C:$FB,119)</f>
        <v>0.72</v>
      </c>
      <c r="N55" s="50">
        <f>VLOOKUP($A55,'Data shares'!$C:$FB,121)*100</f>
        <v>-6.94</v>
      </c>
      <c r="O55" s="50">
        <f>VLOOKUP($A55,'Data shares'!$C:$FB,124)</f>
        <v>0.28999999999999998</v>
      </c>
      <c r="P55" s="50">
        <f>VLOOKUP($A55,'Data shares'!$C:$FB,125)</f>
        <v>0.48</v>
      </c>
      <c r="Q55" s="50">
        <f>VLOOKUP($A55,'Data shares'!$C:$FB,127)*100</f>
        <v>-39.58</v>
      </c>
    </row>
    <row r="56" spans="1:17" x14ac:dyDescent="0.25">
      <c r="A56" s="97" t="str">
        <f>'Data Vlaue (Cr)'!C51</f>
        <v>CUMMINSIND</v>
      </c>
      <c r="B56" s="140">
        <f>VLOOKUP($A56,'Data shares'!$C:$FB,7)</f>
        <v>4470.6000000000004</v>
      </c>
      <c r="C56" s="140">
        <f>VLOOKUP($A56,'Data shares'!$C:$FB,3)</f>
        <v>4495.3</v>
      </c>
      <c r="D56" s="140">
        <f>VLOOKUP($A56,'Data shares'!$C:$FB,4)</f>
        <v>4444.6000000000004</v>
      </c>
      <c r="E56" s="50">
        <f t="shared" si="0"/>
        <v>1.1407100751473656</v>
      </c>
      <c r="F56" s="49">
        <f>VLOOKUP($A56,'Data shares'!$C:$FB,98)</f>
        <v>4276200</v>
      </c>
      <c r="G56" s="49">
        <f>VLOOKUP($A56,'Data shares'!$C:$FB,99)</f>
        <v>4133200</v>
      </c>
      <c r="H56" s="50">
        <f t="shared" si="1"/>
        <v>3.4597890254524337</v>
      </c>
      <c r="I56" s="49">
        <f>VLOOKUP($A56,'Data shares'!$C:$FB,66)</f>
        <v>2237400</v>
      </c>
      <c r="J56" s="49">
        <f>VLOOKUP($A56,'Data shares'!$C:$FB,67)</f>
        <v>2304400</v>
      </c>
      <c r="K56" s="50">
        <f t="shared" si="2"/>
        <v>-2.9945472423348529</v>
      </c>
      <c r="L56" s="50">
        <f>VLOOKUP($A56,'Data shares'!$C:$FB,118)</f>
        <v>0.78</v>
      </c>
      <c r="M56" s="50">
        <f>VLOOKUP($A56,'Data shares'!$C:$FB,119)</f>
        <v>0.82</v>
      </c>
      <c r="N56" s="50">
        <f>VLOOKUP($A56,'Data shares'!$C:$FB,121)*100</f>
        <v>-4.88</v>
      </c>
      <c r="O56" s="50">
        <f>VLOOKUP($A56,'Data shares'!$C:$FB,124)</f>
        <v>0.37</v>
      </c>
      <c r="P56" s="50">
        <f>VLOOKUP($A56,'Data shares'!$C:$FB,125)</f>
        <v>0.69</v>
      </c>
      <c r="Q56" s="50">
        <f>VLOOKUP($A56,'Data shares'!$C:$FB,127)*100</f>
        <v>-46.379999999999995</v>
      </c>
    </row>
    <row r="57" spans="1:17" x14ac:dyDescent="0.25">
      <c r="A57" s="97" t="str">
        <f>'Data Vlaue (Cr)'!C52</f>
        <v>DABUR</v>
      </c>
      <c r="B57" s="140">
        <f>VLOOKUP($A57,'Data shares'!$C:$FB,7)</f>
        <v>499.95</v>
      </c>
      <c r="C57" s="140">
        <f>VLOOKUP($A57,'Data shares'!$C:$FB,3)</f>
        <v>503.3</v>
      </c>
      <c r="D57" s="140">
        <f>VLOOKUP($A57,'Data shares'!$C:$FB,4)</f>
        <v>506.85</v>
      </c>
      <c r="E57" s="50">
        <f t="shared" si="0"/>
        <v>-0.7004044589128956</v>
      </c>
      <c r="F57" s="49">
        <f>VLOOKUP($A57,'Data shares'!$C:$FB,98)</f>
        <v>36821250</v>
      </c>
      <c r="G57" s="49">
        <f>VLOOKUP($A57,'Data shares'!$C:$FB,99)</f>
        <v>35078750</v>
      </c>
      <c r="H57" s="50">
        <f t="shared" si="1"/>
        <v>4.9673947902932687</v>
      </c>
      <c r="I57" s="49">
        <f>VLOOKUP($A57,'Data shares'!$C:$FB,66)</f>
        <v>10576250</v>
      </c>
      <c r="J57" s="49">
        <f>VLOOKUP($A57,'Data shares'!$C:$FB,67)</f>
        <v>45187500</v>
      </c>
      <c r="K57" s="50">
        <f t="shared" si="2"/>
        <v>-327.25446164755942</v>
      </c>
      <c r="L57" s="50">
        <f>VLOOKUP($A57,'Data shares'!$C:$FB,118)</f>
        <v>0.64</v>
      </c>
      <c r="M57" s="50">
        <f>VLOOKUP($A57,'Data shares'!$C:$FB,119)</f>
        <v>0.66</v>
      </c>
      <c r="N57" s="50">
        <f>VLOOKUP($A57,'Data shares'!$C:$FB,121)*100</f>
        <v>-3.0300000000000002</v>
      </c>
      <c r="O57" s="50">
        <f>VLOOKUP($A57,'Data shares'!$C:$FB,124)</f>
        <v>0.53</v>
      </c>
      <c r="P57" s="50">
        <f>VLOOKUP($A57,'Data shares'!$C:$FB,125)</f>
        <v>0.45</v>
      </c>
      <c r="Q57" s="50">
        <f>VLOOKUP($A57,'Data shares'!$C:$FB,127)*100</f>
        <v>17.78</v>
      </c>
    </row>
    <row r="58" spans="1:17" x14ac:dyDescent="0.25">
      <c r="A58" s="97" t="str">
        <f>'Data Vlaue (Cr)'!C53</f>
        <v>DALBHARAT</v>
      </c>
      <c r="B58" s="140">
        <f>VLOOKUP($A58,'Data shares'!$C:$FB,7)</f>
        <v>2136.1999999999998</v>
      </c>
      <c r="C58" s="140">
        <f>VLOOKUP($A58,'Data shares'!$C:$FB,3)</f>
        <v>2150.4</v>
      </c>
      <c r="D58" s="140">
        <f>VLOOKUP($A58,'Data shares'!$C:$FB,4)</f>
        <v>2147.1</v>
      </c>
      <c r="E58" s="50">
        <f t="shared" si="0"/>
        <v>0.15369568254856233</v>
      </c>
      <c r="F58" s="49">
        <f>VLOOKUP($A58,'Data shares'!$C:$FB,98)</f>
        <v>3839550</v>
      </c>
      <c r="G58" s="49">
        <f>VLOOKUP($A58,'Data shares'!$C:$FB,99)</f>
        <v>3756675</v>
      </c>
      <c r="H58" s="50">
        <f t="shared" si="1"/>
        <v>2.2060731897222943</v>
      </c>
      <c r="I58" s="49">
        <f>VLOOKUP($A58,'Data shares'!$C:$FB,66)</f>
        <v>1115725</v>
      </c>
      <c r="J58" s="49">
        <f>VLOOKUP($A58,'Data shares'!$C:$FB,67)</f>
        <v>938925</v>
      </c>
      <c r="K58" s="50">
        <f t="shared" si="2"/>
        <v>15.846198660064085</v>
      </c>
      <c r="L58" s="50">
        <f>VLOOKUP($A58,'Data shares'!$C:$FB,118)</f>
        <v>0.59</v>
      </c>
      <c r="M58" s="50">
        <f>VLOOKUP($A58,'Data shares'!$C:$FB,119)</f>
        <v>0.61</v>
      </c>
      <c r="N58" s="50">
        <f>VLOOKUP($A58,'Data shares'!$C:$FB,121)*100</f>
        <v>-3.2800000000000002</v>
      </c>
      <c r="O58" s="50">
        <f>VLOOKUP($A58,'Data shares'!$C:$FB,124)</f>
        <v>0.26</v>
      </c>
      <c r="P58" s="50">
        <f>VLOOKUP($A58,'Data shares'!$C:$FB,125)</f>
        <v>0.56000000000000005</v>
      </c>
      <c r="Q58" s="50">
        <f>VLOOKUP($A58,'Data shares'!$C:$FB,127)*100</f>
        <v>-53.569999999999993</v>
      </c>
    </row>
    <row r="59" spans="1:17" x14ac:dyDescent="0.25">
      <c r="A59" s="97" t="str">
        <f>'Data Vlaue (Cr)'!C54</f>
        <v>DELHIVERY</v>
      </c>
      <c r="B59" s="140">
        <f>VLOOKUP($A59,'Data shares'!$C:$FB,7)</f>
        <v>400.6</v>
      </c>
      <c r="C59" s="140">
        <f>VLOOKUP($A59,'Data shares'!$C:$FB,3)</f>
        <v>403.3</v>
      </c>
      <c r="D59" s="140">
        <f>VLOOKUP($A59,'Data shares'!$C:$FB,4)</f>
        <v>406.15</v>
      </c>
      <c r="E59" s="50">
        <f t="shared" si="0"/>
        <v>-0.70171119044687091</v>
      </c>
      <c r="F59" s="49">
        <f>VLOOKUP($A59,'Data shares'!$C:$FB,98)</f>
        <v>23080225</v>
      </c>
      <c r="G59" s="49">
        <f>VLOOKUP($A59,'Data shares'!$C:$FB,99)</f>
        <v>22484700</v>
      </c>
      <c r="H59" s="50">
        <f t="shared" si="1"/>
        <v>2.648578811369509</v>
      </c>
      <c r="I59" s="49">
        <f>VLOOKUP($A59,'Data shares'!$C:$FB,66)</f>
        <v>4473700</v>
      </c>
      <c r="J59" s="49">
        <f>VLOOKUP($A59,'Data shares'!$C:$FB,67)</f>
        <v>8246050</v>
      </c>
      <c r="K59" s="50">
        <f t="shared" si="2"/>
        <v>-84.322820037105757</v>
      </c>
      <c r="L59" s="50">
        <f>VLOOKUP($A59,'Data shares'!$C:$FB,118)</f>
        <v>0.9</v>
      </c>
      <c r="M59" s="50">
        <f>VLOOKUP($A59,'Data shares'!$C:$FB,119)</f>
        <v>0.96</v>
      </c>
      <c r="N59" s="50">
        <f>VLOOKUP($A59,'Data shares'!$C:$FB,121)*100</f>
        <v>-6.25</v>
      </c>
      <c r="O59" s="50">
        <f>VLOOKUP($A59,'Data shares'!$C:$FB,124)</f>
        <v>0.41</v>
      </c>
      <c r="P59" s="50">
        <f>VLOOKUP($A59,'Data shares'!$C:$FB,125)</f>
        <v>0.55000000000000004</v>
      </c>
      <c r="Q59" s="50">
        <f>VLOOKUP($A59,'Data shares'!$C:$FB,127)*100</f>
        <v>-25.45</v>
      </c>
    </row>
    <row r="60" spans="1:17" x14ac:dyDescent="0.25">
      <c r="A60" s="97" t="str">
        <f>'Data Vlaue (Cr)'!C55</f>
        <v>DIVISLAB</v>
      </c>
      <c r="B60" s="140">
        <f>VLOOKUP($A60,'Data shares'!$C:$FB,7)</f>
        <v>6344</v>
      </c>
      <c r="C60" s="140">
        <f>VLOOKUP($A60,'Data shares'!$C:$FB,3)</f>
        <v>6385</v>
      </c>
      <c r="D60" s="140">
        <f>VLOOKUP($A60,'Data shares'!$C:$FB,4)</f>
        <v>6428</v>
      </c>
      <c r="E60" s="50">
        <f t="shared" si="0"/>
        <v>-0.6689483509645302</v>
      </c>
      <c r="F60" s="49">
        <f>VLOOKUP($A60,'Data shares'!$C:$FB,98)</f>
        <v>4223100</v>
      </c>
      <c r="G60" s="49">
        <f>VLOOKUP($A60,'Data shares'!$C:$FB,99)</f>
        <v>4045400</v>
      </c>
      <c r="H60" s="50">
        <f t="shared" si="1"/>
        <v>4.3926434963168042</v>
      </c>
      <c r="I60" s="49">
        <f>VLOOKUP($A60,'Data shares'!$C:$FB,66)</f>
        <v>1037700</v>
      </c>
      <c r="J60" s="49">
        <f>VLOOKUP($A60,'Data shares'!$C:$FB,67)</f>
        <v>1681900</v>
      </c>
      <c r="K60" s="50">
        <f t="shared" si="2"/>
        <v>-62.079599113423924</v>
      </c>
      <c r="L60" s="50">
        <f>VLOOKUP($A60,'Data shares'!$C:$FB,118)</f>
        <v>0.56999999999999995</v>
      </c>
      <c r="M60" s="50">
        <f>VLOOKUP($A60,'Data shares'!$C:$FB,119)</f>
        <v>0.64</v>
      </c>
      <c r="N60" s="50">
        <f>VLOOKUP($A60,'Data shares'!$C:$FB,121)*100</f>
        <v>-10.94</v>
      </c>
      <c r="O60" s="50">
        <f>VLOOKUP($A60,'Data shares'!$C:$FB,124)</f>
        <v>0.49</v>
      </c>
      <c r="P60" s="50">
        <f>VLOOKUP($A60,'Data shares'!$C:$FB,125)</f>
        <v>0.57999999999999996</v>
      </c>
      <c r="Q60" s="50">
        <f>VLOOKUP($A60,'Data shares'!$C:$FB,127)*100</f>
        <v>-15.52</v>
      </c>
    </row>
    <row r="61" spans="1:17" x14ac:dyDescent="0.25">
      <c r="A61" s="97" t="str">
        <f>'Data Vlaue (Cr)'!C56</f>
        <v>DIXON</v>
      </c>
      <c r="B61" s="140">
        <f>VLOOKUP($A61,'Data shares'!$C:$FB,7)</f>
        <v>12091</v>
      </c>
      <c r="C61" s="140">
        <f>VLOOKUP($A61,'Data shares'!$C:$FB,3)</f>
        <v>12184</v>
      </c>
      <c r="D61" s="140">
        <f>VLOOKUP($A61,'Data shares'!$C:$FB,4)</f>
        <v>12150</v>
      </c>
      <c r="E61" s="50">
        <f t="shared" si="0"/>
        <v>0.27983539094650206</v>
      </c>
      <c r="F61" s="49">
        <f>VLOOKUP($A61,'Data shares'!$C:$FB,98)</f>
        <v>6563950</v>
      </c>
      <c r="G61" s="49">
        <f>VLOOKUP($A61,'Data shares'!$C:$FB,99)</f>
        <v>6428450</v>
      </c>
      <c r="H61" s="50">
        <f t="shared" si="1"/>
        <v>2.1078175921100732</v>
      </c>
      <c r="I61" s="49">
        <f>VLOOKUP($A61,'Data shares'!$C:$FB,66)</f>
        <v>7052400</v>
      </c>
      <c r="J61" s="49">
        <f>VLOOKUP($A61,'Data shares'!$C:$FB,67)</f>
        <v>9622550</v>
      </c>
      <c r="K61" s="50">
        <f t="shared" si="2"/>
        <v>-36.443622029380066</v>
      </c>
      <c r="L61" s="50">
        <f>VLOOKUP($A61,'Data shares'!$C:$FB,118)</f>
        <v>0.65</v>
      </c>
      <c r="M61" s="50">
        <f>VLOOKUP($A61,'Data shares'!$C:$FB,119)</f>
        <v>0.63</v>
      </c>
      <c r="N61" s="50">
        <f>VLOOKUP($A61,'Data shares'!$C:$FB,121)*100</f>
        <v>3.17</v>
      </c>
      <c r="O61" s="50">
        <f>VLOOKUP($A61,'Data shares'!$C:$FB,124)</f>
        <v>0.61</v>
      </c>
      <c r="P61" s="50">
        <f>VLOOKUP($A61,'Data shares'!$C:$FB,125)</f>
        <v>0.61</v>
      </c>
      <c r="Q61" s="50">
        <f>VLOOKUP($A61,'Data shares'!$C:$FB,127)*100</f>
        <v>0</v>
      </c>
    </row>
    <row r="62" spans="1:17" x14ac:dyDescent="0.25">
      <c r="A62" s="97" t="str">
        <f>'Data Vlaue (Cr)'!C57</f>
        <v>DLF</v>
      </c>
      <c r="B62" s="140">
        <f>VLOOKUP($A62,'Data shares'!$C:$FB,7)</f>
        <v>691.4</v>
      </c>
      <c r="C62" s="140">
        <f>VLOOKUP($A62,'Data shares'!$C:$FB,3)</f>
        <v>695.45</v>
      </c>
      <c r="D62" s="140">
        <f>VLOOKUP($A62,'Data shares'!$C:$FB,4)</f>
        <v>691.8</v>
      </c>
      <c r="E62" s="50">
        <f t="shared" si="0"/>
        <v>0.52760913558833356</v>
      </c>
      <c r="F62" s="49">
        <f>VLOOKUP($A62,'Data shares'!$C:$FB,98)</f>
        <v>66320925</v>
      </c>
      <c r="G62" s="49">
        <f>VLOOKUP($A62,'Data shares'!$C:$FB,99)</f>
        <v>65297925</v>
      </c>
      <c r="H62" s="50">
        <f t="shared" si="1"/>
        <v>1.5666654032268252</v>
      </c>
      <c r="I62" s="49">
        <f>VLOOKUP($A62,'Data shares'!$C:$FB,66)</f>
        <v>18671400</v>
      </c>
      <c r="J62" s="49">
        <f>VLOOKUP($A62,'Data shares'!$C:$FB,67)</f>
        <v>19975725</v>
      </c>
      <c r="K62" s="50">
        <f t="shared" si="2"/>
        <v>-6.9856839872746557</v>
      </c>
      <c r="L62" s="50">
        <f>VLOOKUP($A62,'Data shares'!$C:$FB,118)</f>
        <v>0.85</v>
      </c>
      <c r="M62" s="50">
        <f>VLOOKUP($A62,'Data shares'!$C:$FB,119)</f>
        <v>0.88</v>
      </c>
      <c r="N62" s="50">
        <f>VLOOKUP($A62,'Data shares'!$C:$FB,121)*100</f>
        <v>-3.4099999999999997</v>
      </c>
      <c r="O62" s="50">
        <f>VLOOKUP($A62,'Data shares'!$C:$FB,124)</f>
        <v>0.56000000000000005</v>
      </c>
      <c r="P62" s="50">
        <f>VLOOKUP($A62,'Data shares'!$C:$FB,125)</f>
        <v>0.44</v>
      </c>
      <c r="Q62" s="50">
        <f>VLOOKUP($A62,'Data shares'!$C:$FB,127)*100</f>
        <v>27.27</v>
      </c>
    </row>
    <row r="63" spans="1:17" x14ac:dyDescent="0.25">
      <c r="A63" s="97" t="str">
        <f>'Data Vlaue (Cr)'!C58</f>
        <v>DMART</v>
      </c>
      <c r="B63" s="140">
        <f>VLOOKUP($A63,'Data shares'!$C:$FB,7)</f>
        <v>3716.1</v>
      </c>
      <c r="C63" s="140">
        <f>VLOOKUP($A63,'Data shares'!$C:$FB,3)</f>
        <v>3714.2</v>
      </c>
      <c r="D63" s="140">
        <f>VLOOKUP($A63,'Data shares'!$C:$FB,4)</f>
        <v>3796.2</v>
      </c>
      <c r="E63" s="50">
        <f t="shared" si="0"/>
        <v>-2.1600547916337391</v>
      </c>
      <c r="F63" s="49">
        <f>VLOOKUP($A63,'Data shares'!$C:$FB,98)</f>
        <v>7528500</v>
      </c>
      <c r="G63" s="49">
        <f>VLOOKUP($A63,'Data shares'!$C:$FB,99)</f>
        <v>6928950</v>
      </c>
      <c r="H63" s="50">
        <f t="shared" si="1"/>
        <v>8.6528261857857256</v>
      </c>
      <c r="I63" s="49">
        <f>VLOOKUP($A63,'Data shares'!$C:$FB,66)</f>
        <v>3236250</v>
      </c>
      <c r="J63" s="49">
        <f>VLOOKUP($A63,'Data shares'!$C:$FB,67)</f>
        <v>2754900</v>
      </c>
      <c r="K63" s="50">
        <f t="shared" si="2"/>
        <v>14.873696407879491</v>
      </c>
      <c r="L63" s="50">
        <f>VLOOKUP($A63,'Data shares'!$C:$FB,118)</f>
        <v>0.82</v>
      </c>
      <c r="M63" s="50">
        <f>VLOOKUP($A63,'Data shares'!$C:$FB,119)</f>
        <v>0.85</v>
      </c>
      <c r="N63" s="50">
        <f>VLOOKUP($A63,'Data shares'!$C:$FB,121)*100</f>
        <v>-3.53</v>
      </c>
      <c r="O63" s="50">
        <f>VLOOKUP($A63,'Data shares'!$C:$FB,124)</f>
        <v>0.74</v>
      </c>
      <c r="P63" s="50">
        <f>VLOOKUP($A63,'Data shares'!$C:$FB,125)</f>
        <v>0.52</v>
      </c>
      <c r="Q63" s="50">
        <f>VLOOKUP($A63,'Data shares'!$C:$FB,127)*100</f>
        <v>42.309999999999995</v>
      </c>
    </row>
    <row r="64" spans="1:17" x14ac:dyDescent="0.25">
      <c r="A64" s="97" t="str">
        <f>'Data Vlaue (Cr)'!C59</f>
        <v>DRREDDY</v>
      </c>
      <c r="B64" s="140">
        <f>VLOOKUP($A64,'Data shares'!$C:$FB,7)</f>
        <v>1253.4000000000001</v>
      </c>
      <c r="C64" s="140">
        <f>VLOOKUP($A64,'Data shares'!$C:$FB,3)</f>
        <v>1254.5999999999999</v>
      </c>
      <c r="D64" s="140">
        <f>VLOOKUP($A64,'Data shares'!$C:$FB,4)</f>
        <v>1273.7</v>
      </c>
      <c r="E64" s="50">
        <f t="shared" si="0"/>
        <v>-1.4995681871712441</v>
      </c>
      <c r="F64" s="49">
        <f>VLOOKUP($A64,'Data shares'!$C:$FB,98)</f>
        <v>18085000</v>
      </c>
      <c r="G64" s="49">
        <f>VLOOKUP($A64,'Data shares'!$C:$FB,99)</f>
        <v>16027500</v>
      </c>
      <c r="H64" s="50">
        <f t="shared" si="1"/>
        <v>12.837310871938856</v>
      </c>
      <c r="I64" s="49">
        <f>VLOOKUP($A64,'Data shares'!$C:$FB,66)</f>
        <v>9770625</v>
      </c>
      <c r="J64" s="49">
        <f>VLOOKUP($A64,'Data shares'!$C:$FB,67)</f>
        <v>5297500</v>
      </c>
      <c r="K64" s="50">
        <f t="shared" si="2"/>
        <v>45.781359943708821</v>
      </c>
      <c r="L64" s="50">
        <f>VLOOKUP($A64,'Data shares'!$C:$FB,118)</f>
        <v>0.56999999999999995</v>
      </c>
      <c r="M64" s="50">
        <f>VLOOKUP($A64,'Data shares'!$C:$FB,119)</f>
        <v>0.61</v>
      </c>
      <c r="N64" s="50">
        <f>VLOOKUP($A64,'Data shares'!$C:$FB,121)*100</f>
        <v>-6.5600000000000005</v>
      </c>
      <c r="O64" s="50">
        <f>VLOOKUP($A64,'Data shares'!$C:$FB,124)</f>
        <v>0.88</v>
      </c>
      <c r="P64" s="50">
        <f>VLOOKUP($A64,'Data shares'!$C:$FB,125)</f>
        <v>0.46</v>
      </c>
      <c r="Q64" s="50">
        <f>VLOOKUP($A64,'Data shares'!$C:$FB,127)*100</f>
        <v>91.3</v>
      </c>
    </row>
    <row r="65" spans="1:17" x14ac:dyDescent="0.25">
      <c r="A65" s="97" t="str">
        <f>'Data Vlaue (Cr)'!C60</f>
        <v>EICHERMOT</v>
      </c>
      <c r="B65" s="140">
        <f>VLOOKUP($A65,'Data shares'!$C:$FB,7)</f>
        <v>7348</v>
      </c>
      <c r="C65" s="140">
        <f>VLOOKUP($A65,'Data shares'!$C:$FB,3)</f>
        <v>7381.5</v>
      </c>
      <c r="D65" s="140">
        <f>VLOOKUP($A65,'Data shares'!$C:$FB,4)</f>
        <v>7341</v>
      </c>
      <c r="E65" s="50">
        <f t="shared" si="0"/>
        <v>0.55169595422966899</v>
      </c>
      <c r="F65" s="49">
        <f>VLOOKUP($A65,'Data shares'!$C:$FB,98)</f>
        <v>4813000</v>
      </c>
      <c r="G65" s="49">
        <f>VLOOKUP($A65,'Data shares'!$C:$FB,99)</f>
        <v>4649600</v>
      </c>
      <c r="H65" s="50">
        <f t="shared" si="1"/>
        <v>3.5142807983482451</v>
      </c>
      <c r="I65" s="49">
        <f>VLOOKUP($A65,'Data shares'!$C:$FB,66)</f>
        <v>3473500</v>
      </c>
      <c r="J65" s="49">
        <f>VLOOKUP($A65,'Data shares'!$C:$FB,67)</f>
        <v>4121900</v>
      </c>
      <c r="K65" s="50">
        <f t="shared" si="2"/>
        <v>-18.667050525406651</v>
      </c>
      <c r="L65" s="50">
        <f>VLOOKUP($A65,'Data shares'!$C:$FB,118)</f>
        <v>0.85</v>
      </c>
      <c r="M65" s="50">
        <f>VLOOKUP($A65,'Data shares'!$C:$FB,119)</f>
        <v>0.81</v>
      </c>
      <c r="N65" s="50">
        <f>VLOOKUP($A65,'Data shares'!$C:$FB,121)*100</f>
        <v>4.9399999999999995</v>
      </c>
      <c r="O65" s="50">
        <f>VLOOKUP($A65,'Data shares'!$C:$FB,124)</f>
        <v>0.47</v>
      </c>
      <c r="P65" s="50">
        <f>VLOOKUP($A65,'Data shares'!$C:$FB,125)</f>
        <v>0.42</v>
      </c>
      <c r="Q65" s="50">
        <f>VLOOKUP($A65,'Data shares'!$C:$FB,127)*100</f>
        <v>11.899999999999999</v>
      </c>
    </row>
    <row r="66" spans="1:17" x14ac:dyDescent="0.25">
      <c r="A66" s="97" t="str">
        <f>'Data Vlaue (Cr)'!C61</f>
        <v>ETERNAL</v>
      </c>
      <c r="B66" s="140">
        <f>VLOOKUP($A66,'Data shares'!$C:$FB,7)</f>
        <v>283.8</v>
      </c>
      <c r="C66" s="140">
        <f>VLOOKUP($A66,'Data shares'!$C:$FB,3)</f>
        <v>284.89999999999998</v>
      </c>
      <c r="D66" s="140">
        <f>VLOOKUP($A66,'Data shares'!$C:$FB,4)</f>
        <v>279.8</v>
      </c>
      <c r="E66" s="50">
        <f t="shared" si="0"/>
        <v>1.8227305218012742</v>
      </c>
      <c r="F66" s="49">
        <f>VLOOKUP($A66,'Data shares'!$C:$FB,98)</f>
        <v>349847475</v>
      </c>
      <c r="G66" s="49">
        <f>VLOOKUP($A66,'Data shares'!$C:$FB,99)</f>
        <v>347085400</v>
      </c>
      <c r="H66" s="50">
        <f t="shared" si="1"/>
        <v>0.79579117992286619</v>
      </c>
      <c r="I66" s="49">
        <f>VLOOKUP($A66,'Data shares'!$C:$FB,66)</f>
        <v>82748275</v>
      </c>
      <c r="J66" s="49">
        <f>VLOOKUP($A66,'Data shares'!$C:$FB,67)</f>
        <v>88265150</v>
      </c>
      <c r="K66" s="50">
        <f t="shared" si="2"/>
        <v>-6.6670574099580922</v>
      </c>
      <c r="L66" s="50">
        <f>VLOOKUP($A66,'Data shares'!$C:$FB,118)</f>
        <v>0.88</v>
      </c>
      <c r="M66" s="50">
        <f>VLOOKUP($A66,'Data shares'!$C:$FB,119)</f>
        <v>0.85</v>
      </c>
      <c r="N66" s="50">
        <f>VLOOKUP($A66,'Data shares'!$C:$FB,121)*100</f>
        <v>3.53</v>
      </c>
      <c r="O66" s="50">
        <f>VLOOKUP($A66,'Data shares'!$C:$FB,124)</f>
        <v>0.48</v>
      </c>
      <c r="P66" s="50">
        <f>VLOOKUP($A66,'Data shares'!$C:$FB,125)</f>
        <v>0.74</v>
      </c>
      <c r="Q66" s="50">
        <f>VLOOKUP($A66,'Data shares'!$C:$FB,127)*100</f>
        <v>-35.14</v>
      </c>
    </row>
    <row r="67" spans="1:17" x14ac:dyDescent="0.25">
      <c r="A67" s="97" t="str">
        <f>'Data Vlaue (Cr)'!C62</f>
        <v>EXIDEIND</v>
      </c>
      <c r="B67" s="140">
        <f>VLOOKUP($A67,'Data shares'!$C:$FB,7)</f>
        <v>363.25</v>
      </c>
      <c r="C67" s="140">
        <f>VLOOKUP($A67,'Data shares'!$C:$FB,3)</f>
        <v>365.2</v>
      </c>
      <c r="D67" s="140">
        <f>VLOOKUP($A67,'Data shares'!$C:$FB,4)</f>
        <v>364.65</v>
      </c>
      <c r="E67" s="50">
        <f t="shared" si="0"/>
        <v>0.1508295625942716</v>
      </c>
      <c r="F67" s="49">
        <f>VLOOKUP($A67,'Data shares'!$C:$FB,98)</f>
        <v>47214000</v>
      </c>
      <c r="G67" s="49">
        <f>VLOOKUP($A67,'Data shares'!$C:$FB,99)</f>
        <v>46128600</v>
      </c>
      <c r="H67" s="50">
        <f t="shared" si="1"/>
        <v>2.3529870839349121</v>
      </c>
      <c r="I67" s="49">
        <f>VLOOKUP($A67,'Data shares'!$C:$FB,66)</f>
        <v>8852400</v>
      </c>
      <c r="J67" s="49">
        <f>VLOOKUP($A67,'Data shares'!$C:$FB,67)</f>
        <v>11876400</v>
      </c>
      <c r="K67" s="50">
        <f t="shared" si="2"/>
        <v>-34.160227734851567</v>
      </c>
      <c r="L67" s="50">
        <f>VLOOKUP($A67,'Data shares'!$C:$FB,118)</f>
        <v>0.76</v>
      </c>
      <c r="M67" s="50">
        <f>VLOOKUP($A67,'Data shares'!$C:$FB,119)</f>
        <v>0.77</v>
      </c>
      <c r="N67" s="50">
        <f>VLOOKUP($A67,'Data shares'!$C:$FB,121)*100</f>
        <v>-1.3</v>
      </c>
      <c r="O67" s="50">
        <f>VLOOKUP($A67,'Data shares'!$C:$FB,124)</f>
        <v>0.33</v>
      </c>
      <c r="P67" s="50">
        <f>VLOOKUP($A67,'Data shares'!$C:$FB,125)</f>
        <v>0.42</v>
      </c>
      <c r="Q67" s="50">
        <f>VLOOKUP($A67,'Data shares'!$C:$FB,127)*100</f>
        <v>-21.43</v>
      </c>
    </row>
    <row r="68" spans="1:17" x14ac:dyDescent="0.25">
      <c r="A68" s="97" t="str">
        <f>'Data Vlaue (Cr)'!C63</f>
        <v>FEDERALBNK</v>
      </c>
      <c r="B68" s="140">
        <f>VLOOKUP($A68,'Data shares'!$C:$FB,7)</f>
        <v>266.25</v>
      </c>
      <c r="C68" s="140">
        <f>VLOOKUP($A68,'Data shares'!$C:$FB,3)</f>
        <v>266.85000000000002</v>
      </c>
      <c r="D68" s="140">
        <f>VLOOKUP($A68,'Data shares'!$C:$FB,4)</f>
        <v>267.39999999999998</v>
      </c>
      <c r="E68" s="50">
        <f t="shared" si="0"/>
        <v>-0.20568436798801593</v>
      </c>
      <c r="F68" s="49">
        <f>VLOOKUP($A68,'Data shares'!$C:$FB,98)</f>
        <v>91655000</v>
      </c>
      <c r="G68" s="49">
        <f>VLOOKUP($A68,'Data shares'!$C:$FB,99)</f>
        <v>87210000</v>
      </c>
      <c r="H68" s="50">
        <f t="shared" si="1"/>
        <v>5.0968925581928675</v>
      </c>
      <c r="I68" s="49">
        <f>VLOOKUP($A68,'Data shares'!$C:$FB,66)</f>
        <v>39010000</v>
      </c>
      <c r="J68" s="49">
        <f>VLOOKUP($A68,'Data shares'!$C:$FB,67)</f>
        <v>64540000</v>
      </c>
      <c r="K68" s="50">
        <f t="shared" si="2"/>
        <v>-65.444757754421943</v>
      </c>
      <c r="L68" s="50">
        <f>VLOOKUP($A68,'Data shares'!$C:$FB,118)</f>
        <v>0.89</v>
      </c>
      <c r="M68" s="50">
        <f>VLOOKUP($A68,'Data shares'!$C:$FB,119)</f>
        <v>0.81</v>
      </c>
      <c r="N68" s="50">
        <f>VLOOKUP($A68,'Data shares'!$C:$FB,121)*100</f>
        <v>9.879999999999999</v>
      </c>
      <c r="O68" s="50">
        <f>VLOOKUP($A68,'Data shares'!$C:$FB,124)</f>
        <v>0.68</v>
      </c>
      <c r="P68" s="50">
        <f>VLOOKUP($A68,'Data shares'!$C:$FB,125)</f>
        <v>0.57999999999999996</v>
      </c>
      <c r="Q68" s="50">
        <f>VLOOKUP($A68,'Data shares'!$C:$FB,127)*100</f>
        <v>17.239999999999998</v>
      </c>
    </row>
    <row r="69" spans="1:17" x14ac:dyDescent="0.25">
      <c r="A69" s="97" t="str">
        <f>'Data Vlaue (Cr)'!C64</f>
        <v>FINNIFTY</v>
      </c>
      <c r="B69" s="140">
        <f>VLOOKUP($A69,'Data shares'!$C:$FB,7)</f>
        <v>27666.799999999999</v>
      </c>
      <c r="C69" s="140">
        <f>VLOOKUP($A69,'Data shares'!$C:$FB,3)</f>
        <v>27798.3</v>
      </c>
      <c r="D69" s="140">
        <f>VLOOKUP($A69,'Data shares'!$C:$FB,4)</f>
        <v>27763.599999999999</v>
      </c>
      <c r="E69" s="50">
        <f t="shared" si="0"/>
        <v>0.12498379172730023</v>
      </c>
      <c r="F69" s="49">
        <f>VLOOKUP($A69,'Data shares'!$C:$FB,98)</f>
        <v>348900</v>
      </c>
      <c r="G69" s="49">
        <f>VLOOKUP($A69,'Data shares'!$C:$FB,99)</f>
        <v>284640</v>
      </c>
      <c r="H69" s="50">
        <f t="shared" si="1"/>
        <v>22.575885328836424</v>
      </c>
      <c r="I69" s="49">
        <f>VLOOKUP($A69,'Data shares'!$C:$FB,66)</f>
        <v>663360</v>
      </c>
      <c r="J69" s="49">
        <f>VLOOKUP($A69,'Data shares'!$C:$FB,67)</f>
        <v>963480</v>
      </c>
      <c r="K69" s="50">
        <f t="shared" si="2"/>
        <v>-45.242402315484803</v>
      </c>
      <c r="L69" s="50">
        <f>VLOOKUP($A69,'Data shares'!$C:$FB,118)</f>
        <v>0.86</v>
      </c>
      <c r="M69" s="50">
        <f>VLOOKUP($A69,'Data shares'!$C:$FB,119)</f>
        <v>0.83</v>
      </c>
      <c r="N69" s="50">
        <f>VLOOKUP($A69,'Data shares'!$C:$FB,121)*100</f>
        <v>3.61</v>
      </c>
      <c r="O69" s="50">
        <f>VLOOKUP($A69,'Data shares'!$C:$FB,124)</f>
        <v>1.08</v>
      </c>
      <c r="P69" s="50">
        <f>VLOOKUP($A69,'Data shares'!$C:$FB,125)</f>
        <v>0.79</v>
      </c>
      <c r="Q69" s="50">
        <f>VLOOKUP($A69,'Data shares'!$C:$FB,127)*100</f>
        <v>36.71</v>
      </c>
    </row>
    <row r="70" spans="1:17" x14ac:dyDescent="0.25">
      <c r="A70" s="97" t="str">
        <f>'Data Vlaue (Cr)'!C65</f>
        <v>FORTIS</v>
      </c>
      <c r="B70" s="140">
        <f>VLOOKUP($A70,'Data shares'!$C:$FB,7)</f>
        <v>900.55</v>
      </c>
      <c r="C70" s="140">
        <f>VLOOKUP($A70,'Data shares'!$C:$FB,3)</f>
        <v>904.9</v>
      </c>
      <c r="D70" s="140">
        <f>VLOOKUP($A70,'Data shares'!$C:$FB,4)</f>
        <v>889.3</v>
      </c>
      <c r="E70" s="50">
        <f t="shared" si="0"/>
        <v>1.7541886877319266</v>
      </c>
      <c r="F70" s="49">
        <f>VLOOKUP($A70,'Data shares'!$C:$FB,98)</f>
        <v>14782350</v>
      </c>
      <c r="G70" s="49">
        <f>VLOOKUP($A70,'Data shares'!$C:$FB,99)</f>
        <v>14080975</v>
      </c>
      <c r="H70" s="50">
        <f t="shared" si="1"/>
        <v>4.981011613187297</v>
      </c>
      <c r="I70" s="49">
        <f>VLOOKUP($A70,'Data shares'!$C:$FB,66)</f>
        <v>4813525</v>
      </c>
      <c r="J70" s="49">
        <f>VLOOKUP($A70,'Data shares'!$C:$FB,67)</f>
        <v>2223475</v>
      </c>
      <c r="K70" s="50">
        <f t="shared" si="2"/>
        <v>53.807760425052329</v>
      </c>
      <c r="L70" s="50">
        <f>VLOOKUP($A70,'Data shares'!$C:$FB,118)</f>
        <v>0.61</v>
      </c>
      <c r="M70" s="50">
        <f>VLOOKUP($A70,'Data shares'!$C:$FB,119)</f>
        <v>0.77</v>
      </c>
      <c r="N70" s="50">
        <f>VLOOKUP($A70,'Data shares'!$C:$FB,121)*100</f>
        <v>-20.78</v>
      </c>
      <c r="O70" s="50">
        <f>VLOOKUP($A70,'Data shares'!$C:$FB,124)</f>
        <v>0.22</v>
      </c>
      <c r="P70" s="50">
        <f>VLOOKUP($A70,'Data shares'!$C:$FB,125)</f>
        <v>0.33</v>
      </c>
      <c r="Q70" s="50">
        <f>VLOOKUP($A70,'Data shares'!$C:$FB,127)*100</f>
        <v>-33.33</v>
      </c>
    </row>
    <row r="71" spans="1:17" x14ac:dyDescent="0.25">
      <c r="A71" s="97" t="str">
        <f>'Data Vlaue (Cr)'!C66</f>
        <v>GAIL</v>
      </c>
      <c r="B71" s="140">
        <f>VLOOKUP($A71,'Data shares'!$C:$FB,7)</f>
        <v>171.77</v>
      </c>
      <c r="C71" s="140">
        <f>VLOOKUP($A71,'Data shares'!$C:$FB,3)</f>
        <v>172.82</v>
      </c>
      <c r="D71" s="140">
        <f>VLOOKUP($A71,'Data shares'!$C:$FB,4)</f>
        <v>173.14</v>
      </c>
      <c r="E71" s="50">
        <f t="shared" si="0"/>
        <v>-0.18482153170844012</v>
      </c>
      <c r="F71" s="49">
        <f>VLOOKUP($A71,'Data shares'!$C:$FB,98)</f>
        <v>135100350</v>
      </c>
      <c r="G71" s="49">
        <f>VLOOKUP($A71,'Data shares'!$C:$FB,99)</f>
        <v>132189750</v>
      </c>
      <c r="H71" s="50">
        <f t="shared" si="1"/>
        <v>2.2018348623853212</v>
      </c>
      <c r="I71" s="49">
        <f>VLOOKUP($A71,'Data shares'!$C:$FB,66)</f>
        <v>19293750</v>
      </c>
      <c r="J71" s="49">
        <f>VLOOKUP($A71,'Data shares'!$C:$FB,67)</f>
        <v>41523300</v>
      </c>
      <c r="K71" s="50">
        <f t="shared" si="2"/>
        <v>-115.21632653061225</v>
      </c>
      <c r="L71" s="50">
        <f>VLOOKUP($A71,'Data shares'!$C:$FB,118)</f>
        <v>1</v>
      </c>
      <c r="M71" s="50">
        <f>VLOOKUP($A71,'Data shares'!$C:$FB,119)</f>
        <v>1.03</v>
      </c>
      <c r="N71" s="50">
        <f>VLOOKUP($A71,'Data shares'!$C:$FB,121)*100</f>
        <v>-2.91</v>
      </c>
      <c r="O71" s="50">
        <f>VLOOKUP($A71,'Data shares'!$C:$FB,124)</f>
        <v>0.47</v>
      </c>
      <c r="P71" s="50">
        <f>VLOOKUP($A71,'Data shares'!$C:$FB,125)</f>
        <v>0.8</v>
      </c>
      <c r="Q71" s="50">
        <f>VLOOKUP($A71,'Data shares'!$C:$FB,127)*100</f>
        <v>-41.25</v>
      </c>
    </row>
    <row r="72" spans="1:17" x14ac:dyDescent="0.25">
      <c r="A72" s="97" t="str">
        <f>'Data Vlaue (Cr)'!C67</f>
        <v>GLENMARK</v>
      </c>
      <c r="B72" s="140">
        <f>VLOOKUP($A72,'Data shares'!$C:$FB,7)</f>
        <v>2026.2</v>
      </c>
      <c r="C72" s="140">
        <f>VLOOKUP($A72,'Data shares'!$C:$FB,3)</f>
        <v>2034</v>
      </c>
      <c r="D72" s="140">
        <f>VLOOKUP($A72,'Data shares'!$C:$FB,4)</f>
        <v>2042.8</v>
      </c>
      <c r="E72" s="50">
        <f t="shared" ref="E72:E135" si="3">(C72-D72)/D72*100</f>
        <v>-0.43078128059525922</v>
      </c>
      <c r="F72" s="49">
        <f>VLOOKUP($A72,'Data shares'!$C:$FB,98)</f>
        <v>15630375</v>
      </c>
      <c r="G72" s="49">
        <f>VLOOKUP($A72,'Data shares'!$C:$FB,99)</f>
        <v>15476250</v>
      </c>
      <c r="H72" s="50">
        <f t="shared" ref="H72:H135" si="4">(F72-G72)/G72*100</f>
        <v>0.99588078507390354</v>
      </c>
      <c r="I72" s="49">
        <f>VLOOKUP($A72,'Data shares'!$C:$FB,66)</f>
        <v>2244000</v>
      </c>
      <c r="J72" s="49">
        <f>VLOOKUP($A72,'Data shares'!$C:$FB,67)</f>
        <v>3938625</v>
      </c>
      <c r="K72" s="50">
        <f t="shared" ref="K72:K135" si="5">(I72-J72)/I72*100</f>
        <v>-75.518048128342244</v>
      </c>
      <c r="L72" s="50">
        <f>VLOOKUP($A72,'Data shares'!$C:$FB,118)</f>
        <v>0.56999999999999995</v>
      </c>
      <c r="M72" s="50">
        <f>VLOOKUP($A72,'Data shares'!$C:$FB,119)</f>
        <v>0.57999999999999996</v>
      </c>
      <c r="N72" s="50">
        <f>VLOOKUP($A72,'Data shares'!$C:$FB,121)*100</f>
        <v>-1.72</v>
      </c>
      <c r="O72" s="50">
        <f>VLOOKUP($A72,'Data shares'!$C:$FB,124)</f>
        <v>0.45</v>
      </c>
      <c r="P72" s="50">
        <f>VLOOKUP($A72,'Data shares'!$C:$FB,125)</f>
        <v>0.4</v>
      </c>
      <c r="Q72" s="50">
        <f>VLOOKUP($A72,'Data shares'!$C:$FB,127)*100</f>
        <v>12.5</v>
      </c>
    </row>
    <row r="73" spans="1:17" x14ac:dyDescent="0.25">
      <c r="A73" s="97" t="str">
        <f>'Data Vlaue (Cr)'!C68</f>
        <v>GMRAIRPORT</v>
      </c>
      <c r="B73" s="140">
        <f>VLOOKUP($A73,'Data shares'!$C:$FB,7)</f>
        <v>105.5</v>
      </c>
      <c r="C73" s="140">
        <f>VLOOKUP($A73,'Data shares'!$C:$FB,3)</f>
        <v>106.2</v>
      </c>
      <c r="D73" s="140">
        <f>VLOOKUP($A73,'Data shares'!$C:$FB,4)</f>
        <v>104.83</v>
      </c>
      <c r="E73" s="50">
        <f t="shared" si="3"/>
        <v>1.3068778021558758</v>
      </c>
      <c r="F73" s="49">
        <f>VLOOKUP($A73,'Data shares'!$C:$FB,98)</f>
        <v>290997000</v>
      </c>
      <c r="G73" s="49">
        <f>VLOOKUP($A73,'Data shares'!$C:$FB,99)</f>
        <v>284287050</v>
      </c>
      <c r="H73" s="50">
        <f t="shared" si="4"/>
        <v>2.3602728298738898</v>
      </c>
      <c r="I73" s="49">
        <f>VLOOKUP($A73,'Data shares'!$C:$FB,66)</f>
        <v>103013775</v>
      </c>
      <c r="J73" s="49">
        <f>VLOOKUP($A73,'Data shares'!$C:$FB,67)</f>
        <v>125703450</v>
      </c>
      <c r="K73" s="50">
        <f t="shared" si="5"/>
        <v>-22.02586498747376</v>
      </c>
      <c r="L73" s="50">
        <f>VLOOKUP($A73,'Data shares'!$C:$FB,118)</f>
        <v>0.62</v>
      </c>
      <c r="M73" s="50">
        <f>VLOOKUP($A73,'Data shares'!$C:$FB,119)</f>
        <v>0.6</v>
      </c>
      <c r="N73" s="50">
        <f>VLOOKUP($A73,'Data shares'!$C:$FB,121)*100</f>
        <v>3.3300000000000005</v>
      </c>
      <c r="O73" s="50">
        <f>VLOOKUP($A73,'Data shares'!$C:$FB,124)</f>
        <v>0.31</v>
      </c>
      <c r="P73" s="50">
        <f>VLOOKUP($A73,'Data shares'!$C:$FB,125)</f>
        <v>0.35</v>
      </c>
      <c r="Q73" s="50">
        <f>VLOOKUP($A73,'Data shares'!$C:$FB,127)*100</f>
        <v>-11.43</v>
      </c>
    </row>
    <row r="74" spans="1:17" x14ac:dyDescent="0.25">
      <c r="A74" s="97" t="str">
        <f>'Data Vlaue (Cr)'!C69</f>
        <v>GODREJCP</v>
      </c>
      <c r="B74" s="140">
        <f>VLOOKUP($A74,'Data shares'!$C:$FB,7)</f>
        <v>1243.4000000000001</v>
      </c>
      <c r="C74" s="140">
        <f>VLOOKUP($A74,'Data shares'!$C:$FB,3)</f>
        <v>1247.7</v>
      </c>
      <c r="D74" s="140">
        <f>VLOOKUP($A74,'Data shares'!$C:$FB,4)</f>
        <v>1226.8</v>
      </c>
      <c r="E74" s="50">
        <f t="shared" si="3"/>
        <v>1.7036191718291565</v>
      </c>
      <c r="F74" s="49">
        <f>VLOOKUP($A74,'Data shares'!$C:$FB,98)</f>
        <v>11059500</v>
      </c>
      <c r="G74" s="49">
        <f>VLOOKUP($A74,'Data shares'!$C:$FB,99)</f>
        <v>11056000</v>
      </c>
      <c r="H74" s="50">
        <f t="shared" si="4"/>
        <v>3.1657018813314036E-2</v>
      </c>
      <c r="I74" s="49">
        <f>VLOOKUP($A74,'Data shares'!$C:$FB,66)</f>
        <v>3615500</v>
      </c>
      <c r="J74" s="49">
        <f>VLOOKUP($A74,'Data shares'!$C:$FB,67)</f>
        <v>3741500</v>
      </c>
      <c r="K74" s="50">
        <f t="shared" si="5"/>
        <v>-3.4849951597289452</v>
      </c>
      <c r="L74" s="50">
        <f>VLOOKUP($A74,'Data shares'!$C:$FB,118)</f>
        <v>0.79</v>
      </c>
      <c r="M74" s="50">
        <f>VLOOKUP($A74,'Data shares'!$C:$FB,119)</f>
        <v>0.73</v>
      </c>
      <c r="N74" s="50">
        <f>VLOOKUP($A74,'Data shares'!$C:$FB,121)*100</f>
        <v>8.2199999999999989</v>
      </c>
      <c r="O74" s="50">
        <f>VLOOKUP($A74,'Data shares'!$C:$FB,124)</f>
        <v>0.62</v>
      </c>
      <c r="P74" s="50">
        <f>VLOOKUP($A74,'Data shares'!$C:$FB,125)</f>
        <v>0.39</v>
      </c>
      <c r="Q74" s="50">
        <f>VLOOKUP($A74,'Data shares'!$C:$FB,127)*100</f>
        <v>58.97</v>
      </c>
    </row>
    <row r="75" spans="1:17" x14ac:dyDescent="0.25">
      <c r="A75" s="97" t="str">
        <f>'Data Vlaue (Cr)'!C70</f>
        <v>GODREJPROP</v>
      </c>
      <c r="B75" s="140">
        <f>VLOOKUP($A75,'Data shares'!$C:$FB,7)</f>
        <v>2015.3</v>
      </c>
      <c r="C75" s="140">
        <f>VLOOKUP($A75,'Data shares'!$C:$FB,3)</f>
        <v>2029.2</v>
      </c>
      <c r="D75" s="140">
        <f>VLOOKUP($A75,'Data shares'!$C:$FB,4)</f>
        <v>2017.4</v>
      </c>
      <c r="E75" s="50">
        <f t="shared" si="3"/>
        <v>0.58491127193417047</v>
      </c>
      <c r="F75" s="49">
        <f>VLOOKUP($A75,'Data shares'!$C:$FB,98)</f>
        <v>12066450</v>
      </c>
      <c r="G75" s="49">
        <f>VLOOKUP($A75,'Data shares'!$C:$FB,99)</f>
        <v>11818125</v>
      </c>
      <c r="H75" s="50">
        <f t="shared" si="4"/>
        <v>2.1012216404886561</v>
      </c>
      <c r="I75" s="49">
        <f>VLOOKUP($A75,'Data shares'!$C:$FB,66)</f>
        <v>2484075</v>
      </c>
      <c r="J75" s="49">
        <f>VLOOKUP($A75,'Data shares'!$C:$FB,67)</f>
        <v>3521375</v>
      </c>
      <c r="K75" s="50">
        <f t="shared" si="5"/>
        <v>-41.75799845012731</v>
      </c>
      <c r="L75" s="50">
        <f>VLOOKUP($A75,'Data shares'!$C:$FB,118)</f>
        <v>0.81</v>
      </c>
      <c r="M75" s="50">
        <f>VLOOKUP($A75,'Data shares'!$C:$FB,119)</f>
        <v>0.83</v>
      </c>
      <c r="N75" s="50">
        <f>VLOOKUP($A75,'Data shares'!$C:$FB,121)*100</f>
        <v>-2.41</v>
      </c>
      <c r="O75" s="50">
        <f>VLOOKUP($A75,'Data shares'!$C:$FB,124)</f>
        <v>0.44</v>
      </c>
      <c r="P75" s="50">
        <f>VLOOKUP($A75,'Data shares'!$C:$FB,125)</f>
        <v>0.42</v>
      </c>
      <c r="Q75" s="50">
        <f>VLOOKUP($A75,'Data shares'!$C:$FB,127)*100</f>
        <v>4.7600000000000007</v>
      </c>
    </row>
    <row r="76" spans="1:17" x14ac:dyDescent="0.25">
      <c r="A76" s="97" t="str">
        <f>'Data Vlaue (Cr)'!C71</f>
        <v>GRASIM</v>
      </c>
      <c r="B76" s="140">
        <f>VLOOKUP($A76,'Data shares'!$C:$FB,7)</f>
        <v>2851.7</v>
      </c>
      <c r="C76" s="140">
        <f>VLOOKUP($A76,'Data shares'!$C:$FB,3)</f>
        <v>2871</v>
      </c>
      <c r="D76" s="140">
        <f>VLOOKUP($A76,'Data shares'!$C:$FB,4)</f>
        <v>2843.1</v>
      </c>
      <c r="E76" s="50">
        <f t="shared" si="3"/>
        <v>0.98132320354542901</v>
      </c>
      <c r="F76" s="49">
        <f>VLOOKUP($A76,'Data shares'!$C:$FB,98)</f>
        <v>17761000</v>
      </c>
      <c r="G76" s="49">
        <f>VLOOKUP($A76,'Data shares'!$C:$FB,99)</f>
        <v>17438250</v>
      </c>
      <c r="H76" s="50">
        <f t="shared" si="4"/>
        <v>1.8508164523389676</v>
      </c>
      <c r="I76" s="49">
        <f>VLOOKUP($A76,'Data shares'!$C:$FB,66)</f>
        <v>1734000</v>
      </c>
      <c r="J76" s="49">
        <f>VLOOKUP($A76,'Data shares'!$C:$FB,67)</f>
        <v>3524250</v>
      </c>
      <c r="K76" s="50">
        <f t="shared" si="5"/>
        <v>-103.24394463667821</v>
      </c>
      <c r="L76" s="50">
        <f>VLOOKUP($A76,'Data shares'!$C:$FB,118)</f>
        <v>1.04</v>
      </c>
      <c r="M76" s="50">
        <f>VLOOKUP($A76,'Data shares'!$C:$FB,119)</f>
        <v>1.08</v>
      </c>
      <c r="N76" s="50">
        <f>VLOOKUP($A76,'Data shares'!$C:$FB,121)*100</f>
        <v>-3.6999999999999997</v>
      </c>
      <c r="O76" s="50">
        <f>VLOOKUP($A76,'Data shares'!$C:$FB,124)</f>
        <v>0.5</v>
      </c>
      <c r="P76" s="50">
        <f>VLOOKUP($A76,'Data shares'!$C:$FB,125)</f>
        <v>0.92</v>
      </c>
      <c r="Q76" s="50">
        <f>VLOOKUP($A76,'Data shares'!$C:$FB,127)*100</f>
        <v>-45.65</v>
      </c>
    </row>
    <row r="77" spans="1:17" x14ac:dyDescent="0.25">
      <c r="A77" s="97" t="str">
        <f>'Data Vlaue (Cr)'!C72</f>
        <v>HAL</v>
      </c>
      <c r="B77" s="140">
        <f>VLOOKUP($A77,'Data shares'!$C:$FB,7)</f>
        <v>4397.8999999999996</v>
      </c>
      <c r="C77" s="140">
        <f>VLOOKUP($A77,'Data shares'!$C:$FB,3)</f>
        <v>4417.5</v>
      </c>
      <c r="D77" s="140">
        <f>VLOOKUP($A77,'Data shares'!$C:$FB,4)</f>
        <v>4411.7</v>
      </c>
      <c r="E77" s="50">
        <f t="shared" si="3"/>
        <v>0.13146859487272894</v>
      </c>
      <c r="F77" s="49">
        <f>VLOOKUP($A77,'Data shares'!$C:$FB,98)</f>
        <v>15756450</v>
      </c>
      <c r="G77" s="49">
        <f>VLOOKUP($A77,'Data shares'!$C:$FB,99)</f>
        <v>15440400</v>
      </c>
      <c r="H77" s="50">
        <f t="shared" si="4"/>
        <v>2.0469029299759076</v>
      </c>
      <c r="I77" s="49">
        <f>VLOOKUP($A77,'Data shares'!$C:$FB,66)</f>
        <v>3976200</v>
      </c>
      <c r="J77" s="49">
        <f>VLOOKUP($A77,'Data shares'!$C:$FB,67)</f>
        <v>6019950</v>
      </c>
      <c r="K77" s="50">
        <f t="shared" si="5"/>
        <v>-51.399577486041949</v>
      </c>
      <c r="L77" s="50">
        <f>VLOOKUP($A77,'Data shares'!$C:$FB,118)</f>
        <v>0.7</v>
      </c>
      <c r="M77" s="50">
        <f>VLOOKUP($A77,'Data shares'!$C:$FB,119)</f>
        <v>0.71</v>
      </c>
      <c r="N77" s="50">
        <f>VLOOKUP($A77,'Data shares'!$C:$FB,121)*100</f>
        <v>-1.41</v>
      </c>
      <c r="O77" s="50">
        <f>VLOOKUP($A77,'Data shares'!$C:$FB,124)</f>
        <v>0.52</v>
      </c>
      <c r="P77" s="50">
        <f>VLOOKUP($A77,'Data shares'!$C:$FB,125)</f>
        <v>0.36</v>
      </c>
      <c r="Q77" s="50">
        <f>VLOOKUP($A77,'Data shares'!$C:$FB,127)*100</f>
        <v>44.440000000000005</v>
      </c>
    </row>
    <row r="78" spans="1:17" x14ac:dyDescent="0.25">
      <c r="A78" s="97" t="str">
        <f>'Data Vlaue (Cr)'!C73</f>
        <v>HAVELLS</v>
      </c>
      <c r="B78" s="140">
        <f>VLOOKUP($A78,'Data shares'!$C:$FB,7)</f>
        <v>1417.5</v>
      </c>
      <c r="C78" s="140">
        <f>VLOOKUP($A78,'Data shares'!$C:$FB,3)</f>
        <v>1424.8</v>
      </c>
      <c r="D78" s="140">
        <f>VLOOKUP($A78,'Data shares'!$C:$FB,4)</f>
        <v>1432.5</v>
      </c>
      <c r="E78" s="50">
        <f t="shared" si="3"/>
        <v>-0.5375218150087292</v>
      </c>
      <c r="F78" s="49">
        <f>VLOOKUP($A78,'Data shares'!$C:$FB,98)</f>
        <v>10642500</v>
      </c>
      <c r="G78" s="49">
        <f>VLOOKUP($A78,'Data shares'!$C:$FB,99)</f>
        <v>10289500</v>
      </c>
      <c r="H78" s="50">
        <f t="shared" si="4"/>
        <v>3.4306817629622435</v>
      </c>
      <c r="I78" s="49">
        <f>VLOOKUP($A78,'Data shares'!$C:$FB,66)</f>
        <v>1928000</v>
      </c>
      <c r="J78" s="49">
        <f>VLOOKUP($A78,'Data shares'!$C:$FB,67)</f>
        <v>2515500</v>
      </c>
      <c r="K78" s="50">
        <f t="shared" si="5"/>
        <v>-30.471991701244818</v>
      </c>
      <c r="L78" s="50">
        <f>VLOOKUP($A78,'Data shares'!$C:$FB,118)</f>
        <v>1.1100000000000001</v>
      </c>
      <c r="M78" s="50">
        <f>VLOOKUP($A78,'Data shares'!$C:$FB,119)</f>
        <v>1.19</v>
      </c>
      <c r="N78" s="50">
        <f>VLOOKUP($A78,'Data shares'!$C:$FB,121)*100</f>
        <v>-6.72</v>
      </c>
      <c r="O78" s="50">
        <f>VLOOKUP($A78,'Data shares'!$C:$FB,124)</f>
        <v>0.45</v>
      </c>
      <c r="P78" s="50">
        <f>VLOOKUP($A78,'Data shares'!$C:$FB,125)</f>
        <v>0.63</v>
      </c>
      <c r="Q78" s="50">
        <f>VLOOKUP($A78,'Data shares'!$C:$FB,127)*100</f>
        <v>-28.57</v>
      </c>
    </row>
    <row r="79" spans="1:17" x14ac:dyDescent="0.25">
      <c r="A79" s="97" t="str">
        <f>'Data Vlaue (Cr)'!C74</f>
        <v>HCLTECH</v>
      </c>
      <c r="B79" s="140">
        <f>VLOOKUP($A79,'Data shares'!$C:$FB,7)</f>
        <v>1634.5</v>
      </c>
      <c r="C79" s="140">
        <f>VLOOKUP($A79,'Data shares'!$C:$FB,3)</f>
        <v>1628.5</v>
      </c>
      <c r="D79" s="140">
        <f>VLOOKUP($A79,'Data shares'!$C:$FB,4)</f>
        <v>1618.3</v>
      </c>
      <c r="E79" s="50">
        <f t="shared" si="3"/>
        <v>0.630291046159553</v>
      </c>
      <c r="F79" s="49">
        <f>VLOOKUP($A79,'Data shares'!$C:$FB,98)</f>
        <v>21844900</v>
      </c>
      <c r="G79" s="49">
        <f>VLOOKUP($A79,'Data shares'!$C:$FB,99)</f>
        <v>20809600</v>
      </c>
      <c r="H79" s="50">
        <f t="shared" si="4"/>
        <v>4.9751076426264795</v>
      </c>
      <c r="I79" s="49">
        <f>VLOOKUP($A79,'Data shares'!$C:$FB,66)</f>
        <v>7588700</v>
      </c>
      <c r="J79" s="49">
        <f>VLOOKUP($A79,'Data shares'!$C:$FB,67)</f>
        <v>6860700</v>
      </c>
      <c r="K79" s="50">
        <f t="shared" si="5"/>
        <v>9.5932109583986716</v>
      </c>
      <c r="L79" s="50">
        <f>VLOOKUP($A79,'Data shares'!$C:$FB,118)</f>
        <v>0.61</v>
      </c>
      <c r="M79" s="50">
        <f>VLOOKUP($A79,'Data shares'!$C:$FB,119)</f>
        <v>0.7</v>
      </c>
      <c r="N79" s="50">
        <f>VLOOKUP($A79,'Data shares'!$C:$FB,121)*100</f>
        <v>-12.86</v>
      </c>
      <c r="O79" s="50">
        <f>VLOOKUP($A79,'Data shares'!$C:$FB,124)</f>
        <v>0.4</v>
      </c>
      <c r="P79" s="50">
        <f>VLOOKUP($A79,'Data shares'!$C:$FB,125)</f>
        <v>0.54</v>
      </c>
      <c r="Q79" s="50">
        <f>VLOOKUP($A79,'Data shares'!$C:$FB,127)*100</f>
        <v>-25.929999999999996</v>
      </c>
    </row>
    <row r="80" spans="1:17" x14ac:dyDescent="0.25">
      <c r="A80" s="97" t="str">
        <f>'Data Vlaue (Cr)'!C75</f>
        <v>HDFCAMC</v>
      </c>
      <c r="B80" s="140">
        <f>VLOOKUP($A80,'Data shares'!$C:$FB,7)</f>
        <v>2648.2</v>
      </c>
      <c r="C80" s="140">
        <f>VLOOKUP($A80,'Data shares'!$C:$FB,3)</f>
        <v>2663.1</v>
      </c>
      <c r="D80" s="140">
        <f>VLOOKUP($A80,'Data shares'!$C:$FB,4)</f>
        <v>2687.2</v>
      </c>
      <c r="E80" s="50">
        <f t="shared" si="3"/>
        <v>-0.89684429889847828</v>
      </c>
      <c r="F80" s="49">
        <f>VLOOKUP($A80,'Data shares'!$C:$FB,98)</f>
        <v>7870200</v>
      </c>
      <c r="G80" s="49">
        <f>VLOOKUP($A80,'Data shares'!$C:$FB,99)</f>
        <v>7678500</v>
      </c>
      <c r="H80" s="50">
        <f t="shared" si="4"/>
        <v>2.496581363547568</v>
      </c>
      <c r="I80" s="49">
        <f>VLOOKUP($A80,'Data shares'!$C:$FB,66)</f>
        <v>1755600</v>
      </c>
      <c r="J80" s="49">
        <f>VLOOKUP($A80,'Data shares'!$C:$FB,67)</f>
        <v>3169200</v>
      </c>
      <c r="K80" s="50">
        <f t="shared" si="5"/>
        <v>-80.519480519480524</v>
      </c>
      <c r="L80" s="50">
        <f>VLOOKUP($A80,'Data shares'!$C:$FB,118)</f>
        <v>0.73</v>
      </c>
      <c r="M80" s="50">
        <f>VLOOKUP($A80,'Data shares'!$C:$FB,119)</f>
        <v>0.74</v>
      </c>
      <c r="N80" s="50">
        <f>VLOOKUP($A80,'Data shares'!$C:$FB,121)*100</f>
        <v>-1.35</v>
      </c>
      <c r="O80" s="50">
        <f>VLOOKUP($A80,'Data shares'!$C:$FB,124)</f>
        <v>0.42</v>
      </c>
      <c r="P80" s="50">
        <f>VLOOKUP($A80,'Data shares'!$C:$FB,125)</f>
        <v>0.43</v>
      </c>
      <c r="Q80" s="50">
        <f>VLOOKUP($A80,'Data shares'!$C:$FB,127)*100</f>
        <v>-2.33</v>
      </c>
    </row>
    <row r="81" spans="1:17" x14ac:dyDescent="0.25">
      <c r="A81" s="97" t="str">
        <f>'Data Vlaue (Cr)'!C76</f>
        <v>HDFCBANK</v>
      </c>
      <c r="B81" s="140">
        <f>VLOOKUP($A81,'Data shares'!$C:$FB,7)</f>
        <v>991.15</v>
      </c>
      <c r="C81" s="140">
        <f>VLOOKUP($A81,'Data shares'!$C:$FB,3)</f>
        <v>995.35</v>
      </c>
      <c r="D81" s="140">
        <f>VLOOKUP($A81,'Data shares'!$C:$FB,4)</f>
        <v>997.4</v>
      </c>
      <c r="E81" s="50">
        <f t="shared" si="3"/>
        <v>-0.20553438941246788</v>
      </c>
      <c r="F81" s="49">
        <f>VLOOKUP($A81,'Data shares'!$C:$FB,98)</f>
        <v>259107750</v>
      </c>
      <c r="G81" s="49">
        <f>VLOOKUP($A81,'Data shares'!$C:$FB,99)</f>
        <v>255807200</v>
      </c>
      <c r="H81" s="50">
        <f t="shared" si="4"/>
        <v>1.2902490625752521</v>
      </c>
      <c r="I81" s="49">
        <f>VLOOKUP($A81,'Data shares'!$C:$FB,66)</f>
        <v>32320750</v>
      </c>
      <c r="J81" s="49">
        <f>VLOOKUP($A81,'Data shares'!$C:$FB,67)</f>
        <v>65264100</v>
      </c>
      <c r="K81" s="50">
        <f t="shared" si="5"/>
        <v>-101.92631668510168</v>
      </c>
      <c r="L81" s="50">
        <f>VLOOKUP($A81,'Data shares'!$C:$FB,118)</f>
        <v>0.86</v>
      </c>
      <c r="M81" s="50">
        <f>VLOOKUP($A81,'Data shares'!$C:$FB,119)</f>
        <v>0.89</v>
      </c>
      <c r="N81" s="50">
        <f>VLOOKUP($A81,'Data shares'!$C:$FB,121)*100</f>
        <v>-3.37</v>
      </c>
      <c r="O81" s="50">
        <f>VLOOKUP($A81,'Data shares'!$C:$FB,124)</f>
        <v>0.63</v>
      </c>
      <c r="P81" s="50">
        <f>VLOOKUP($A81,'Data shares'!$C:$FB,125)</f>
        <v>0.6</v>
      </c>
      <c r="Q81" s="50">
        <f>VLOOKUP($A81,'Data shares'!$C:$FB,127)*100</f>
        <v>5</v>
      </c>
    </row>
    <row r="82" spans="1:17" x14ac:dyDescent="0.25">
      <c r="A82" s="97" t="str">
        <f>'Data Vlaue (Cr)'!C77</f>
        <v>HDFCLIFE</v>
      </c>
      <c r="B82" s="140">
        <f>VLOOKUP($A82,'Data shares'!$C:$FB,7)</f>
        <v>750.1</v>
      </c>
      <c r="C82" s="140">
        <f>VLOOKUP($A82,'Data shares'!$C:$FB,3)</f>
        <v>753.85</v>
      </c>
      <c r="D82" s="140">
        <f>VLOOKUP($A82,'Data shares'!$C:$FB,4)</f>
        <v>754.15</v>
      </c>
      <c r="E82" s="50">
        <f t="shared" si="3"/>
        <v>-3.9779884638328523E-2</v>
      </c>
      <c r="F82" s="49">
        <f>VLOOKUP($A82,'Data shares'!$C:$FB,98)</f>
        <v>46096600</v>
      </c>
      <c r="G82" s="49">
        <f>VLOOKUP($A82,'Data shares'!$C:$FB,99)</f>
        <v>44276100</v>
      </c>
      <c r="H82" s="50">
        <f t="shared" si="4"/>
        <v>4.1116990882214104</v>
      </c>
      <c r="I82" s="49">
        <f>VLOOKUP($A82,'Data shares'!$C:$FB,66)</f>
        <v>7280900</v>
      </c>
      <c r="J82" s="49">
        <f>VLOOKUP($A82,'Data shares'!$C:$FB,67)</f>
        <v>13351800</v>
      </c>
      <c r="K82" s="50">
        <f t="shared" si="5"/>
        <v>-83.381175404139597</v>
      </c>
      <c r="L82" s="50">
        <f>VLOOKUP($A82,'Data shares'!$C:$FB,118)</f>
        <v>0.65</v>
      </c>
      <c r="M82" s="50">
        <f>VLOOKUP($A82,'Data shares'!$C:$FB,119)</f>
        <v>0.73</v>
      </c>
      <c r="N82" s="50">
        <f>VLOOKUP($A82,'Data shares'!$C:$FB,121)*100</f>
        <v>-10.96</v>
      </c>
      <c r="O82" s="50">
        <f>VLOOKUP($A82,'Data shares'!$C:$FB,124)</f>
        <v>0.44</v>
      </c>
      <c r="P82" s="50">
        <f>VLOOKUP($A82,'Data shares'!$C:$FB,125)</f>
        <v>0.47</v>
      </c>
      <c r="Q82" s="50">
        <f>VLOOKUP($A82,'Data shares'!$C:$FB,127)*100</f>
        <v>-6.38</v>
      </c>
    </row>
    <row r="83" spans="1:17" x14ac:dyDescent="0.25">
      <c r="A83" s="97" t="str">
        <f>'Data Vlaue (Cr)'!C78</f>
        <v>HEROMOTOCO</v>
      </c>
      <c r="B83" s="140">
        <f>VLOOKUP($A83,'Data shares'!$C:$FB,7)</f>
        <v>5841.5</v>
      </c>
      <c r="C83" s="140">
        <f>VLOOKUP($A83,'Data shares'!$C:$FB,3)</f>
        <v>5860.5</v>
      </c>
      <c r="D83" s="140">
        <f>VLOOKUP($A83,'Data shares'!$C:$FB,4)</f>
        <v>5793</v>
      </c>
      <c r="E83" s="50">
        <f t="shared" si="3"/>
        <v>1.1651993785603314</v>
      </c>
      <c r="F83" s="49">
        <f>VLOOKUP($A83,'Data shares'!$C:$FB,98)</f>
        <v>8304900</v>
      </c>
      <c r="G83" s="49">
        <f>VLOOKUP($A83,'Data shares'!$C:$FB,99)</f>
        <v>8232450</v>
      </c>
      <c r="H83" s="50">
        <f t="shared" si="4"/>
        <v>0.88005393291183065</v>
      </c>
      <c r="I83" s="49">
        <f>VLOOKUP($A83,'Data shares'!$C:$FB,66)</f>
        <v>6150150</v>
      </c>
      <c r="J83" s="49">
        <f>VLOOKUP($A83,'Data shares'!$C:$FB,67)</f>
        <v>6885300</v>
      </c>
      <c r="K83" s="50">
        <f t="shared" si="5"/>
        <v>-11.953366991048998</v>
      </c>
      <c r="L83" s="50">
        <f>VLOOKUP($A83,'Data shares'!$C:$FB,118)</f>
        <v>0.7</v>
      </c>
      <c r="M83" s="50">
        <f>VLOOKUP($A83,'Data shares'!$C:$FB,119)</f>
        <v>0.66</v>
      </c>
      <c r="N83" s="50">
        <f>VLOOKUP($A83,'Data shares'!$C:$FB,121)*100</f>
        <v>6.0600000000000005</v>
      </c>
      <c r="O83" s="50">
        <f>VLOOKUP($A83,'Data shares'!$C:$FB,124)</f>
        <v>0.46</v>
      </c>
      <c r="P83" s="50">
        <f>VLOOKUP($A83,'Data shares'!$C:$FB,125)</f>
        <v>0.37</v>
      </c>
      <c r="Q83" s="50">
        <f>VLOOKUP($A83,'Data shares'!$C:$FB,127)*100</f>
        <v>24.32</v>
      </c>
    </row>
    <row r="84" spans="1:17" x14ac:dyDescent="0.25">
      <c r="A84" s="97" t="str">
        <f>'Data Vlaue (Cr)'!C79</f>
        <v>HINDALCO</v>
      </c>
      <c r="B84" s="140">
        <f>VLOOKUP($A84,'Data shares'!$C:$FB,7)</f>
        <v>894.95</v>
      </c>
      <c r="C84" s="140">
        <f>VLOOKUP($A84,'Data shares'!$C:$FB,3)</f>
        <v>898.55</v>
      </c>
      <c r="D84" s="140">
        <f>VLOOKUP($A84,'Data shares'!$C:$FB,4)</f>
        <v>890.2</v>
      </c>
      <c r="E84" s="50">
        <f t="shared" si="3"/>
        <v>0.93799146259266553</v>
      </c>
      <c r="F84" s="49">
        <f>VLOOKUP($A84,'Data shares'!$C:$FB,98)</f>
        <v>84615300</v>
      </c>
      <c r="G84" s="49">
        <f>VLOOKUP($A84,'Data shares'!$C:$FB,99)</f>
        <v>84562100</v>
      </c>
      <c r="H84" s="50">
        <f t="shared" si="4"/>
        <v>6.2912344892097044E-2</v>
      </c>
      <c r="I84" s="49">
        <f>VLOOKUP($A84,'Data shares'!$C:$FB,66)</f>
        <v>25247600</v>
      </c>
      <c r="J84" s="49">
        <f>VLOOKUP($A84,'Data shares'!$C:$FB,67)</f>
        <v>40362700</v>
      </c>
      <c r="K84" s="50">
        <f t="shared" si="5"/>
        <v>-59.867472551846511</v>
      </c>
      <c r="L84" s="50">
        <f>VLOOKUP($A84,'Data shares'!$C:$FB,118)</f>
        <v>0.93</v>
      </c>
      <c r="M84" s="50">
        <f>VLOOKUP($A84,'Data shares'!$C:$FB,119)</f>
        <v>0.92</v>
      </c>
      <c r="N84" s="50">
        <f>VLOOKUP($A84,'Data shares'!$C:$FB,121)*100</f>
        <v>1.0900000000000001</v>
      </c>
      <c r="O84" s="50">
        <f>VLOOKUP($A84,'Data shares'!$C:$FB,124)</f>
        <v>0.67</v>
      </c>
      <c r="P84" s="50">
        <f>VLOOKUP($A84,'Data shares'!$C:$FB,125)</f>
        <v>0.43</v>
      </c>
      <c r="Q84" s="50">
        <f>VLOOKUP($A84,'Data shares'!$C:$FB,127)*100</f>
        <v>55.81</v>
      </c>
    </row>
    <row r="85" spans="1:17" x14ac:dyDescent="0.25">
      <c r="A85" s="97" t="str">
        <f>'Data Vlaue (Cr)'!C80</f>
        <v>HINDPETRO</v>
      </c>
      <c r="B85" s="140">
        <f>VLOOKUP($A85,'Data shares'!$C:$FB,7)</f>
        <v>498.6</v>
      </c>
      <c r="C85" s="140">
        <f>VLOOKUP($A85,'Data shares'!$C:$FB,3)</f>
        <v>500.45</v>
      </c>
      <c r="D85" s="140">
        <f>VLOOKUP($A85,'Data shares'!$C:$FB,4)</f>
        <v>501.1</v>
      </c>
      <c r="E85" s="50">
        <f t="shared" si="3"/>
        <v>-0.12971462781880544</v>
      </c>
      <c r="F85" s="49">
        <f>VLOOKUP($A85,'Data shares'!$C:$FB,98)</f>
        <v>55233900</v>
      </c>
      <c r="G85" s="49">
        <f>VLOOKUP($A85,'Data shares'!$C:$FB,99)</f>
        <v>54703350</v>
      </c>
      <c r="H85" s="50">
        <f t="shared" si="4"/>
        <v>0.96986747612349145</v>
      </c>
      <c r="I85" s="49">
        <f>VLOOKUP($A85,'Data shares'!$C:$FB,66)</f>
        <v>39740625</v>
      </c>
      <c r="J85" s="49">
        <f>VLOOKUP($A85,'Data shares'!$C:$FB,67)</f>
        <v>97050150</v>
      </c>
      <c r="K85" s="50">
        <f t="shared" si="5"/>
        <v>-144.20891719745222</v>
      </c>
      <c r="L85" s="50">
        <f>VLOOKUP($A85,'Data shares'!$C:$FB,118)</f>
        <v>0.77</v>
      </c>
      <c r="M85" s="50">
        <f>VLOOKUP($A85,'Data shares'!$C:$FB,119)</f>
        <v>0.81</v>
      </c>
      <c r="N85" s="50">
        <f>VLOOKUP($A85,'Data shares'!$C:$FB,121)*100</f>
        <v>-4.9399999999999995</v>
      </c>
      <c r="O85" s="50">
        <f>VLOOKUP($A85,'Data shares'!$C:$FB,124)</f>
        <v>0.6</v>
      </c>
      <c r="P85" s="50">
        <f>VLOOKUP($A85,'Data shares'!$C:$FB,125)</f>
        <v>0.39</v>
      </c>
      <c r="Q85" s="50">
        <f>VLOOKUP($A85,'Data shares'!$C:$FB,127)*100</f>
        <v>53.849999999999994</v>
      </c>
    </row>
    <row r="86" spans="1:17" x14ac:dyDescent="0.25">
      <c r="A86" s="97" t="str">
        <f>'Data Vlaue (Cr)'!C81</f>
        <v>HINDUNILVR</v>
      </c>
      <c r="B86" s="140">
        <f>VLOOKUP($A86,'Data shares'!$C:$FB,7)</f>
        <v>2323</v>
      </c>
      <c r="C86" s="140">
        <f>VLOOKUP($A86,'Data shares'!$C:$FB,3)</f>
        <v>2331.1999999999998</v>
      </c>
      <c r="D86" s="140">
        <f>VLOOKUP($A86,'Data shares'!$C:$FB,4)</f>
        <v>2324.4</v>
      </c>
      <c r="E86" s="50">
        <f t="shared" si="3"/>
        <v>0.29254861469625393</v>
      </c>
      <c r="F86" s="49">
        <f>VLOOKUP($A86,'Data shares'!$C:$FB,98)</f>
        <v>19476600</v>
      </c>
      <c r="G86" s="49">
        <f>VLOOKUP($A86,'Data shares'!$C:$FB,99)</f>
        <v>18531300</v>
      </c>
      <c r="H86" s="50">
        <f t="shared" si="4"/>
        <v>5.1010992213174466</v>
      </c>
      <c r="I86" s="49">
        <f>VLOOKUP($A86,'Data shares'!$C:$FB,66)</f>
        <v>7830300</v>
      </c>
      <c r="J86" s="49">
        <f>VLOOKUP($A86,'Data shares'!$C:$FB,67)</f>
        <v>10696500</v>
      </c>
      <c r="K86" s="50">
        <f t="shared" si="5"/>
        <v>-36.603961534040842</v>
      </c>
      <c r="L86" s="50">
        <f>VLOOKUP($A86,'Data shares'!$C:$FB,118)</f>
        <v>0.69</v>
      </c>
      <c r="M86" s="50">
        <f>VLOOKUP($A86,'Data shares'!$C:$FB,119)</f>
        <v>0.77</v>
      </c>
      <c r="N86" s="50">
        <f>VLOOKUP($A86,'Data shares'!$C:$FB,121)*100</f>
        <v>-10.39</v>
      </c>
      <c r="O86" s="50">
        <f>VLOOKUP($A86,'Data shares'!$C:$FB,124)</f>
        <v>0.57999999999999996</v>
      </c>
      <c r="P86" s="50">
        <f>VLOOKUP($A86,'Data shares'!$C:$FB,125)</f>
        <v>0.45</v>
      </c>
      <c r="Q86" s="50">
        <f>VLOOKUP($A86,'Data shares'!$C:$FB,127)*100</f>
        <v>28.89</v>
      </c>
    </row>
    <row r="87" spans="1:17" x14ac:dyDescent="0.25">
      <c r="A87" s="97" t="str">
        <f>'Data Vlaue (Cr)'!C82</f>
        <v>HINDZINC</v>
      </c>
      <c r="B87" s="140">
        <f>VLOOKUP($A87,'Data shares'!$C:$FB,7)</f>
        <v>611.95000000000005</v>
      </c>
      <c r="C87" s="140">
        <f>VLOOKUP($A87,'Data shares'!$C:$FB,3)</f>
        <v>615.35</v>
      </c>
      <c r="D87" s="140">
        <f>VLOOKUP($A87,'Data shares'!$C:$FB,4)</f>
        <v>616.29999999999995</v>
      </c>
      <c r="E87" s="50">
        <f t="shared" si="3"/>
        <v>-0.15414570825895374</v>
      </c>
      <c r="F87" s="49">
        <f>VLOOKUP($A87,'Data shares'!$C:$FB,98)</f>
        <v>92129800</v>
      </c>
      <c r="G87" s="49">
        <f>VLOOKUP($A87,'Data shares'!$C:$FB,99)</f>
        <v>92327025</v>
      </c>
      <c r="H87" s="50">
        <f t="shared" si="4"/>
        <v>-0.21361567753320332</v>
      </c>
      <c r="I87" s="49">
        <f>VLOOKUP($A87,'Data shares'!$C:$FB,66)</f>
        <v>41970950</v>
      </c>
      <c r="J87" s="49">
        <f>VLOOKUP($A87,'Data shares'!$C:$FB,67)</f>
        <v>91882350</v>
      </c>
      <c r="K87" s="50">
        <f t="shared" si="5"/>
        <v>-118.91891891891892</v>
      </c>
      <c r="L87" s="50">
        <f>VLOOKUP($A87,'Data shares'!$C:$FB,118)</f>
        <v>0.63</v>
      </c>
      <c r="M87" s="50">
        <f>VLOOKUP($A87,'Data shares'!$C:$FB,119)</f>
        <v>0.63</v>
      </c>
      <c r="N87" s="50">
        <f>VLOOKUP($A87,'Data shares'!$C:$FB,121)*100</f>
        <v>0</v>
      </c>
      <c r="O87" s="50">
        <f>VLOOKUP($A87,'Data shares'!$C:$FB,124)</f>
        <v>0.61</v>
      </c>
      <c r="P87" s="50">
        <f>VLOOKUP($A87,'Data shares'!$C:$FB,125)</f>
        <v>0.67</v>
      </c>
      <c r="Q87" s="50">
        <f>VLOOKUP($A87,'Data shares'!$C:$FB,127)*100</f>
        <v>-8.9599999999999991</v>
      </c>
    </row>
    <row r="88" spans="1:17" x14ac:dyDescent="0.25">
      <c r="A88" s="97" t="str">
        <f>'Data Vlaue (Cr)'!C83</f>
        <v>HUDCO</v>
      </c>
      <c r="B88" s="140">
        <f>VLOOKUP($A88,'Data shares'!$C:$FB,7)</f>
        <v>227.58</v>
      </c>
      <c r="C88" s="140">
        <f>VLOOKUP($A88,'Data shares'!$C:$FB,3)</f>
        <v>229.16</v>
      </c>
      <c r="D88" s="140">
        <f>VLOOKUP($A88,'Data shares'!$C:$FB,4)</f>
        <v>229.37</v>
      </c>
      <c r="E88" s="50">
        <f t="shared" si="3"/>
        <v>-9.1555129267126445E-2</v>
      </c>
      <c r="F88" s="140">
        <f>VLOOKUP($A88,'Data shares'!$C:$FB,98)</f>
        <v>63689025</v>
      </c>
      <c r="G88" s="140">
        <f>VLOOKUP($A88,'Data shares'!$C:$FB,99)</f>
        <v>63883275</v>
      </c>
      <c r="H88" s="50">
        <f t="shared" si="4"/>
        <v>-0.30407019677685593</v>
      </c>
      <c r="I88" s="49">
        <f>VLOOKUP($A88,'Data shares'!$C:$FB,66)</f>
        <v>16769325</v>
      </c>
      <c r="J88" s="49">
        <f>VLOOKUP($A88,'Data shares'!$C:$FB,67)</f>
        <v>37004625</v>
      </c>
      <c r="K88" s="50">
        <f t="shared" si="5"/>
        <v>-120.66854211484362</v>
      </c>
      <c r="L88" s="50">
        <f>VLOOKUP($A88,'Data shares'!$C:$FB,118)</f>
        <v>0.9</v>
      </c>
      <c r="M88" s="50">
        <f>VLOOKUP($A88,'Data shares'!$C:$FB,119)</f>
        <v>0.91</v>
      </c>
      <c r="N88" s="50">
        <f>VLOOKUP($A88,'Data shares'!$C:$FB,121)*100</f>
        <v>-1.0999999999999999</v>
      </c>
      <c r="O88" s="50">
        <f>VLOOKUP($A88,'Data shares'!$C:$FB,124)</f>
        <v>0.42</v>
      </c>
      <c r="P88" s="50">
        <f>VLOOKUP($A88,'Data shares'!$C:$FB,125)</f>
        <v>0.37</v>
      </c>
      <c r="Q88" s="50">
        <f>VLOOKUP($A88,'Data shares'!$C:$FB,127)*100</f>
        <v>13.51</v>
      </c>
    </row>
    <row r="89" spans="1:17" x14ac:dyDescent="0.25">
      <c r="A89" s="97" t="str">
        <f>'Data Vlaue (Cr)'!C84</f>
        <v>ICICIBANK</v>
      </c>
      <c r="B89" s="140">
        <f>VLOOKUP($A89,'Data shares'!$C:$FB,7)</f>
        <v>1338</v>
      </c>
      <c r="C89" s="140">
        <f>VLOOKUP($A89,'Data shares'!$C:$FB,3)</f>
        <v>1344.7</v>
      </c>
      <c r="D89" s="140">
        <f>VLOOKUP($A89,'Data shares'!$C:$FB,4)</f>
        <v>1350.6</v>
      </c>
      <c r="E89" s="50">
        <f t="shared" si="3"/>
        <v>-0.4368428846438519</v>
      </c>
      <c r="F89" s="49">
        <f>VLOOKUP($A89,'Data shares'!$C:$FB,98)</f>
        <v>166563600</v>
      </c>
      <c r="G89" s="49">
        <f>VLOOKUP($A89,'Data shares'!$C:$FB,99)</f>
        <v>161780500</v>
      </c>
      <c r="H89" s="50">
        <f t="shared" si="4"/>
        <v>2.956536789044415</v>
      </c>
      <c r="I89" s="49">
        <f>VLOOKUP($A89,'Data shares'!$C:$FB,66)</f>
        <v>25188800</v>
      </c>
      <c r="J89" s="49">
        <f>VLOOKUP($A89,'Data shares'!$C:$FB,67)</f>
        <v>51138500</v>
      </c>
      <c r="K89" s="50">
        <f t="shared" si="5"/>
        <v>-103.02078701645176</v>
      </c>
      <c r="L89" s="50">
        <f>VLOOKUP($A89,'Data shares'!$C:$FB,118)</f>
        <v>0.82</v>
      </c>
      <c r="M89" s="50">
        <f>VLOOKUP($A89,'Data shares'!$C:$FB,119)</f>
        <v>0.86</v>
      </c>
      <c r="N89" s="50">
        <f>VLOOKUP($A89,'Data shares'!$C:$FB,121)*100</f>
        <v>-4.6500000000000004</v>
      </c>
      <c r="O89" s="50">
        <f>VLOOKUP($A89,'Data shares'!$C:$FB,124)</f>
        <v>0.52</v>
      </c>
      <c r="P89" s="50">
        <f>VLOOKUP($A89,'Data shares'!$C:$FB,125)</f>
        <v>0.6</v>
      </c>
      <c r="Q89" s="50">
        <f>VLOOKUP($A89,'Data shares'!$C:$FB,127)*100</f>
        <v>-13.33</v>
      </c>
    </row>
    <row r="90" spans="1:17" x14ac:dyDescent="0.25">
      <c r="A90" s="97" t="str">
        <f>'Data Vlaue (Cr)'!C85</f>
        <v>ICICIGI</v>
      </c>
      <c r="B90" s="140">
        <f>VLOOKUP($A90,'Data shares'!$C:$FB,7)</f>
        <v>1956.9</v>
      </c>
      <c r="C90" s="140">
        <f>VLOOKUP($A90,'Data shares'!$C:$FB,3)</f>
        <v>1961.2</v>
      </c>
      <c r="D90" s="140">
        <f>VLOOKUP($A90,'Data shares'!$C:$FB,4)</f>
        <v>1972.1</v>
      </c>
      <c r="E90" s="50">
        <f t="shared" si="3"/>
        <v>-0.55271030880786287</v>
      </c>
      <c r="F90" s="49">
        <f>VLOOKUP($A90,'Data shares'!$C:$FB,98)</f>
        <v>6175325</v>
      </c>
      <c r="G90" s="49">
        <f>VLOOKUP($A90,'Data shares'!$C:$FB,99)</f>
        <v>5933200</v>
      </c>
      <c r="H90" s="50">
        <f t="shared" si="4"/>
        <v>4.0808501314636283</v>
      </c>
      <c r="I90" s="49">
        <f>VLOOKUP($A90,'Data shares'!$C:$FB,66)</f>
        <v>841100</v>
      </c>
      <c r="J90" s="49">
        <f>VLOOKUP($A90,'Data shares'!$C:$FB,67)</f>
        <v>1111500</v>
      </c>
      <c r="K90" s="50">
        <f t="shared" si="5"/>
        <v>-32.1483771251932</v>
      </c>
      <c r="L90" s="50">
        <f>VLOOKUP($A90,'Data shares'!$C:$FB,118)</f>
        <v>1.37</v>
      </c>
      <c r="M90" s="50">
        <f>VLOOKUP($A90,'Data shares'!$C:$FB,119)</f>
        <v>1.28</v>
      </c>
      <c r="N90" s="50">
        <f>VLOOKUP($A90,'Data shares'!$C:$FB,121)*100</f>
        <v>7.03</v>
      </c>
      <c r="O90" s="50">
        <f>VLOOKUP($A90,'Data shares'!$C:$FB,124)</f>
        <v>0.89</v>
      </c>
      <c r="P90" s="50">
        <f>VLOOKUP($A90,'Data shares'!$C:$FB,125)</f>
        <v>1.17</v>
      </c>
      <c r="Q90" s="50">
        <f>VLOOKUP($A90,'Data shares'!$C:$FB,127)*100</f>
        <v>-23.93</v>
      </c>
    </row>
    <row r="91" spans="1:17" x14ac:dyDescent="0.25">
      <c r="A91" s="97" t="str">
        <f>'Data Vlaue (Cr)'!C86</f>
        <v>ICICIPRULI</v>
      </c>
      <c r="B91" s="140">
        <f>VLOOKUP($A91,'Data shares'!$C:$FB,7)</f>
        <v>674.3</v>
      </c>
      <c r="C91" s="140">
        <f>VLOOKUP($A91,'Data shares'!$C:$FB,3)</f>
        <v>678.75</v>
      </c>
      <c r="D91" s="140">
        <f>VLOOKUP($A91,'Data shares'!$C:$FB,4)</f>
        <v>671.1</v>
      </c>
      <c r="E91" s="50">
        <f t="shared" si="3"/>
        <v>1.1399195350916371</v>
      </c>
      <c r="F91" s="49">
        <f>VLOOKUP($A91,'Data shares'!$C:$FB,98)</f>
        <v>20621025</v>
      </c>
      <c r="G91" s="49">
        <f>VLOOKUP($A91,'Data shares'!$C:$FB,99)</f>
        <v>20150200</v>
      </c>
      <c r="H91" s="50">
        <f t="shared" si="4"/>
        <v>2.3365773044436282</v>
      </c>
      <c r="I91" s="49">
        <f>VLOOKUP($A91,'Data shares'!$C:$FB,66)</f>
        <v>3087650</v>
      </c>
      <c r="J91" s="49">
        <f>VLOOKUP($A91,'Data shares'!$C:$FB,67)</f>
        <v>8085425</v>
      </c>
      <c r="K91" s="50">
        <f t="shared" si="5"/>
        <v>-161.86339125224686</v>
      </c>
      <c r="L91" s="50">
        <f>VLOOKUP($A91,'Data shares'!$C:$FB,118)</f>
        <v>1.06</v>
      </c>
      <c r="M91" s="50">
        <f>VLOOKUP($A91,'Data shares'!$C:$FB,119)</f>
        <v>0.94</v>
      </c>
      <c r="N91" s="50">
        <f>VLOOKUP($A91,'Data shares'!$C:$FB,121)*100</f>
        <v>12.770000000000001</v>
      </c>
      <c r="O91" s="50">
        <f>VLOOKUP($A91,'Data shares'!$C:$FB,124)</f>
        <v>0.72</v>
      </c>
      <c r="P91" s="50">
        <f>VLOOKUP($A91,'Data shares'!$C:$FB,125)</f>
        <v>0.4</v>
      </c>
      <c r="Q91" s="50">
        <f>VLOOKUP($A91,'Data shares'!$C:$FB,127)*100</f>
        <v>80</v>
      </c>
    </row>
    <row r="92" spans="1:17" x14ac:dyDescent="0.25">
      <c r="A92" s="97" t="str">
        <f>'Data Vlaue (Cr)'!C87</f>
        <v>IDEA</v>
      </c>
      <c r="B92" s="140">
        <f>VLOOKUP($A92,'Data shares'!$C:$FB,7)</f>
        <v>11.6</v>
      </c>
      <c r="C92" s="140">
        <f>VLOOKUP($A92,'Data shares'!$C:$FB,3)</f>
        <v>11.71</v>
      </c>
      <c r="D92" s="140">
        <f>VLOOKUP($A92,'Data shares'!$C:$FB,4)</f>
        <v>10.83</v>
      </c>
      <c r="E92" s="50">
        <f t="shared" si="3"/>
        <v>8.1255771006463604</v>
      </c>
      <c r="F92" s="49">
        <f>VLOOKUP($A92,'Data shares'!$C:$FB,98)</f>
        <v>11018014200</v>
      </c>
      <c r="G92" s="49">
        <f>VLOOKUP($A92,'Data shares'!$C:$FB,99)</f>
        <v>10492815900</v>
      </c>
      <c r="H92" s="50">
        <f t="shared" si="4"/>
        <v>5.0053132067246127</v>
      </c>
      <c r="I92" s="49">
        <f>VLOOKUP($A92,'Data shares'!$C:$FB,66)</f>
        <v>5598200000</v>
      </c>
      <c r="J92" s="49">
        <f>VLOOKUP($A92,'Data shares'!$C:$FB,67)</f>
        <v>10032480000</v>
      </c>
      <c r="K92" s="50">
        <f t="shared" si="5"/>
        <v>-79.209031474402494</v>
      </c>
      <c r="L92" s="50">
        <f>VLOOKUP($A92,'Data shares'!$C:$FB,118)</f>
        <v>0.61</v>
      </c>
      <c r="M92" s="50">
        <f>VLOOKUP($A92,'Data shares'!$C:$FB,119)</f>
        <v>0.56000000000000005</v>
      </c>
      <c r="N92" s="50">
        <f>VLOOKUP($A92,'Data shares'!$C:$FB,121)*100</f>
        <v>8.93</v>
      </c>
      <c r="O92" s="50">
        <f>VLOOKUP($A92,'Data shares'!$C:$FB,124)</f>
        <v>0.47</v>
      </c>
      <c r="P92" s="50">
        <f>VLOOKUP($A92,'Data shares'!$C:$FB,125)</f>
        <v>0.54</v>
      </c>
      <c r="Q92" s="50">
        <f>VLOOKUP($A92,'Data shares'!$C:$FB,127)*100</f>
        <v>-12.959999999999999</v>
      </c>
    </row>
    <row r="93" spans="1:17" x14ac:dyDescent="0.25">
      <c r="A93" s="97" t="str">
        <f>'Data Vlaue (Cr)'!C88</f>
        <v>IDFCFIRSTB</v>
      </c>
      <c r="B93" s="140">
        <f>VLOOKUP($A93,'Data shares'!$C:$FB,7)</f>
        <v>85.61</v>
      </c>
      <c r="C93" s="140">
        <f>VLOOKUP($A93,'Data shares'!$C:$FB,3)</f>
        <v>86.15</v>
      </c>
      <c r="D93" s="140">
        <f>VLOOKUP($A93,'Data shares'!$C:$FB,4)</f>
        <v>85.9</v>
      </c>
      <c r="E93" s="50">
        <f t="shared" si="3"/>
        <v>0.29103608847497087</v>
      </c>
      <c r="F93" s="49">
        <f>VLOOKUP($A93,'Data shares'!$C:$FB,98)</f>
        <v>447676425</v>
      </c>
      <c r="G93" s="49">
        <f>VLOOKUP($A93,'Data shares'!$C:$FB,99)</f>
        <v>445728675</v>
      </c>
      <c r="H93" s="50">
        <f t="shared" si="4"/>
        <v>0.43698108496160804</v>
      </c>
      <c r="I93" s="49">
        <f>VLOOKUP($A93,'Data shares'!$C:$FB,66)</f>
        <v>91460775</v>
      </c>
      <c r="J93" s="49">
        <f>VLOOKUP($A93,'Data shares'!$C:$FB,67)</f>
        <v>182281575</v>
      </c>
      <c r="K93" s="50">
        <f t="shared" si="5"/>
        <v>-99.300273805902037</v>
      </c>
      <c r="L93" s="50">
        <f>VLOOKUP($A93,'Data shares'!$C:$FB,118)</f>
        <v>0.65</v>
      </c>
      <c r="M93" s="50">
        <f>VLOOKUP($A93,'Data shares'!$C:$FB,119)</f>
        <v>0.66</v>
      </c>
      <c r="N93" s="50">
        <f>VLOOKUP($A93,'Data shares'!$C:$FB,121)*100</f>
        <v>-1.52</v>
      </c>
      <c r="O93" s="50">
        <f>VLOOKUP($A93,'Data shares'!$C:$FB,124)</f>
        <v>0.53</v>
      </c>
      <c r="P93" s="50">
        <f>VLOOKUP($A93,'Data shares'!$C:$FB,125)</f>
        <v>0.55000000000000004</v>
      </c>
      <c r="Q93" s="50">
        <f>VLOOKUP($A93,'Data shares'!$C:$FB,127)*100</f>
        <v>-3.64</v>
      </c>
    </row>
    <row r="94" spans="1:17" x14ac:dyDescent="0.25">
      <c r="A94" s="97" t="str">
        <f>'Data Vlaue (Cr)'!C89</f>
        <v>IEX</v>
      </c>
      <c r="B94" s="140">
        <f>VLOOKUP($A94,'Data shares'!$C:$FB,7)</f>
        <v>133.38999999999999</v>
      </c>
      <c r="C94" s="140">
        <f>VLOOKUP($A94,'Data shares'!$C:$FB,3)</f>
        <v>133.53</v>
      </c>
      <c r="D94" s="140">
        <f>VLOOKUP($A94,'Data shares'!$C:$FB,4)</f>
        <v>134.57</v>
      </c>
      <c r="E94" s="50">
        <f t="shared" si="3"/>
        <v>-0.77283198335438219</v>
      </c>
      <c r="F94" s="49">
        <f>VLOOKUP($A94,'Data shares'!$C:$FB,98)</f>
        <v>118271250</v>
      </c>
      <c r="G94" s="49">
        <f>VLOOKUP($A94,'Data shares'!$C:$FB,99)</f>
        <v>113955000</v>
      </c>
      <c r="H94" s="50">
        <f t="shared" si="4"/>
        <v>3.7876793471107013</v>
      </c>
      <c r="I94" s="49">
        <f>VLOOKUP($A94,'Data shares'!$C:$FB,66)</f>
        <v>25856250</v>
      </c>
      <c r="J94" s="49">
        <f>VLOOKUP($A94,'Data shares'!$C:$FB,67)</f>
        <v>40845000</v>
      </c>
      <c r="K94" s="50">
        <f t="shared" si="5"/>
        <v>-57.969543147208128</v>
      </c>
      <c r="L94" s="50">
        <f>VLOOKUP($A94,'Data shares'!$C:$FB,118)</f>
        <v>0.72</v>
      </c>
      <c r="M94" s="50">
        <f>VLOOKUP($A94,'Data shares'!$C:$FB,119)</f>
        <v>0.78</v>
      </c>
      <c r="N94" s="50">
        <f>VLOOKUP($A94,'Data shares'!$C:$FB,121)*100</f>
        <v>-7.6899999999999995</v>
      </c>
      <c r="O94" s="50">
        <f>VLOOKUP($A94,'Data shares'!$C:$FB,124)</f>
        <v>0.34</v>
      </c>
      <c r="P94" s="50">
        <f>VLOOKUP($A94,'Data shares'!$C:$FB,125)</f>
        <v>0.37</v>
      </c>
      <c r="Q94" s="50">
        <f>VLOOKUP($A94,'Data shares'!$C:$FB,127)*100</f>
        <v>-8.1100000000000012</v>
      </c>
    </row>
    <row r="95" spans="1:17" x14ac:dyDescent="0.25">
      <c r="A95" s="97" t="str">
        <f>'Data Vlaue (Cr)'!C90</f>
        <v>IIFL</v>
      </c>
      <c r="B95" s="140">
        <f>VLOOKUP($A95,'Data shares'!$C:$FB,7)</f>
        <v>620.45000000000005</v>
      </c>
      <c r="C95" s="140">
        <f>VLOOKUP($A95,'Data shares'!$C:$FB,3)</f>
        <v>621.6</v>
      </c>
      <c r="D95" s="140">
        <f>VLOOKUP($A95,'Data shares'!$C:$FB,4)</f>
        <v>611.35</v>
      </c>
      <c r="E95" s="50">
        <f t="shared" si="3"/>
        <v>1.6766173223194569</v>
      </c>
      <c r="F95" s="49">
        <f>VLOOKUP($A95,'Data shares'!$C:$FB,98)</f>
        <v>19611900</v>
      </c>
      <c r="G95" s="49">
        <f>VLOOKUP($A95,'Data shares'!$C:$FB,99)</f>
        <v>19257150</v>
      </c>
      <c r="H95" s="50">
        <f t="shared" si="4"/>
        <v>1.842172907205895</v>
      </c>
      <c r="I95" s="49">
        <f>VLOOKUP($A95,'Data shares'!$C:$FB,66)</f>
        <v>11371800</v>
      </c>
      <c r="J95" s="49">
        <f>VLOOKUP($A95,'Data shares'!$C:$FB,67)</f>
        <v>13759350</v>
      </c>
      <c r="K95" s="50">
        <f t="shared" si="5"/>
        <v>-20.99535693557748</v>
      </c>
      <c r="L95" s="50">
        <f>VLOOKUP($A95,'Data shares'!$C:$FB,118)</f>
        <v>0.98</v>
      </c>
      <c r="M95" s="50">
        <f>VLOOKUP($A95,'Data shares'!$C:$FB,119)</f>
        <v>0.8</v>
      </c>
      <c r="N95" s="50">
        <f>VLOOKUP($A95,'Data shares'!$C:$FB,121)*100</f>
        <v>22.5</v>
      </c>
      <c r="O95" s="50">
        <f>VLOOKUP($A95,'Data shares'!$C:$FB,124)</f>
        <v>0.51</v>
      </c>
      <c r="P95" s="50">
        <f>VLOOKUP($A95,'Data shares'!$C:$FB,125)</f>
        <v>0.28999999999999998</v>
      </c>
      <c r="Q95" s="50">
        <f>VLOOKUP($A95,'Data shares'!$C:$FB,127)*100</f>
        <v>75.86</v>
      </c>
    </row>
    <row r="96" spans="1:17" x14ac:dyDescent="0.25">
      <c r="A96" s="97" t="str">
        <f>'Data Vlaue (Cr)'!C91</f>
        <v>INDHOTEL</v>
      </c>
      <c r="B96" s="140">
        <f>VLOOKUP($A96,'Data shares'!$C:$FB,7)</f>
        <v>738.6</v>
      </c>
      <c r="C96" s="140">
        <f>VLOOKUP($A96,'Data shares'!$C:$FB,3)</f>
        <v>742.05</v>
      </c>
      <c r="D96" s="140">
        <f>VLOOKUP($A96,'Data shares'!$C:$FB,4)</f>
        <v>741.35</v>
      </c>
      <c r="E96" s="50">
        <f t="shared" si="3"/>
        <v>9.4422337627292338E-2</v>
      </c>
      <c r="F96" s="49">
        <f>VLOOKUP($A96,'Data shares'!$C:$FB,98)</f>
        <v>34980000</v>
      </c>
      <c r="G96" s="49">
        <f>VLOOKUP($A96,'Data shares'!$C:$FB,99)</f>
        <v>33887000</v>
      </c>
      <c r="H96" s="50">
        <f t="shared" si="4"/>
        <v>3.2254256794641014</v>
      </c>
      <c r="I96" s="49">
        <f>VLOOKUP($A96,'Data shares'!$C:$FB,66)</f>
        <v>7610000</v>
      </c>
      <c r="J96" s="49">
        <f>VLOOKUP($A96,'Data shares'!$C:$FB,67)</f>
        <v>11782000</v>
      </c>
      <c r="K96" s="50">
        <f t="shared" si="5"/>
        <v>-54.822601839684623</v>
      </c>
      <c r="L96" s="50">
        <f>VLOOKUP($A96,'Data shares'!$C:$FB,118)</f>
        <v>0.77</v>
      </c>
      <c r="M96" s="50">
        <f>VLOOKUP($A96,'Data shares'!$C:$FB,119)</f>
        <v>0.8</v>
      </c>
      <c r="N96" s="50">
        <f>VLOOKUP($A96,'Data shares'!$C:$FB,121)*100</f>
        <v>-3.75</v>
      </c>
      <c r="O96" s="50">
        <f>VLOOKUP($A96,'Data shares'!$C:$FB,124)</f>
        <v>0.43</v>
      </c>
      <c r="P96" s="50">
        <f>VLOOKUP($A96,'Data shares'!$C:$FB,125)</f>
        <v>0.5</v>
      </c>
      <c r="Q96" s="50">
        <f>VLOOKUP($A96,'Data shares'!$C:$FB,127)*100</f>
        <v>-14.000000000000002</v>
      </c>
    </row>
    <row r="97" spans="1:17" x14ac:dyDescent="0.25">
      <c r="A97" s="97" t="str">
        <f>'Data Vlaue (Cr)'!C92</f>
        <v>INDIANB</v>
      </c>
      <c r="B97" s="140">
        <f>VLOOKUP($A97,'Data shares'!$C:$FB,7)</f>
        <v>832.6</v>
      </c>
      <c r="C97" s="140">
        <f>VLOOKUP($A97,'Data shares'!$C:$FB,3)</f>
        <v>838.2</v>
      </c>
      <c r="D97" s="140">
        <f>VLOOKUP($A97,'Data shares'!$C:$FB,4)</f>
        <v>839.4</v>
      </c>
      <c r="E97" s="50">
        <f t="shared" si="3"/>
        <v>-0.14295925661185749</v>
      </c>
      <c r="F97" s="49">
        <f>VLOOKUP($A97,'Data shares'!$C:$FB,98)</f>
        <v>15704000</v>
      </c>
      <c r="G97" s="49">
        <f>VLOOKUP($A97,'Data shares'!$C:$FB,99)</f>
        <v>15640000</v>
      </c>
      <c r="H97" s="50">
        <f t="shared" si="4"/>
        <v>0.40920716112531963</v>
      </c>
      <c r="I97" s="49">
        <f>VLOOKUP($A97,'Data shares'!$C:$FB,66)</f>
        <v>10411000</v>
      </c>
      <c r="J97" s="49">
        <f>VLOOKUP($A97,'Data shares'!$C:$FB,67)</f>
        <v>24582000</v>
      </c>
      <c r="K97" s="50">
        <f t="shared" si="5"/>
        <v>-136.11564691192009</v>
      </c>
      <c r="L97" s="50">
        <f>VLOOKUP($A97,'Data shares'!$C:$FB,118)</f>
        <v>0.79</v>
      </c>
      <c r="M97" s="50">
        <f>VLOOKUP($A97,'Data shares'!$C:$FB,119)</f>
        <v>0.85</v>
      </c>
      <c r="N97" s="50">
        <f>VLOOKUP($A97,'Data shares'!$C:$FB,121)*100</f>
        <v>-7.06</v>
      </c>
      <c r="O97" s="50">
        <f>VLOOKUP($A97,'Data shares'!$C:$FB,124)</f>
        <v>0.38</v>
      </c>
      <c r="P97" s="50">
        <f>VLOOKUP($A97,'Data shares'!$C:$FB,125)</f>
        <v>0.32</v>
      </c>
      <c r="Q97" s="50">
        <f>VLOOKUP($A97,'Data shares'!$C:$FB,127)*100</f>
        <v>18.75</v>
      </c>
    </row>
    <row r="98" spans="1:17" x14ac:dyDescent="0.25">
      <c r="A98" s="97" t="str">
        <f>'Data Vlaue (Cr)'!C93</f>
        <v>INDIAVIX</v>
      </c>
      <c r="B98" s="140">
        <f>VLOOKUP($A98,'Data shares'!$C:$FB,7)</f>
        <v>9.19</v>
      </c>
      <c r="C98" s="140">
        <f>VLOOKUP($A98,'Data shares'!$C:$FB,3)</f>
        <v>9.19</v>
      </c>
      <c r="D98" s="140">
        <f>VLOOKUP($A98,'Data shares'!$C:$FB,4)</f>
        <v>9.4700000000000006</v>
      </c>
      <c r="E98" s="50">
        <f t="shared" si="3"/>
        <v>-2.9567053854276781</v>
      </c>
      <c r="F98" s="49">
        <f>VLOOKUP($A98,'Data shares'!$C:$FB,98)</f>
        <v>0</v>
      </c>
      <c r="G98" s="49">
        <f>VLOOKUP($A98,'Data shares'!$C:$FB,99)</f>
        <v>0</v>
      </c>
      <c r="H98" s="50" t="e">
        <f t="shared" si="4"/>
        <v>#DIV/0!</v>
      </c>
      <c r="I98" s="49">
        <f>VLOOKUP($A98,'Data shares'!$C:$FB,66)</f>
        <v>0</v>
      </c>
      <c r="J98" s="49">
        <f>VLOOKUP($A98,'Data shares'!$C:$FB,67)</f>
        <v>0</v>
      </c>
      <c r="K98" s="50" t="e">
        <f t="shared" si="5"/>
        <v>#DIV/0!</v>
      </c>
      <c r="L98" s="50">
        <f>VLOOKUP($A98,'Data shares'!$C:$FB,118)</f>
        <v>0</v>
      </c>
      <c r="M98" s="50">
        <f>VLOOKUP($A98,'Data shares'!$C:$FB,119)</f>
        <v>0</v>
      </c>
      <c r="N98" s="50">
        <f>VLOOKUP($A98,'Data shares'!$C:$FB,121)*100</f>
        <v>0</v>
      </c>
      <c r="O98" s="50">
        <f>VLOOKUP($A98,'Data shares'!$C:$FB,124)</f>
        <v>0</v>
      </c>
      <c r="P98" s="50">
        <f>VLOOKUP($A98,'Data shares'!$C:$FB,125)</f>
        <v>0</v>
      </c>
      <c r="Q98" s="50">
        <f>VLOOKUP($A98,'Data shares'!$C:$FB,127)*100</f>
        <v>0</v>
      </c>
    </row>
    <row r="99" spans="1:17" x14ac:dyDescent="0.25">
      <c r="A99" s="97" t="str">
        <f>'Data Vlaue (Cr)'!C94</f>
        <v>INDIGO</v>
      </c>
      <c r="B99" s="140">
        <f>VLOOKUP($A99,'Data shares'!$C:$FB,7)</f>
        <v>5110.5</v>
      </c>
      <c r="C99" s="140">
        <f>VLOOKUP($A99,'Data shares'!$C:$FB,3)</f>
        <v>5141.5</v>
      </c>
      <c r="D99" s="140">
        <f>VLOOKUP($A99,'Data shares'!$C:$FB,4)</f>
        <v>5077.5</v>
      </c>
      <c r="E99" s="50">
        <f t="shared" si="3"/>
        <v>1.2604628261939932</v>
      </c>
      <c r="F99" s="49">
        <f>VLOOKUP($A99,'Data shares'!$C:$FB,98)</f>
        <v>15461850</v>
      </c>
      <c r="G99" s="49">
        <f>VLOOKUP($A99,'Data shares'!$C:$FB,99)</f>
        <v>15096600</v>
      </c>
      <c r="H99" s="50">
        <f t="shared" si="4"/>
        <v>2.4194189420134333</v>
      </c>
      <c r="I99" s="49">
        <f>VLOOKUP($A99,'Data shares'!$C:$FB,66)</f>
        <v>11290350</v>
      </c>
      <c r="J99" s="49">
        <f>VLOOKUP($A99,'Data shares'!$C:$FB,67)</f>
        <v>7708500</v>
      </c>
      <c r="K99" s="50">
        <f t="shared" si="5"/>
        <v>31.724880096719765</v>
      </c>
      <c r="L99" s="50">
        <f>VLOOKUP($A99,'Data shares'!$C:$FB,118)</f>
        <v>0.91</v>
      </c>
      <c r="M99" s="50">
        <f>VLOOKUP($A99,'Data shares'!$C:$FB,119)</f>
        <v>0.97</v>
      </c>
      <c r="N99" s="50">
        <f>VLOOKUP($A99,'Data shares'!$C:$FB,121)*100</f>
        <v>-6.1899999999999995</v>
      </c>
      <c r="O99" s="50">
        <f>VLOOKUP($A99,'Data shares'!$C:$FB,124)</f>
        <v>0.49</v>
      </c>
      <c r="P99" s="50">
        <f>VLOOKUP($A99,'Data shares'!$C:$FB,125)</f>
        <v>0.79</v>
      </c>
      <c r="Q99" s="50">
        <f>VLOOKUP($A99,'Data shares'!$C:$FB,127)*100</f>
        <v>-37.97</v>
      </c>
    </row>
    <row r="100" spans="1:17" x14ac:dyDescent="0.25">
      <c r="A100" s="97" t="str">
        <f>'Data Vlaue (Cr)'!C95</f>
        <v>INDUSINDBK</v>
      </c>
      <c r="B100" s="140">
        <f>VLOOKUP($A100,'Data shares'!$C:$FB,7)</f>
        <v>890.2</v>
      </c>
      <c r="C100" s="140">
        <f>VLOOKUP($A100,'Data shares'!$C:$FB,3)</f>
        <v>893.65</v>
      </c>
      <c r="D100" s="140">
        <f>VLOOKUP($A100,'Data shares'!$C:$FB,4)</f>
        <v>867.45</v>
      </c>
      <c r="E100" s="50">
        <f t="shared" si="3"/>
        <v>3.0203469940630505</v>
      </c>
      <c r="F100" s="49">
        <f>VLOOKUP($A100,'Data shares'!$C:$FB,98)</f>
        <v>64277500</v>
      </c>
      <c r="G100" s="49">
        <f>VLOOKUP($A100,'Data shares'!$C:$FB,99)</f>
        <v>60700500</v>
      </c>
      <c r="H100" s="50">
        <f t="shared" si="4"/>
        <v>5.892867439312691</v>
      </c>
      <c r="I100" s="49">
        <f>VLOOKUP($A100,'Data shares'!$C:$FB,66)</f>
        <v>40440400</v>
      </c>
      <c r="J100" s="49">
        <f>VLOOKUP($A100,'Data shares'!$C:$FB,67)</f>
        <v>44150400</v>
      </c>
      <c r="K100" s="50">
        <f t="shared" si="5"/>
        <v>-9.1739943225091736</v>
      </c>
      <c r="L100" s="50">
        <f>VLOOKUP($A100,'Data shares'!$C:$FB,118)</f>
        <v>0.9</v>
      </c>
      <c r="M100" s="50">
        <f>VLOOKUP($A100,'Data shares'!$C:$FB,119)</f>
        <v>0.7</v>
      </c>
      <c r="N100" s="50">
        <f>VLOOKUP($A100,'Data shares'!$C:$FB,121)*100</f>
        <v>28.57</v>
      </c>
      <c r="O100" s="50">
        <f>VLOOKUP($A100,'Data shares'!$C:$FB,124)</f>
        <v>0.55000000000000004</v>
      </c>
      <c r="P100" s="50">
        <f>VLOOKUP($A100,'Data shares'!$C:$FB,125)</f>
        <v>0.63</v>
      </c>
      <c r="Q100" s="50">
        <f>VLOOKUP($A100,'Data shares'!$C:$FB,127)*100</f>
        <v>-12.7</v>
      </c>
    </row>
    <row r="101" spans="1:17" x14ac:dyDescent="0.25">
      <c r="A101" s="97" t="str">
        <f>'Data Vlaue (Cr)'!C96</f>
        <v>INDUSTOWER</v>
      </c>
      <c r="B101" s="140">
        <f>VLOOKUP($A101,'Data shares'!$C:$FB,7)</f>
        <v>435.8</v>
      </c>
      <c r="C101" s="140">
        <f>VLOOKUP($A101,'Data shares'!$C:$FB,3)</f>
        <v>438.8</v>
      </c>
      <c r="D101" s="140">
        <f>VLOOKUP($A101,'Data shares'!$C:$FB,4)</f>
        <v>421.2</v>
      </c>
      <c r="E101" s="50">
        <f t="shared" si="3"/>
        <v>4.178537511870851</v>
      </c>
      <c r="F101" s="49">
        <f>VLOOKUP($A101,'Data shares'!$C:$FB,98)</f>
        <v>126566700</v>
      </c>
      <c r="G101" s="49">
        <f>VLOOKUP($A101,'Data shares'!$C:$FB,99)</f>
        <v>123788900</v>
      </c>
      <c r="H101" s="50">
        <f t="shared" si="4"/>
        <v>2.243981487839378</v>
      </c>
      <c r="I101" s="49">
        <f>VLOOKUP($A101,'Data shares'!$C:$FB,66)</f>
        <v>169576700</v>
      </c>
      <c r="J101" s="49">
        <f>VLOOKUP($A101,'Data shares'!$C:$FB,67)</f>
        <v>265795000</v>
      </c>
      <c r="K101" s="50">
        <f t="shared" si="5"/>
        <v>-56.740283305430516</v>
      </c>
      <c r="L101" s="50">
        <f>VLOOKUP($A101,'Data shares'!$C:$FB,118)</f>
        <v>0.76</v>
      </c>
      <c r="M101" s="50">
        <f>VLOOKUP($A101,'Data shares'!$C:$FB,119)</f>
        <v>0.6</v>
      </c>
      <c r="N101" s="50">
        <f>VLOOKUP($A101,'Data shares'!$C:$FB,121)*100</f>
        <v>26.669999999999998</v>
      </c>
      <c r="O101" s="50">
        <f>VLOOKUP($A101,'Data shares'!$C:$FB,124)</f>
        <v>0.42</v>
      </c>
      <c r="P101" s="50">
        <f>VLOOKUP($A101,'Data shares'!$C:$FB,125)</f>
        <v>0.52</v>
      </c>
      <c r="Q101" s="50">
        <f>VLOOKUP($A101,'Data shares'!$C:$FB,127)*100</f>
        <v>-19.23</v>
      </c>
    </row>
    <row r="102" spans="1:17" x14ac:dyDescent="0.25">
      <c r="A102" s="97" t="str">
        <f>'Data Vlaue (Cr)'!C97</f>
        <v>INFY</v>
      </c>
      <c r="B102" s="140">
        <f>VLOOKUP($A102,'Data shares'!$C:$FB,7)</f>
        <v>1629.8</v>
      </c>
      <c r="C102" s="140">
        <f>VLOOKUP($A102,'Data shares'!$C:$FB,3)</f>
        <v>1637.3</v>
      </c>
      <c r="D102" s="140">
        <f>VLOOKUP($A102,'Data shares'!$C:$FB,4)</f>
        <v>1625.3</v>
      </c>
      <c r="E102" s="50">
        <f t="shared" si="3"/>
        <v>0.73832523226481273</v>
      </c>
      <c r="F102" s="49">
        <f>VLOOKUP($A102,'Data shares'!$C:$FB,98)</f>
        <v>91691600</v>
      </c>
      <c r="G102" s="49">
        <f>VLOOKUP($A102,'Data shares'!$C:$FB,99)</f>
        <v>89946400</v>
      </c>
      <c r="H102" s="50">
        <f t="shared" si="4"/>
        <v>1.9402666476924033</v>
      </c>
      <c r="I102" s="49">
        <f>VLOOKUP($A102,'Data shares'!$C:$FB,66)</f>
        <v>22228800</v>
      </c>
      <c r="J102" s="49">
        <f>VLOOKUP($A102,'Data shares'!$C:$FB,67)</f>
        <v>30273200</v>
      </c>
      <c r="K102" s="50">
        <f t="shared" si="5"/>
        <v>-36.189088029943136</v>
      </c>
      <c r="L102" s="50">
        <f>VLOOKUP($A102,'Data shares'!$C:$FB,118)</f>
        <v>0.79</v>
      </c>
      <c r="M102" s="50">
        <f>VLOOKUP($A102,'Data shares'!$C:$FB,119)</f>
        <v>0.82</v>
      </c>
      <c r="N102" s="50">
        <f>VLOOKUP($A102,'Data shares'!$C:$FB,121)*100</f>
        <v>-3.66</v>
      </c>
      <c r="O102" s="50">
        <f>VLOOKUP($A102,'Data shares'!$C:$FB,124)</f>
        <v>0.44</v>
      </c>
      <c r="P102" s="50">
        <f>VLOOKUP($A102,'Data shares'!$C:$FB,125)</f>
        <v>0.51</v>
      </c>
      <c r="Q102" s="50">
        <f>VLOOKUP($A102,'Data shares'!$C:$FB,127)*100</f>
        <v>-13.73</v>
      </c>
    </row>
    <row r="103" spans="1:17" x14ac:dyDescent="0.25">
      <c r="A103" s="97" t="str">
        <f>'Data Vlaue (Cr)'!C98</f>
        <v>INOXWIND</v>
      </c>
      <c r="B103" s="140">
        <f>VLOOKUP($A103,'Data shares'!$C:$FB,7)</f>
        <v>122.85</v>
      </c>
      <c r="C103" s="140">
        <f>VLOOKUP($A103,'Data shares'!$C:$FB,3)</f>
        <v>123.68</v>
      </c>
      <c r="D103" s="140">
        <f>VLOOKUP($A103,'Data shares'!$C:$FB,4)</f>
        <v>124.36</v>
      </c>
      <c r="E103" s="50">
        <f t="shared" si="3"/>
        <v>-0.54679961402379595</v>
      </c>
      <c r="F103" s="49">
        <f>VLOOKUP($A103,'Data shares'!$C:$FB,98)</f>
        <v>123123000</v>
      </c>
      <c r="G103" s="49">
        <f>VLOOKUP($A103,'Data shares'!$C:$FB,99)</f>
        <v>121138875</v>
      </c>
      <c r="H103" s="50">
        <f t="shared" si="4"/>
        <v>1.6378928729526339</v>
      </c>
      <c r="I103" s="49">
        <f>VLOOKUP($A103,'Data shares'!$C:$FB,66)</f>
        <v>12727000</v>
      </c>
      <c r="J103" s="49">
        <f>VLOOKUP($A103,'Data shares'!$C:$FB,67)</f>
        <v>38885275</v>
      </c>
      <c r="K103" s="50">
        <f t="shared" si="5"/>
        <v>-205.53370786516854</v>
      </c>
      <c r="L103" s="50">
        <f>VLOOKUP($A103,'Data shares'!$C:$FB,118)</f>
        <v>0.78</v>
      </c>
      <c r="M103" s="50">
        <f>VLOOKUP($A103,'Data shares'!$C:$FB,119)</f>
        <v>0.81</v>
      </c>
      <c r="N103" s="50">
        <f>VLOOKUP($A103,'Data shares'!$C:$FB,121)*100</f>
        <v>-3.6999999999999997</v>
      </c>
      <c r="O103" s="50">
        <f>VLOOKUP($A103,'Data shares'!$C:$FB,124)</f>
        <v>0.38</v>
      </c>
      <c r="P103" s="50">
        <f>VLOOKUP($A103,'Data shares'!$C:$FB,125)</f>
        <v>0.44</v>
      </c>
      <c r="Q103" s="50">
        <f>VLOOKUP($A103,'Data shares'!$C:$FB,127)*100</f>
        <v>-13.639999999999999</v>
      </c>
    </row>
    <row r="104" spans="1:17" x14ac:dyDescent="0.25">
      <c r="A104" s="97" t="str">
        <f>'Data Vlaue (Cr)'!C99</f>
        <v>IOC</v>
      </c>
      <c r="B104" s="140">
        <f>VLOOKUP($A104,'Data shares'!$C:$FB,7)</f>
        <v>165.88</v>
      </c>
      <c r="C104" s="140">
        <f>VLOOKUP($A104,'Data shares'!$C:$FB,3)</f>
        <v>166.99</v>
      </c>
      <c r="D104" s="140">
        <f>VLOOKUP($A104,'Data shares'!$C:$FB,4)</f>
        <v>167.58</v>
      </c>
      <c r="E104" s="50">
        <f t="shared" si="3"/>
        <v>-0.35207065282253452</v>
      </c>
      <c r="F104" s="49">
        <f>VLOOKUP($A104,'Data shares'!$C:$FB,98)</f>
        <v>163439250</v>
      </c>
      <c r="G104" s="49">
        <f>VLOOKUP($A104,'Data shares'!$C:$FB,99)</f>
        <v>153304125</v>
      </c>
      <c r="H104" s="50">
        <f t="shared" si="4"/>
        <v>6.6111234775972276</v>
      </c>
      <c r="I104" s="49">
        <f>VLOOKUP($A104,'Data shares'!$C:$FB,66)</f>
        <v>91615875</v>
      </c>
      <c r="J104" s="49">
        <f>VLOOKUP($A104,'Data shares'!$C:$FB,67)</f>
        <v>155814750</v>
      </c>
      <c r="K104" s="50">
        <f t="shared" si="5"/>
        <v>-70.073963709891984</v>
      </c>
      <c r="L104" s="50">
        <f>VLOOKUP($A104,'Data shares'!$C:$FB,118)</f>
        <v>0.68</v>
      </c>
      <c r="M104" s="50">
        <f>VLOOKUP($A104,'Data shares'!$C:$FB,119)</f>
        <v>0.72</v>
      </c>
      <c r="N104" s="50">
        <f>VLOOKUP($A104,'Data shares'!$C:$FB,121)*100</f>
        <v>-5.56</v>
      </c>
      <c r="O104" s="50">
        <f>VLOOKUP($A104,'Data shares'!$C:$FB,124)</f>
        <v>0.41</v>
      </c>
      <c r="P104" s="50">
        <f>VLOOKUP($A104,'Data shares'!$C:$FB,125)</f>
        <v>0.48</v>
      </c>
      <c r="Q104" s="50">
        <f>VLOOKUP($A104,'Data shares'!$C:$FB,127)*100</f>
        <v>-14.580000000000002</v>
      </c>
    </row>
    <row r="105" spans="1:17" x14ac:dyDescent="0.25">
      <c r="A105" s="97" t="str">
        <f>'Data Vlaue (Cr)'!C100</f>
        <v>IRCTC</v>
      </c>
      <c r="B105" s="140">
        <f>VLOOKUP($A105,'Data shares'!$C:$FB,7)</f>
        <v>685.65</v>
      </c>
      <c r="C105" s="140">
        <f>VLOOKUP($A105,'Data shares'!$C:$FB,3)</f>
        <v>688.75</v>
      </c>
      <c r="D105" s="140">
        <f>VLOOKUP($A105,'Data shares'!$C:$FB,4)</f>
        <v>688.45</v>
      </c>
      <c r="E105" s="50">
        <f t="shared" si="3"/>
        <v>4.3576149320931727E-2</v>
      </c>
      <c r="F105" s="49">
        <f>VLOOKUP($A105,'Data shares'!$C:$FB,98)</f>
        <v>44570750</v>
      </c>
      <c r="G105" s="49">
        <f>VLOOKUP($A105,'Data shares'!$C:$FB,99)</f>
        <v>44233000</v>
      </c>
      <c r="H105" s="50">
        <f t="shared" si="4"/>
        <v>0.76357018515587916</v>
      </c>
      <c r="I105" s="49">
        <f>VLOOKUP($A105,'Data shares'!$C:$FB,66)</f>
        <v>11426625</v>
      </c>
      <c r="J105" s="49">
        <f>VLOOKUP($A105,'Data shares'!$C:$FB,67)</f>
        <v>18655000</v>
      </c>
      <c r="K105" s="50">
        <f t="shared" si="5"/>
        <v>-63.259055057814543</v>
      </c>
      <c r="L105" s="50">
        <f>VLOOKUP($A105,'Data shares'!$C:$FB,118)</f>
        <v>0.49</v>
      </c>
      <c r="M105" s="50">
        <f>VLOOKUP($A105,'Data shares'!$C:$FB,119)</f>
        <v>0.5</v>
      </c>
      <c r="N105" s="50">
        <f>VLOOKUP($A105,'Data shares'!$C:$FB,121)*100</f>
        <v>-2</v>
      </c>
      <c r="O105" s="50">
        <f>VLOOKUP($A105,'Data shares'!$C:$FB,124)</f>
        <v>0.28000000000000003</v>
      </c>
      <c r="P105" s="50">
        <f>VLOOKUP($A105,'Data shares'!$C:$FB,125)</f>
        <v>0.28999999999999998</v>
      </c>
      <c r="Q105" s="50">
        <f>VLOOKUP($A105,'Data shares'!$C:$FB,127)*100</f>
        <v>-3.45</v>
      </c>
    </row>
    <row r="106" spans="1:17" x14ac:dyDescent="0.25">
      <c r="A106" s="97" t="str">
        <f>'Data Vlaue (Cr)'!C101</f>
        <v>IREDA</v>
      </c>
      <c r="B106" s="140">
        <f>VLOOKUP($A106,'Data shares'!$C:$FB,7)</f>
        <v>139.36000000000001</v>
      </c>
      <c r="C106" s="140">
        <f>VLOOKUP($A106,'Data shares'!$C:$FB,3)</f>
        <v>139.15</v>
      </c>
      <c r="D106" s="140">
        <f>VLOOKUP($A106,'Data shares'!$C:$FB,4)</f>
        <v>140.62</v>
      </c>
      <c r="E106" s="50">
        <f t="shared" si="3"/>
        <v>-1.0453705020622948</v>
      </c>
      <c r="F106" s="49">
        <f>VLOOKUP($A106,'Data shares'!$C:$FB,98)</f>
        <v>90479700</v>
      </c>
      <c r="G106" s="49">
        <f>VLOOKUP($A106,'Data shares'!$C:$FB,99)</f>
        <v>85425450</v>
      </c>
      <c r="H106" s="50">
        <f t="shared" si="4"/>
        <v>5.9165623359315047</v>
      </c>
      <c r="I106" s="49">
        <f>VLOOKUP($A106,'Data shares'!$C:$FB,66)</f>
        <v>36852900</v>
      </c>
      <c r="J106" s="49">
        <f>VLOOKUP($A106,'Data shares'!$C:$FB,67)</f>
        <v>41193000</v>
      </c>
      <c r="K106" s="50">
        <f t="shared" si="5"/>
        <v>-11.776820820071148</v>
      </c>
      <c r="L106" s="50">
        <f>VLOOKUP($A106,'Data shares'!$C:$FB,118)</f>
        <v>0.6</v>
      </c>
      <c r="M106" s="50">
        <f>VLOOKUP($A106,'Data shares'!$C:$FB,119)</f>
        <v>0.64</v>
      </c>
      <c r="N106" s="50">
        <f>VLOOKUP($A106,'Data shares'!$C:$FB,121)*100</f>
        <v>-6.25</v>
      </c>
      <c r="O106" s="50">
        <f>VLOOKUP($A106,'Data shares'!$C:$FB,124)</f>
        <v>0.21</v>
      </c>
      <c r="P106" s="50">
        <f>VLOOKUP($A106,'Data shares'!$C:$FB,125)</f>
        <v>0.3</v>
      </c>
      <c r="Q106" s="50">
        <f>VLOOKUP($A106,'Data shares'!$C:$FB,127)*100</f>
        <v>-30</v>
      </c>
    </row>
    <row r="107" spans="1:17" x14ac:dyDescent="0.25">
      <c r="A107" s="97" t="str">
        <f>'Data Vlaue (Cr)'!C102</f>
        <v>IRFC</v>
      </c>
      <c r="B107" s="140">
        <f>VLOOKUP($A107,'Data shares'!$C:$FB,7)</f>
        <v>125.79</v>
      </c>
      <c r="C107" s="140">
        <f>VLOOKUP($A107,'Data shares'!$C:$FB,3)</f>
        <v>126.52</v>
      </c>
      <c r="D107" s="140">
        <f>VLOOKUP($A107,'Data shares'!$C:$FB,4)</f>
        <v>124.85</v>
      </c>
      <c r="E107" s="50">
        <f t="shared" si="3"/>
        <v>1.3376051261513831</v>
      </c>
      <c r="F107" s="49">
        <f>VLOOKUP($A107,'Data shares'!$C:$FB,98)</f>
        <v>165673500</v>
      </c>
      <c r="G107" s="49">
        <f>VLOOKUP($A107,'Data shares'!$C:$FB,99)</f>
        <v>165116750</v>
      </c>
      <c r="H107" s="50">
        <f t="shared" si="4"/>
        <v>0.33718565802682038</v>
      </c>
      <c r="I107" s="49">
        <f>VLOOKUP($A107,'Data shares'!$C:$FB,66)</f>
        <v>65649750</v>
      </c>
      <c r="J107" s="49">
        <f>VLOOKUP($A107,'Data shares'!$C:$FB,67)</f>
        <v>110950500</v>
      </c>
      <c r="K107" s="50">
        <f t="shared" si="5"/>
        <v>-69.003690036900366</v>
      </c>
      <c r="L107" s="50">
        <f>VLOOKUP($A107,'Data shares'!$C:$FB,118)</f>
        <v>0.42</v>
      </c>
      <c r="M107" s="50">
        <f>VLOOKUP($A107,'Data shares'!$C:$FB,119)</f>
        <v>0.41</v>
      </c>
      <c r="N107" s="50">
        <f>VLOOKUP($A107,'Data shares'!$C:$FB,121)*100</f>
        <v>2.44</v>
      </c>
      <c r="O107" s="50">
        <f>VLOOKUP($A107,'Data shares'!$C:$FB,124)</f>
        <v>0.28000000000000003</v>
      </c>
      <c r="P107" s="50">
        <f>VLOOKUP($A107,'Data shares'!$C:$FB,125)</f>
        <v>0.28999999999999998</v>
      </c>
      <c r="Q107" s="50">
        <f>VLOOKUP($A107,'Data shares'!$C:$FB,127)*100</f>
        <v>-3.45</v>
      </c>
    </row>
    <row r="108" spans="1:17" x14ac:dyDescent="0.25">
      <c r="A108" s="97" t="str">
        <f>'Data Vlaue (Cr)'!C103</f>
        <v>ITC</v>
      </c>
      <c r="B108" s="140">
        <f>VLOOKUP($A108,'Data shares'!$C:$FB,7)</f>
        <v>363.85</v>
      </c>
      <c r="C108" s="140">
        <f>VLOOKUP($A108,'Data shares'!$C:$FB,3)</f>
        <v>366.1</v>
      </c>
      <c r="D108" s="140">
        <f>VLOOKUP($A108,'Data shares'!$C:$FB,4)</f>
        <v>405.4</v>
      </c>
      <c r="E108" s="50">
        <f t="shared" si="3"/>
        <v>-9.6941292550567226</v>
      </c>
      <c r="F108" s="49">
        <f>VLOOKUP($A108,'Data shares'!$C:$FB,98)</f>
        <v>493940800</v>
      </c>
      <c r="G108" s="49">
        <f>VLOOKUP($A108,'Data shares'!$C:$FB,99)</f>
        <v>240584000</v>
      </c>
      <c r="H108" s="50">
        <f t="shared" si="4"/>
        <v>105.3090812356599</v>
      </c>
      <c r="I108" s="49">
        <f>VLOOKUP($A108,'Data shares'!$C:$FB,66)</f>
        <v>1695953600</v>
      </c>
      <c r="J108" s="49">
        <f>VLOOKUP($A108,'Data shares'!$C:$FB,67)</f>
        <v>72755200</v>
      </c>
      <c r="K108" s="50">
        <f t="shared" si="5"/>
        <v>95.710071313271783</v>
      </c>
      <c r="L108" s="50">
        <f>VLOOKUP($A108,'Data shares'!$C:$FB,118)</f>
        <v>0.51</v>
      </c>
      <c r="M108" s="50">
        <f>VLOOKUP($A108,'Data shares'!$C:$FB,119)</f>
        <v>0.6</v>
      </c>
      <c r="N108" s="50">
        <f>VLOOKUP($A108,'Data shares'!$C:$FB,121)*100</f>
        <v>-15</v>
      </c>
      <c r="O108" s="50">
        <f>VLOOKUP($A108,'Data shares'!$C:$FB,124)</f>
        <v>0.88</v>
      </c>
      <c r="P108" s="50">
        <f>VLOOKUP($A108,'Data shares'!$C:$FB,125)</f>
        <v>0.4</v>
      </c>
      <c r="Q108" s="50">
        <f>VLOOKUP($A108,'Data shares'!$C:$FB,127)*100</f>
        <v>120</v>
      </c>
    </row>
    <row r="109" spans="1:17" x14ac:dyDescent="0.25">
      <c r="A109" s="97" t="str">
        <f>'Data Vlaue (Cr)'!C104</f>
        <v>JINDALSTEL</v>
      </c>
      <c r="B109" s="140">
        <f>VLOOKUP($A109,'Data shares'!$C:$FB,7)</f>
        <v>1068.4000000000001</v>
      </c>
      <c r="C109" s="140">
        <f>VLOOKUP($A109,'Data shares'!$C:$FB,3)</f>
        <v>1072.4000000000001</v>
      </c>
      <c r="D109" s="140">
        <f>VLOOKUP($A109,'Data shares'!$C:$FB,4)</f>
        <v>1057.4000000000001</v>
      </c>
      <c r="E109" s="50">
        <f t="shared" si="3"/>
        <v>1.4185738604123321</v>
      </c>
      <c r="F109" s="49">
        <f>VLOOKUP($A109,'Data shares'!$C:$FB,98)</f>
        <v>20328750</v>
      </c>
      <c r="G109" s="49">
        <f>VLOOKUP($A109,'Data shares'!$C:$FB,99)</f>
        <v>20215625</v>
      </c>
      <c r="H109" s="50">
        <f t="shared" si="4"/>
        <v>0.55959189982995827</v>
      </c>
      <c r="I109" s="49">
        <f>VLOOKUP($A109,'Data shares'!$C:$FB,66)</f>
        <v>14579375</v>
      </c>
      <c r="J109" s="49">
        <f>VLOOKUP($A109,'Data shares'!$C:$FB,67)</f>
        <v>38732500</v>
      </c>
      <c r="K109" s="50">
        <f t="shared" si="5"/>
        <v>-165.66639516440176</v>
      </c>
      <c r="L109" s="50">
        <f>VLOOKUP($A109,'Data shares'!$C:$FB,118)</f>
        <v>0.88</v>
      </c>
      <c r="M109" s="50">
        <f>VLOOKUP($A109,'Data shares'!$C:$FB,119)</f>
        <v>0.74</v>
      </c>
      <c r="N109" s="50">
        <f>VLOOKUP($A109,'Data shares'!$C:$FB,121)*100</f>
        <v>18.920000000000002</v>
      </c>
      <c r="O109" s="50">
        <f>VLOOKUP($A109,'Data shares'!$C:$FB,124)</f>
        <v>0.52</v>
      </c>
      <c r="P109" s="50">
        <f>VLOOKUP($A109,'Data shares'!$C:$FB,125)</f>
        <v>0.37</v>
      </c>
      <c r="Q109" s="50">
        <f>VLOOKUP($A109,'Data shares'!$C:$FB,127)*100</f>
        <v>40.54</v>
      </c>
    </row>
    <row r="110" spans="1:17" x14ac:dyDescent="0.25">
      <c r="A110" s="97" t="str">
        <f>'Data Vlaue (Cr)'!C105</f>
        <v>JIOFIN</v>
      </c>
      <c r="B110" s="140">
        <f>VLOOKUP($A110,'Data shares'!$C:$FB,7)</f>
        <v>295.7</v>
      </c>
      <c r="C110" s="140">
        <f>VLOOKUP($A110,'Data shares'!$C:$FB,3)</f>
        <v>297.7</v>
      </c>
      <c r="D110" s="140">
        <f>VLOOKUP($A110,'Data shares'!$C:$FB,4)</f>
        <v>296.89999999999998</v>
      </c>
      <c r="E110" s="50">
        <f t="shared" si="3"/>
        <v>0.26945099360054275</v>
      </c>
      <c r="F110" s="49">
        <f>VLOOKUP($A110,'Data shares'!$C:$FB,98)</f>
        <v>230499750</v>
      </c>
      <c r="G110" s="49">
        <f>VLOOKUP($A110,'Data shares'!$C:$FB,99)</f>
        <v>227463550</v>
      </c>
      <c r="H110" s="50">
        <f t="shared" si="4"/>
        <v>1.3348072691207009</v>
      </c>
      <c r="I110" s="49">
        <f>VLOOKUP($A110,'Data shares'!$C:$FB,66)</f>
        <v>29060100</v>
      </c>
      <c r="J110" s="49">
        <f>VLOOKUP($A110,'Data shares'!$C:$FB,67)</f>
        <v>53892550</v>
      </c>
      <c r="K110" s="50">
        <f t="shared" si="5"/>
        <v>-85.452045932395279</v>
      </c>
      <c r="L110" s="50">
        <f>VLOOKUP($A110,'Data shares'!$C:$FB,118)</f>
        <v>0.9</v>
      </c>
      <c r="M110" s="50">
        <f>VLOOKUP($A110,'Data shares'!$C:$FB,119)</f>
        <v>0.93</v>
      </c>
      <c r="N110" s="50">
        <f>VLOOKUP($A110,'Data shares'!$C:$FB,121)*100</f>
        <v>-3.2300000000000004</v>
      </c>
      <c r="O110" s="50">
        <f>VLOOKUP($A110,'Data shares'!$C:$FB,124)</f>
        <v>0.37</v>
      </c>
      <c r="P110" s="50">
        <f>VLOOKUP($A110,'Data shares'!$C:$FB,125)</f>
        <v>0.46</v>
      </c>
      <c r="Q110" s="50">
        <f>VLOOKUP($A110,'Data shares'!$C:$FB,127)*100</f>
        <v>-19.57</v>
      </c>
    </row>
    <row r="111" spans="1:17" x14ac:dyDescent="0.25">
      <c r="A111" s="97" t="str">
        <f>'Data Vlaue (Cr)'!C106</f>
        <v>JSWENERGY</v>
      </c>
      <c r="B111" s="140">
        <f>VLOOKUP($A111,'Data shares'!$C:$FB,7)</f>
        <v>502</v>
      </c>
      <c r="C111" s="140">
        <f>VLOOKUP($A111,'Data shares'!$C:$FB,3)</f>
        <v>505.05</v>
      </c>
      <c r="D111" s="140">
        <f>VLOOKUP($A111,'Data shares'!$C:$FB,4)</f>
        <v>484.3</v>
      </c>
      <c r="E111" s="50">
        <f t="shared" si="3"/>
        <v>4.2845343795168285</v>
      </c>
      <c r="F111" s="49">
        <f>VLOOKUP($A111,'Data shares'!$C:$FB,98)</f>
        <v>55232000</v>
      </c>
      <c r="G111" s="49">
        <f>VLOOKUP($A111,'Data shares'!$C:$FB,99)</f>
        <v>52899000</v>
      </c>
      <c r="H111" s="50">
        <f t="shared" si="4"/>
        <v>4.410291309854629</v>
      </c>
      <c r="I111" s="49">
        <f>VLOOKUP($A111,'Data shares'!$C:$FB,66)</f>
        <v>40440000</v>
      </c>
      <c r="J111" s="49">
        <f>VLOOKUP($A111,'Data shares'!$C:$FB,67)</f>
        <v>12289000</v>
      </c>
      <c r="K111" s="50">
        <f t="shared" si="5"/>
        <v>69.611770524233435</v>
      </c>
      <c r="L111" s="50">
        <f>VLOOKUP($A111,'Data shares'!$C:$FB,118)</f>
        <v>1.1100000000000001</v>
      </c>
      <c r="M111" s="50">
        <f>VLOOKUP($A111,'Data shares'!$C:$FB,119)</f>
        <v>1.07</v>
      </c>
      <c r="N111" s="50">
        <f>VLOOKUP($A111,'Data shares'!$C:$FB,121)*100</f>
        <v>3.74</v>
      </c>
      <c r="O111" s="50">
        <f>VLOOKUP($A111,'Data shares'!$C:$FB,124)</f>
        <v>0.33</v>
      </c>
      <c r="P111" s="50">
        <f>VLOOKUP($A111,'Data shares'!$C:$FB,125)</f>
        <v>0.42</v>
      </c>
      <c r="Q111" s="50">
        <f>VLOOKUP($A111,'Data shares'!$C:$FB,127)*100</f>
        <v>-21.43</v>
      </c>
    </row>
    <row r="112" spans="1:17" x14ac:dyDescent="0.25">
      <c r="A112" s="97" t="str">
        <f>'Data Vlaue (Cr)'!C107</f>
        <v>JSWSTEEL</v>
      </c>
      <c r="B112" s="140">
        <f>VLOOKUP($A112,'Data shares'!$C:$FB,7)</f>
        <v>1171.5</v>
      </c>
      <c r="C112" s="140">
        <f>VLOOKUP($A112,'Data shares'!$C:$FB,3)</f>
        <v>1178</v>
      </c>
      <c r="D112" s="140">
        <f>VLOOKUP($A112,'Data shares'!$C:$FB,4)</f>
        <v>1172.3</v>
      </c>
      <c r="E112" s="50">
        <f t="shared" si="3"/>
        <v>0.48622366288493091</v>
      </c>
      <c r="F112" s="49">
        <f>VLOOKUP($A112,'Data shares'!$C:$FB,98)</f>
        <v>66283650</v>
      </c>
      <c r="G112" s="49">
        <f>VLOOKUP($A112,'Data shares'!$C:$FB,99)</f>
        <v>66055500</v>
      </c>
      <c r="H112" s="50">
        <f t="shared" si="4"/>
        <v>0.34539137543429393</v>
      </c>
      <c r="I112" s="49">
        <f>VLOOKUP($A112,'Data shares'!$C:$FB,66)</f>
        <v>24929100</v>
      </c>
      <c r="J112" s="49">
        <f>VLOOKUP($A112,'Data shares'!$C:$FB,67)</f>
        <v>86167800</v>
      </c>
      <c r="K112" s="50">
        <f t="shared" si="5"/>
        <v>-245.65146756200585</v>
      </c>
      <c r="L112" s="50">
        <f>VLOOKUP($A112,'Data shares'!$C:$FB,118)</f>
        <v>0.96</v>
      </c>
      <c r="M112" s="50">
        <f>VLOOKUP($A112,'Data shares'!$C:$FB,119)</f>
        <v>0.89</v>
      </c>
      <c r="N112" s="50">
        <f>VLOOKUP($A112,'Data shares'!$C:$FB,121)*100</f>
        <v>7.870000000000001</v>
      </c>
      <c r="O112" s="50">
        <f>VLOOKUP($A112,'Data shares'!$C:$FB,124)</f>
        <v>1.05</v>
      </c>
      <c r="P112" s="50">
        <f>VLOOKUP($A112,'Data shares'!$C:$FB,125)</f>
        <v>0.48</v>
      </c>
      <c r="Q112" s="50">
        <f>VLOOKUP($A112,'Data shares'!$C:$FB,127)*100</f>
        <v>118.75</v>
      </c>
    </row>
    <row r="113" spans="1:17" x14ac:dyDescent="0.25">
      <c r="A113" s="97" t="str">
        <f>'Data Vlaue (Cr)'!C108</f>
        <v>JUBLFOOD</v>
      </c>
      <c r="B113" s="140">
        <f>VLOOKUP($A113,'Data shares'!$C:$FB,7)</f>
        <v>553.15</v>
      </c>
      <c r="C113" s="140">
        <f>VLOOKUP($A113,'Data shares'!$C:$FB,3)</f>
        <v>551.70000000000005</v>
      </c>
      <c r="D113" s="140">
        <f>VLOOKUP($A113,'Data shares'!$C:$FB,4)</f>
        <v>557.25</v>
      </c>
      <c r="E113" s="50">
        <f t="shared" si="3"/>
        <v>-0.99596231493942655</v>
      </c>
      <c r="F113" s="49">
        <f>VLOOKUP($A113,'Data shares'!$C:$FB,98)</f>
        <v>38423750</v>
      </c>
      <c r="G113" s="49">
        <f>VLOOKUP($A113,'Data shares'!$C:$FB,99)</f>
        <v>36743750</v>
      </c>
      <c r="H113" s="50">
        <f t="shared" si="4"/>
        <v>4.5722061575097808</v>
      </c>
      <c r="I113" s="49">
        <f>VLOOKUP($A113,'Data shares'!$C:$FB,66)</f>
        <v>8600000</v>
      </c>
      <c r="J113" s="49">
        <f>VLOOKUP($A113,'Data shares'!$C:$FB,67)</f>
        <v>15236250</v>
      </c>
      <c r="K113" s="50">
        <f t="shared" si="5"/>
        <v>-77.16569767441861</v>
      </c>
      <c r="L113" s="50">
        <f>VLOOKUP($A113,'Data shares'!$C:$FB,118)</f>
        <v>0.72</v>
      </c>
      <c r="M113" s="50">
        <f>VLOOKUP($A113,'Data shares'!$C:$FB,119)</f>
        <v>0.71</v>
      </c>
      <c r="N113" s="50">
        <f>VLOOKUP($A113,'Data shares'!$C:$FB,121)*100</f>
        <v>1.41</v>
      </c>
      <c r="O113" s="50">
        <f>VLOOKUP($A113,'Data shares'!$C:$FB,124)</f>
        <v>0.8</v>
      </c>
      <c r="P113" s="50">
        <f>VLOOKUP($A113,'Data shares'!$C:$FB,125)</f>
        <v>0.53</v>
      </c>
      <c r="Q113" s="50">
        <f>VLOOKUP($A113,'Data shares'!$C:$FB,127)*100</f>
        <v>50.94</v>
      </c>
    </row>
    <row r="114" spans="1:17" x14ac:dyDescent="0.25">
      <c r="A114" s="97" t="str">
        <f>'Data Vlaue (Cr)'!C109</f>
        <v>KALYANKJIL</v>
      </c>
      <c r="B114" s="140">
        <f>VLOOKUP($A114,'Data shares'!$C:$FB,7)</f>
        <v>484.2</v>
      </c>
      <c r="C114" s="140">
        <f>VLOOKUP($A114,'Data shares'!$C:$FB,3)</f>
        <v>487.55</v>
      </c>
      <c r="D114" s="140">
        <f>VLOOKUP($A114,'Data shares'!$C:$FB,4)</f>
        <v>488.4</v>
      </c>
      <c r="E114" s="50">
        <f t="shared" si="3"/>
        <v>-0.17403767403766707</v>
      </c>
      <c r="F114" s="49">
        <f>VLOOKUP($A114,'Data shares'!$C:$FB,98)</f>
        <v>41463400</v>
      </c>
      <c r="G114" s="49">
        <f>VLOOKUP($A114,'Data shares'!$C:$FB,99)</f>
        <v>41006325</v>
      </c>
      <c r="H114" s="50">
        <f t="shared" si="4"/>
        <v>1.1146451187713116</v>
      </c>
      <c r="I114" s="49">
        <f>VLOOKUP($A114,'Data shares'!$C:$FB,66)</f>
        <v>3234775</v>
      </c>
      <c r="J114" s="49">
        <f>VLOOKUP($A114,'Data shares'!$C:$FB,67)</f>
        <v>7000650</v>
      </c>
      <c r="K114" s="50">
        <f t="shared" si="5"/>
        <v>-116.41845259716672</v>
      </c>
      <c r="L114" s="50">
        <f>VLOOKUP($A114,'Data shares'!$C:$FB,118)</f>
        <v>0.67</v>
      </c>
      <c r="M114" s="50">
        <f>VLOOKUP($A114,'Data shares'!$C:$FB,119)</f>
        <v>0.71</v>
      </c>
      <c r="N114" s="50">
        <f>VLOOKUP($A114,'Data shares'!$C:$FB,121)*100</f>
        <v>-5.63</v>
      </c>
      <c r="O114" s="50">
        <f>VLOOKUP($A114,'Data shares'!$C:$FB,124)</f>
        <v>0.34</v>
      </c>
      <c r="P114" s="50">
        <f>VLOOKUP($A114,'Data shares'!$C:$FB,125)</f>
        <v>0.48</v>
      </c>
      <c r="Q114" s="50">
        <f>VLOOKUP($A114,'Data shares'!$C:$FB,127)*100</f>
        <v>-29.17</v>
      </c>
    </row>
    <row r="115" spans="1:17" x14ac:dyDescent="0.25">
      <c r="A115" s="97" t="str">
        <f>'Data Vlaue (Cr)'!C110</f>
        <v>KAYNES</v>
      </c>
      <c r="B115" s="140">
        <f>VLOOKUP($A115,'Data shares'!$C:$FB,7)</f>
        <v>3943.5</v>
      </c>
      <c r="C115" s="140">
        <f>VLOOKUP($A115,'Data shares'!$C:$FB,3)</f>
        <v>3958.4</v>
      </c>
      <c r="D115" s="140">
        <f>VLOOKUP($A115,'Data shares'!$C:$FB,4)</f>
        <v>4036.5</v>
      </c>
      <c r="E115" s="50">
        <f t="shared" si="3"/>
        <v>-1.9348445435401935</v>
      </c>
      <c r="F115" s="49">
        <f>VLOOKUP($A115,'Data shares'!$C:$FB,98)</f>
        <v>6035900</v>
      </c>
      <c r="G115" s="49">
        <f>VLOOKUP($A115,'Data shares'!$C:$FB,99)</f>
        <v>5546100</v>
      </c>
      <c r="H115" s="50">
        <f t="shared" si="4"/>
        <v>8.8314310957249234</v>
      </c>
      <c r="I115" s="49">
        <f>VLOOKUP($A115,'Data shares'!$C:$FB,66)</f>
        <v>3174300</v>
      </c>
      <c r="J115" s="49">
        <f>VLOOKUP($A115,'Data shares'!$C:$FB,67)</f>
        <v>4217000</v>
      </c>
      <c r="K115" s="50">
        <f t="shared" si="5"/>
        <v>-32.848187001858676</v>
      </c>
      <c r="L115" s="50">
        <f>VLOOKUP($A115,'Data shares'!$C:$FB,118)</f>
        <v>0.52</v>
      </c>
      <c r="M115" s="50">
        <f>VLOOKUP($A115,'Data shares'!$C:$FB,119)</f>
        <v>0.55000000000000004</v>
      </c>
      <c r="N115" s="50">
        <f>VLOOKUP($A115,'Data shares'!$C:$FB,121)*100</f>
        <v>-5.45</v>
      </c>
      <c r="O115" s="50">
        <f>VLOOKUP($A115,'Data shares'!$C:$FB,124)</f>
        <v>0.57999999999999996</v>
      </c>
      <c r="P115" s="50">
        <f>VLOOKUP($A115,'Data shares'!$C:$FB,125)</f>
        <v>0.5</v>
      </c>
      <c r="Q115" s="50">
        <f>VLOOKUP($A115,'Data shares'!$C:$FB,127)*100</f>
        <v>16</v>
      </c>
    </row>
    <row r="116" spans="1:17" x14ac:dyDescent="0.25">
      <c r="A116" s="97" t="str">
        <f>'Data Vlaue (Cr)'!C111</f>
        <v>KEI</v>
      </c>
      <c r="B116" s="140">
        <f>VLOOKUP($A116,'Data shares'!$C:$FB,7)</f>
        <v>4514.5</v>
      </c>
      <c r="C116" s="140">
        <f>VLOOKUP($A116,'Data shares'!$C:$FB,3)</f>
        <v>4536.3</v>
      </c>
      <c r="D116" s="140">
        <f>VLOOKUP($A116,'Data shares'!$C:$FB,4)</f>
        <v>4485.8999999999996</v>
      </c>
      <c r="E116" s="50">
        <f t="shared" si="3"/>
        <v>1.1235203638066062</v>
      </c>
      <c r="F116" s="49">
        <f>VLOOKUP($A116,'Data shares'!$C:$FB,98)</f>
        <v>1440075</v>
      </c>
      <c r="G116" s="49">
        <f>VLOOKUP($A116,'Data shares'!$C:$FB,99)</f>
        <v>1336300</v>
      </c>
      <c r="H116" s="50">
        <f t="shared" si="4"/>
        <v>7.7658459926663177</v>
      </c>
      <c r="I116" s="49">
        <f>VLOOKUP($A116,'Data shares'!$C:$FB,66)</f>
        <v>1069775</v>
      </c>
      <c r="J116" s="49">
        <f>VLOOKUP($A116,'Data shares'!$C:$FB,67)</f>
        <v>1451100</v>
      </c>
      <c r="K116" s="50">
        <f t="shared" si="5"/>
        <v>-35.645345983968589</v>
      </c>
      <c r="L116" s="50">
        <f>VLOOKUP($A116,'Data shares'!$C:$FB,118)</f>
        <v>0.69</v>
      </c>
      <c r="M116" s="50">
        <f>VLOOKUP($A116,'Data shares'!$C:$FB,119)</f>
        <v>0.51</v>
      </c>
      <c r="N116" s="50">
        <f>VLOOKUP($A116,'Data shares'!$C:$FB,121)*100</f>
        <v>35.29</v>
      </c>
      <c r="O116" s="50">
        <f>VLOOKUP($A116,'Data shares'!$C:$FB,124)</f>
        <v>0.34</v>
      </c>
      <c r="P116" s="50">
        <f>VLOOKUP($A116,'Data shares'!$C:$FB,125)</f>
        <v>0.3</v>
      </c>
      <c r="Q116" s="50">
        <f>VLOOKUP($A116,'Data shares'!$C:$FB,127)*100</f>
        <v>13.33</v>
      </c>
    </row>
    <row r="117" spans="1:17" x14ac:dyDescent="0.25">
      <c r="A117" s="97" t="str">
        <f>'Data Vlaue (Cr)'!C112</f>
        <v>KFINTECH</v>
      </c>
      <c r="B117" s="140">
        <f>VLOOKUP($A117,'Data shares'!$C:$FB,7)</f>
        <v>1076.7</v>
      </c>
      <c r="C117" s="140">
        <f>VLOOKUP($A117,'Data shares'!$C:$FB,3)</f>
        <v>1078.5999999999999</v>
      </c>
      <c r="D117" s="140">
        <f>VLOOKUP($A117,'Data shares'!$C:$FB,4)</f>
        <v>1078.9000000000001</v>
      </c>
      <c r="E117" s="50">
        <f t="shared" si="3"/>
        <v>-2.7806098804354609E-2</v>
      </c>
      <c r="F117" s="49">
        <f>VLOOKUP($A117,'Data shares'!$C:$FB,98)</f>
        <v>4528000</v>
      </c>
      <c r="G117" s="49">
        <f>VLOOKUP($A117,'Data shares'!$C:$FB,99)</f>
        <v>4363500</v>
      </c>
      <c r="H117" s="50">
        <f t="shared" si="4"/>
        <v>3.7699094763378023</v>
      </c>
      <c r="I117" s="49">
        <f>VLOOKUP($A117,'Data shares'!$C:$FB,66)</f>
        <v>1623500</v>
      </c>
      <c r="J117" s="49">
        <f>VLOOKUP($A117,'Data shares'!$C:$FB,67)</f>
        <v>1696500</v>
      </c>
      <c r="K117" s="50">
        <f t="shared" si="5"/>
        <v>-4.4964582691715433</v>
      </c>
      <c r="L117" s="50">
        <f>VLOOKUP($A117,'Data shares'!$C:$FB,118)</f>
        <v>0.74</v>
      </c>
      <c r="M117" s="50">
        <f>VLOOKUP($A117,'Data shares'!$C:$FB,119)</f>
        <v>0.74</v>
      </c>
      <c r="N117" s="50">
        <f>VLOOKUP($A117,'Data shares'!$C:$FB,121)*100</f>
        <v>0</v>
      </c>
      <c r="O117" s="50">
        <f>VLOOKUP($A117,'Data shares'!$C:$FB,124)</f>
        <v>0.33</v>
      </c>
      <c r="P117" s="50">
        <f>VLOOKUP($A117,'Data shares'!$C:$FB,125)</f>
        <v>0.57999999999999996</v>
      </c>
      <c r="Q117" s="50">
        <f>VLOOKUP($A117,'Data shares'!$C:$FB,127)*100</f>
        <v>-43.1</v>
      </c>
    </row>
    <row r="118" spans="1:17" x14ac:dyDescent="0.25">
      <c r="A118" s="97" t="str">
        <f>'Data Vlaue (Cr)'!C113</f>
        <v>KOTAKBANK</v>
      </c>
      <c r="B118" s="140">
        <f>VLOOKUP($A118,'Data shares'!$C:$FB,7)</f>
        <v>2217.8000000000002</v>
      </c>
      <c r="C118" s="140">
        <f>VLOOKUP($A118,'Data shares'!$C:$FB,3)</f>
        <v>2226.3000000000002</v>
      </c>
      <c r="D118" s="140">
        <f>VLOOKUP($A118,'Data shares'!$C:$FB,4)</f>
        <v>2209.1999999999998</v>
      </c>
      <c r="E118" s="50">
        <f t="shared" si="3"/>
        <v>0.774035850081494</v>
      </c>
      <c r="F118" s="49">
        <f>VLOOKUP($A118,'Data shares'!$C:$FB,98)</f>
        <v>46910000</v>
      </c>
      <c r="G118" s="49">
        <f>VLOOKUP($A118,'Data shares'!$C:$FB,99)</f>
        <v>45791200</v>
      </c>
      <c r="H118" s="50">
        <f t="shared" si="4"/>
        <v>2.4432642079700901</v>
      </c>
      <c r="I118" s="49">
        <f>VLOOKUP($A118,'Data shares'!$C:$FB,66)</f>
        <v>14365200</v>
      </c>
      <c r="J118" s="49">
        <f>VLOOKUP($A118,'Data shares'!$C:$FB,67)</f>
        <v>23248800</v>
      </c>
      <c r="K118" s="50">
        <f t="shared" si="5"/>
        <v>-61.841116030406816</v>
      </c>
      <c r="L118" s="50">
        <f>VLOOKUP($A118,'Data shares'!$C:$FB,118)</f>
        <v>0.8</v>
      </c>
      <c r="M118" s="50">
        <f>VLOOKUP($A118,'Data shares'!$C:$FB,119)</f>
        <v>0.8</v>
      </c>
      <c r="N118" s="50">
        <f>VLOOKUP($A118,'Data shares'!$C:$FB,121)*100</f>
        <v>0</v>
      </c>
      <c r="O118" s="50">
        <f>VLOOKUP($A118,'Data shares'!$C:$FB,124)</f>
        <v>0.48</v>
      </c>
      <c r="P118" s="50">
        <f>VLOOKUP($A118,'Data shares'!$C:$FB,125)</f>
        <v>0.47</v>
      </c>
      <c r="Q118" s="50">
        <f>VLOOKUP($A118,'Data shares'!$C:$FB,127)*100</f>
        <v>2.13</v>
      </c>
    </row>
    <row r="119" spans="1:17" x14ac:dyDescent="0.25">
      <c r="A119" s="97" t="str">
        <f>'Data Vlaue (Cr)'!C114</f>
        <v>KPITTECH</v>
      </c>
      <c r="B119" s="140">
        <f>VLOOKUP($A119,'Data shares'!$C:$FB,7)</f>
        <v>1163.2</v>
      </c>
      <c r="C119" s="140">
        <f>VLOOKUP($A119,'Data shares'!$C:$FB,3)</f>
        <v>1165.2</v>
      </c>
      <c r="D119" s="140">
        <f>VLOOKUP($A119,'Data shares'!$C:$FB,4)</f>
        <v>1177.5</v>
      </c>
      <c r="E119" s="50">
        <f t="shared" si="3"/>
        <v>-1.0445859872611425</v>
      </c>
      <c r="F119" s="49">
        <f>VLOOKUP($A119,'Data shares'!$C:$FB,98)</f>
        <v>5314200</v>
      </c>
      <c r="G119" s="49">
        <f>VLOOKUP($A119,'Data shares'!$C:$FB,99)</f>
        <v>4990775</v>
      </c>
      <c r="H119" s="50">
        <f t="shared" si="4"/>
        <v>6.4804564421357398</v>
      </c>
      <c r="I119" s="49">
        <f>VLOOKUP($A119,'Data shares'!$C:$FB,66)</f>
        <v>1546150</v>
      </c>
      <c r="J119" s="49">
        <f>VLOOKUP($A119,'Data shares'!$C:$FB,67)</f>
        <v>1910375</v>
      </c>
      <c r="K119" s="50">
        <f t="shared" si="5"/>
        <v>-23.556899395272126</v>
      </c>
      <c r="L119" s="50">
        <f>VLOOKUP($A119,'Data shares'!$C:$FB,118)</f>
        <v>0.88</v>
      </c>
      <c r="M119" s="50">
        <f>VLOOKUP($A119,'Data shares'!$C:$FB,119)</f>
        <v>1</v>
      </c>
      <c r="N119" s="50">
        <f>VLOOKUP($A119,'Data shares'!$C:$FB,121)*100</f>
        <v>-12</v>
      </c>
      <c r="O119" s="50">
        <f>VLOOKUP($A119,'Data shares'!$C:$FB,124)</f>
        <v>0.47</v>
      </c>
      <c r="P119" s="50">
        <f>VLOOKUP($A119,'Data shares'!$C:$FB,125)</f>
        <v>0.6</v>
      </c>
      <c r="Q119" s="50">
        <f>VLOOKUP($A119,'Data shares'!$C:$FB,127)*100</f>
        <v>-21.67</v>
      </c>
    </row>
    <row r="120" spans="1:17" x14ac:dyDescent="0.25">
      <c r="A120" s="97" t="str">
        <f>'Data Vlaue (Cr)'!C115</f>
        <v>LAURUSLABS</v>
      </c>
      <c r="B120" s="140">
        <f>VLOOKUP($A120,'Data shares'!$C:$FB,7)</f>
        <v>1110.4000000000001</v>
      </c>
      <c r="C120" s="140">
        <f>VLOOKUP($A120,'Data shares'!$C:$FB,3)</f>
        <v>1115.8</v>
      </c>
      <c r="D120" s="140">
        <f>VLOOKUP($A120,'Data shares'!$C:$FB,4)</f>
        <v>1114.9000000000001</v>
      </c>
      <c r="E120" s="50">
        <f t="shared" si="3"/>
        <v>8.0724728675205262E-2</v>
      </c>
      <c r="F120" s="49">
        <f>VLOOKUP($A120,'Data shares'!$C:$FB,98)</f>
        <v>24278550</v>
      </c>
      <c r="G120" s="49">
        <f>VLOOKUP($A120,'Data shares'!$C:$FB,99)</f>
        <v>23545000</v>
      </c>
      <c r="H120" s="50">
        <f t="shared" si="4"/>
        <v>3.115523465703971</v>
      </c>
      <c r="I120" s="49">
        <f>VLOOKUP($A120,'Data shares'!$C:$FB,66)</f>
        <v>8057150</v>
      </c>
      <c r="J120" s="49">
        <f>VLOOKUP($A120,'Data shares'!$C:$FB,67)</f>
        <v>18529150</v>
      </c>
      <c r="K120" s="50">
        <f t="shared" si="5"/>
        <v>-129.97151598269861</v>
      </c>
      <c r="L120" s="50">
        <f>VLOOKUP($A120,'Data shares'!$C:$FB,118)</f>
        <v>0.75</v>
      </c>
      <c r="M120" s="50">
        <f>VLOOKUP($A120,'Data shares'!$C:$FB,119)</f>
        <v>0.76</v>
      </c>
      <c r="N120" s="50">
        <f>VLOOKUP($A120,'Data shares'!$C:$FB,121)*100</f>
        <v>-1.32</v>
      </c>
      <c r="O120" s="50">
        <f>VLOOKUP($A120,'Data shares'!$C:$FB,124)</f>
        <v>0.62</v>
      </c>
      <c r="P120" s="50">
        <f>VLOOKUP($A120,'Data shares'!$C:$FB,125)</f>
        <v>0.61</v>
      </c>
      <c r="Q120" s="50">
        <f>VLOOKUP($A120,'Data shares'!$C:$FB,127)*100</f>
        <v>1.6400000000000001</v>
      </c>
    </row>
    <row r="121" spans="1:17" x14ac:dyDescent="0.25">
      <c r="A121" s="97" t="str">
        <f>'Data Vlaue (Cr)'!C116</f>
        <v>LICHSGFIN</v>
      </c>
      <c r="B121" s="140">
        <f>VLOOKUP($A121,'Data shares'!$C:$FB,7)</f>
        <v>535.85</v>
      </c>
      <c r="C121" s="140">
        <f>VLOOKUP($A121,'Data shares'!$C:$FB,3)</f>
        <v>538.15</v>
      </c>
      <c r="D121" s="140">
        <f>VLOOKUP($A121,'Data shares'!$C:$FB,4)</f>
        <v>541.6</v>
      </c>
      <c r="E121" s="50">
        <f t="shared" si="3"/>
        <v>-0.63700147710488286</v>
      </c>
      <c r="F121" s="49">
        <f>VLOOKUP($A121,'Data shares'!$C:$FB,98)</f>
        <v>46500000</v>
      </c>
      <c r="G121" s="49">
        <f>VLOOKUP($A121,'Data shares'!$C:$FB,99)</f>
        <v>45733000</v>
      </c>
      <c r="H121" s="50">
        <f t="shared" si="4"/>
        <v>1.6771259265738088</v>
      </c>
      <c r="I121" s="49">
        <f>VLOOKUP($A121,'Data shares'!$C:$FB,66)</f>
        <v>5782000</v>
      </c>
      <c r="J121" s="49">
        <f>VLOOKUP($A121,'Data shares'!$C:$FB,67)</f>
        <v>12502000</v>
      </c>
      <c r="K121" s="50">
        <f t="shared" si="5"/>
        <v>-116.22276029055689</v>
      </c>
      <c r="L121" s="50">
        <f>VLOOKUP($A121,'Data shares'!$C:$FB,118)</f>
        <v>1.1299999999999999</v>
      </c>
      <c r="M121" s="50">
        <f>VLOOKUP($A121,'Data shares'!$C:$FB,119)</f>
        <v>1.17</v>
      </c>
      <c r="N121" s="50">
        <f>VLOOKUP($A121,'Data shares'!$C:$FB,121)*100</f>
        <v>-3.42</v>
      </c>
      <c r="O121" s="50">
        <f>VLOOKUP($A121,'Data shares'!$C:$FB,124)</f>
        <v>0.51</v>
      </c>
      <c r="P121" s="50">
        <f>VLOOKUP($A121,'Data shares'!$C:$FB,125)</f>
        <v>0.73</v>
      </c>
      <c r="Q121" s="50">
        <f>VLOOKUP($A121,'Data shares'!$C:$FB,127)*100</f>
        <v>-30.14</v>
      </c>
    </row>
    <row r="122" spans="1:17" x14ac:dyDescent="0.25">
      <c r="A122" s="97" t="str">
        <f>'Data Vlaue (Cr)'!C117</f>
        <v>LICI</v>
      </c>
      <c r="B122" s="140">
        <f>VLOOKUP($A122,'Data shares'!$C:$FB,7)</f>
        <v>852.8</v>
      </c>
      <c r="C122" s="140">
        <f>VLOOKUP($A122,'Data shares'!$C:$FB,3)</f>
        <v>858.45</v>
      </c>
      <c r="D122" s="140">
        <f>VLOOKUP($A122,'Data shares'!$C:$FB,4)</f>
        <v>858.9</v>
      </c>
      <c r="E122" s="50">
        <f t="shared" si="3"/>
        <v>-5.2392595179873297E-2</v>
      </c>
      <c r="F122" s="49">
        <f>VLOOKUP($A122,'Data shares'!$C:$FB,98)</f>
        <v>16921800</v>
      </c>
      <c r="G122" s="49">
        <f>VLOOKUP($A122,'Data shares'!$C:$FB,99)</f>
        <v>16687300</v>
      </c>
      <c r="H122" s="50">
        <f t="shared" si="4"/>
        <v>1.4052602877637483</v>
      </c>
      <c r="I122" s="49">
        <f>VLOOKUP($A122,'Data shares'!$C:$FB,66)</f>
        <v>2133600</v>
      </c>
      <c r="J122" s="49">
        <f>VLOOKUP($A122,'Data shares'!$C:$FB,67)</f>
        <v>6061300</v>
      </c>
      <c r="K122" s="50">
        <f t="shared" si="5"/>
        <v>-184.08792650918636</v>
      </c>
      <c r="L122" s="50">
        <f>VLOOKUP($A122,'Data shares'!$C:$FB,118)</f>
        <v>0.74</v>
      </c>
      <c r="M122" s="50">
        <f>VLOOKUP($A122,'Data shares'!$C:$FB,119)</f>
        <v>0.75</v>
      </c>
      <c r="N122" s="50">
        <f>VLOOKUP($A122,'Data shares'!$C:$FB,121)*100</f>
        <v>-1.3299999999999998</v>
      </c>
      <c r="O122" s="50">
        <f>VLOOKUP($A122,'Data shares'!$C:$FB,124)</f>
        <v>0.43</v>
      </c>
      <c r="P122" s="50">
        <f>VLOOKUP($A122,'Data shares'!$C:$FB,125)</f>
        <v>0.61</v>
      </c>
      <c r="Q122" s="50">
        <f>VLOOKUP($A122,'Data shares'!$C:$FB,127)*100</f>
        <v>-29.509999999999998</v>
      </c>
    </row>
    <row r="123" spans="1:17" x14ac:dyDescent="0.25">
      <c r="A123" s="97" t="str">
        <f>'Data Vlaue (Cr)'!C118</f>
        <v>LODHA</v>
      </c>
      <c r="B123" s="140">
        <f>VLOOKUP($A123,'Data shares'!$C:$FB,7)</f>
        <v>1072.8</v>
      </c>
      <c r="C123" s="140">
        <f>VLOOKUP($A123,'Data shares'!$C:$FB,3)</f>
        <v>1078.4000000000001</v>
      </c>
      <c r="D123" s="140">
        <f>VLOOKUP($A123,'Data shares'!$C:$FB,4)</f>
        <v>1068</v>
      </c>
      <c r="E123" s="50">
        <f t="shared" si="3"/>
        <v>0.97378277153558901</v>
      </c>
      <c r="F123" s="49">
        <f>VLOOKUP($A123,'Data shares'!$C:$FB,98)</f>
        <v>15149700</v>
      </c>
      <c r="G123" s="49">
        <f>VLOOKUP($A123,'Data shares'!$C:$FB,99)</f>
        <v>14979150</v>
      </c>
      <c r="H123" s="50">
        <f t="shared" si="4"/>
        <v>1.1385826298554991</v>
      </c>
      <c r="I123" s="49">
        <f>VLOOKUP($A123,'Data shares'!$C:$FB,66)</f>
        <v>1976850</v>
      </c>
      <c r="J123" s="49">
        <f>VLOOKUP($A123,'Data shares'!$C:$FB,67)</f>
        <v>2160450</v>
      </c>
      <c r="K123" s="50">
        <f t="shared" si="5"/>
        <v>-9.2875028454359203</v>
      </c>
      <c r="L123" s="50">
        <f>VLOOKUP($A123,'Data shares'!$C:$FB,118)</f>
        <v>1.02</v>
      </c>
      <c r="M123" s="50">
        <f>VLOOKUP($A123,'Data shares'!$C:$FB,119)</f>
        <v>1.07</v>
      </c>
      <c r="N123" s="50">
        <f>VLOOKUP($A123,'Data shares'!$C:$FB,121)*100</f>
        <v>-4.67</v>
      </c>
      <c r="O123" s="50">
        <f>VLOOKUP($A123,'Data shares'!$C:$FB,124)</f>
        <v>0.4</v>
      </c>
      <c r="P123" s="50">
        <f>VLOOKUP($A123,'Data shares'!$C:$FB,125)</f>
        <v>0.46</v>
      </c>
      <c r="Q123" s="50">
        <f>VLOOKUP($A123,'Data shares'!$C:$FB,127)*100</f>
        <v>-13.04</v>
      </c>
    </row>
    <row r="124" spans="1:17" x14ac:dyDescent="0.25">
      <c r="A124" s="97" t="str">
        <f>'Data Vlaue (Cr)'!C119</f>
        <v>LT</v>
      </c>
      <c r="B124" s="140">
        <f>VLOOKUP($A124,'Data shares'!$C:$FB,7)</f>
        <v>4140.3999999999996</v>
      </c>
      <c r="C124" s="140">
        <f>VLOOKUP($A124,'Data shares'!$C:$FB,3)</f>
        <v>4156.8</v>
      </c>
      <c r="D124" s="140">
        <f>VLOOKUP($A124,'Data shares'!$C:$FB,4)</f>
        <v>4107.5</v>
      </c>
      <c r="E124" s="50">
        <f t="shared" si="3"/>
        <v>1.2002434570906921</v>
      </c>
      <c r="F124" s="49">
        <f>VLOOKUP($A124,'Data shares'!$C:$FB,98)</f>
        <v>18369925</v>
      </c>
      <c r="G124" s="49">
        <f>VLOOKUP($A124,'Data shares'!$C:$FB,99)</f>
        <v>17457300</v>
      </c>
      <c r="H124" s="50">
        <f t="shared" si="4"/>
        <v>5.227755723966478</v>
      </c>
      <c r="I124" s="49">
        <f>VLOOKUP($A124,'Data shares'!$C:$FB,66)</f>
        <v>9482200</v>
      </c>
      <c r="J124" s="49">
        <f>VLOOKUP($A124,'Data shares'!$C:$FB,67)</f>
        <v>6853525</v>
      </c>
      <c r="K124" s="50">
        <f t="shared" si="5"/>
        <v>27.722205817215411</v>
      </c>
      <c r="L124" s="50">
        <f>VLOOKUP($A124,'Data shares'!$C:$FB,118)</f>
        <v>0.71</v>
      </c>
      <c r="M124" s="50">
        <f>VLOOKUP($A124,'Data shares'!$C:$FB,119)</f>
        <v>0.73</v>
      </c>
      <c r="N124" s="50">
        <f>VLOOKUP($A124,'Data shares'!$C:$FB,121)*100</f>
        <v>-2.74</v>
      </c>
      <c r="O124" s="50">
        <f>VLOOKUP($A124,'Data shares'!$C:$FB,124)</f>
        <v>0.46</v>
      </c>
      <c r="P124" s="50">
        <f>VLOOKUP($A124,'Data shares'!$C:$FB,125)</f>
        <v>0.55000000000000004</v>
      </c>
      <c r="Q124" s="50">
        <f>VLOOKUP($A124,'Data shares'!$C:$FB,127)*100</f>
        <v>-16.36</v>
      </c>
    </row>
    <row r="125" spans="1:17" x14ac:dyDescent="0.25">
      <c r="A125" s="97" t="str">
        <f>'Data Vlaue (Cr)'!C120</f>
        <v>LTF</v>
      </c>
      <c r="B125" s="140">
        <f>VLOOKUP($A125,'Data shares'!$C:$FB,7)</f>
        <v>317.25</v>
      </c>
      <c r="C125" s="140">
        <f>VLOOKUP($A125,'Data shares'!$C:$FB,3)</f>
        <v>318.75</v>
      </c>
      <c r="D125" s="140">
        <f>VLOOKUP($A125,'Data shares'!$C:$FB,4)</f>
        <v>316.25</v>
      </c>
      <c r="E125" s="50">
        <f t="shared" si="3"/>
        <v>0.79051383399209485</v>
      </c>
      <c r="F125" s="49">
        <f>VLOOKUP($A125,'Data shares'!$C:$FB,98)</f>
        <v>73759500</v>
      </c>
      <c r="G125" s="49">
        <f>VLOOKUP($A125,'Data shares'!$C:$FB,99)</f>
        <v>72870750</v>
      </c>
      <c r="H125" s="50">
        <f t="shared" si="4"/>
        <v>1.2196251582425048</v>
      </c>
      <c r="I125" s="49">
        <f>VLOOKUP($A125,'Data shares'!$C:$FB,66)</f>
        <v>59946750</v>
      </c>
      <c r="J125" s="49">
        <f>VLOOKUP($A125,'Data shares'!$C:$FB,67)</f>
        <v>106191000</v>
      </c>
      <c r="K125" s="50">
        <f t="shared" si="5"/>
        <v>-77.142213714671769</v>
      </c>
      <c r="L125" s="50">
        <f>VLOOKUP($A125,'Data shares'!$C:$FB,118)</f>
        <v>0.73</v>
      </c>
      <c r="M125" s="50">
        <f>VLOOKUP($A125,'Data shares'!$C:$FB,119)</f>
        <v>0.69</v>
      </c>
      <c r="N125" s="50">
        <f>VLOOKUP($A125,'Data shares'!$C:$FB,121)*100</f>
        <v>5.8000000000000007</v>
      </c>
      <c r="O125" s="50">
        <f>VLOOKUP($A125,'Data shares'!$C:$FB,124)</f>
        <v>0.39</v>
      </c>
      <c r="P125" s="50">
        <f>VLOOKUP($A125,'Data shares'!$C:$FB,125)</f>
        <v>0.37</v>
      </c>
      <c r="Q125" s="50">
        <f>VLOOKUP($A125,'Data shares'!$C:$FB,127)*100</f>
        <v>5.41</v>
      </c>
    </row>
    <row r="126" spans="1:17" x14ac:dyDescent="0.25">
      <c r="A126" s="97" t="str">
        <f>'Data Vlaue (Cr)'!C121</f>
        <v>LTIM</v>
      </c>
      <c r="B126" s="140">
        <f>VLOOKUP($A126,'Data shares'!$C:$FB,7)</f>
        <v>6112</v>
      </c>
      <c r="C126" s="140">
        <f>VLOOKUP($A126,'Data shares'!$C:$FB,3)</f>
        <v>6128</v>
      </c>
      <c r="D126" s="140">
        <f>VLOOKUP($A126,'Data shares'!$C:$FB,4)</f>
        <v>6081</v>
      </c>
      <c r="E126" s="50">
        <f t="shared" si="3"/>
        <v>0.77289919421147835</v>
      </c>
      <c r="F126" s="49">
        <f>VLOOKUP($A126,'Data shares'!$C:$FB,98)</f>
        <v>2967600</v>
      </c>
      <c r="G126" s="49">
        <f>VLOOKUP($A126,'Data shares'!$C:$FB,99)</f>
        <v>2842050</v>
      </c>
      <c r="H126" s="50">
        <f t="shared" si="4"/>
        <v>4.4175858975035629</v>
      </c>
      <c r="I126" s="49">
        <f>VLOOKUP($A126,'Data shares'!$C:$FB,66)</f>
        <v>963450</v>
      </c>
      <c r="J126" s="49">
        <f>VLOOKUP($A126,'Data shares'!$C:$FB,67)</f>
        <v>1065450</v>
      </c>
      <c r="K126" s="50">
        <f t="shared" si="5"/>
        <v>-10.58695313716332</v>
      </c>
      <c r="L126" s="50">
        <f>VLOOKUP($A126,'Data shares'!$C:$FB,118)</f>
        <v>0.87</v>
      </c>
      <c r="M126" s="50">
        <f>VLOOKUP($A126,'Data shares'!$C:$FB,119)</f>
        <v>1.03</v>
      </c>
      <c r="N126" s="50">
        <f>VLOOKUP($A126,'Data shares'!$C:$FB,121)*100</f>
        <v>-15.53</v>
      </c>
      <c r="O126" s="50">
        <f>VLOOKUP($A126,'Data shares'!$C:$FB,124)</f>
        <v>0.5</v>
      </c>
      <c r="P126" s="50">
        <f>VLOOKUP($A126,'Data shares'!$C:$FB,125)</f>
        <v>0.63</v>
      </c>
      <c r="Q126" s="50">
        <f>VLOOKUP($A126,'Data shares'!$C:$FB,127)*100</f>
        <v>-20.630000000000003</v>
      </c>
    </row>
    <row r="127" spans="1:17" x14ac:dyDescent="0.25">
      <c r="A127" s="97" t="str">
        <f>'Data Vlaue (Cr)'!C122</f>
        <v>LUPIN</v>
      </c>
      <c r="B127" s="140">
        <f>VLOOKUP($A127,'Data shares'!$C:$FB,7)</f>
        <v>2102.8000000000002</v>
      </c>
      <c r="C127" s="140">
        <f>VLOOKUP($A127,'Data shares'!$C:$FB,3)</f>
        <v>2112</v>
      </c>
      <c r="D127" s="140">
        <f>VLOOKUP($A127,'Data shares'!$C:$FB,4)</f>
        <v>2115.3000000000002</v>
      </c>
      <c r="E127" s="50">
        <f t="shared" si="3"/>
        <v>-0.15600624024961857</v>
      </c>
      <c r="F127" s="49">
        <f>VLOOKUP($A127,'Data shares'!$C:$FB,98)</f>
        <v>9023175</v>
      </c>
      <c r="G127" s="49">
        <f>VLOOKUP($A127,'Data shares'!$C:$FB,99)</f>
        <v>8897800</v>
      </c>
      <c r="H127" s="50">
        <f t="shared" si="4"/>
        <v>1.4090561711883836</v>
      </c>
      <c r="I127" s="49">
        <f>VLOOKUP($A127,'Data shares'!$C:$FB,66)</f>
        <v>2218075</v>
      </c>
      <c r="J127" s="49">
        <f>VLOOKUP($A127,'Data shares'!$C:$FB,67)</f>
        <v>3348575</v>
      </c>
      <c r="K127" s="50">
        <f t="shared" si="5"/>
        <v>-50.967618317685378</v>
      </c>
      <c r="L127" s="50">
        <f>VLOOKUP($A127,'Data shares'!$C:$FB,118)</f>
        <v>0.86</v>
      </c>
      <c r="M127" s="50">
        <f>VLOOKUP($A127,'Data shares'!$C:$FB,119)</f>
        <v>0.9</v>
      </c>
      <c r="N127" s="50">
        <f>VLOOKUP($A127,'Data shares'!$C:$FB,121)*100</f>
        <v>-4.4400000000000004</v>
      </c>
      <c r="O127" s="50">
        <f>VLOOKUP($A127,'Data shares'!$C:$FB,124)</f>
        <v>0.5</v>
      </c>
      <c r="P127" s="50">
        <f>VLOOKUP($A127,'Data shares'!$C:$FB,125)</f>
        <v>0.53</v>
      </c>
      <c r="Q127" s="50">
        <f>VLOOKUP($A127,'Data shares'!$C:$FB,127)*100</f>
        <v>-5.66</v>
      </c>
    </row>
    <row r="128" spans="1:17" x14ac:dyDescent="0.25">
      <c r="A128" s="97" t="str">
        <f>'Data Vlaue (Cr)'!C123</f>
        <v>M&amp;M</v>
      </c>
      <c r="B128" s="140">
        <f>VLOOKUP($A128,'Data shares'!$C:$FB,7)</f>
        <v>3761</v>
      </c>
      <c r="C128" s="140">
        <f>VLOOKUP($A128,'Data shares'!$C:$FB,3)</f>
        <v>3783.5</v>
      </c>
      <c r="D128" s="140">
        <f>VLOOKUP($A128,'Data shares'!$C:$FB,4)</f>
        <v>3733.4</v>
      </c>
      <c r="E128" s="50">
        <f t="shared" si="3"/>
        <v>1.3419403224942388</v>
      </c>
      <c r="F128" s="49">
        <f>VLOOKUP($A128,'Data shares'!$C:$FB,98)</f>
        <v>22560000</v>
      </c>
      <c r="G128" s="49">
        <f>VLOOKUP($A128,'Data shares'!$C:$FB,99)</f>
        <v>21907000</v>
      </c>
      <c r="H128" s="50">
        <f t="shared" si="4"/>
        <v>2.9807823983201716</v>
      </c>
      <c r="I128" s="49">
        <f>VLOOKUP($A128,'Data shares'!$C:$FB,66)</f>
        <v>17976200</v>
      </c>
      <c r="J128" s="49">
        <f>VLOOKUP($A128,'Data shares'!$C:$FB,67)</f>
        <v>12135200</v>
      </c>
      <c r="K128" s="50">
        <f t="shared" si="5"/>
        <v>32.492962917635545</v>
      </c>
      <c r="L128" s="50">
        <f>VLOOKUP($A128,'Data shares'!$C:$FB,118)</f>
        <v>0.72</v>
      </c>
      <c r="M128" s="50">
        <f>VLOOKUP($A128,'Data shares'!$C:$FB,119)</f>
        <v>0.79</v>
      </c>
      <c r="N128" s="50">
        <f>VLOOKUP($A128,'Data shares'!$C:$FB,121)*100</f>
        <v>-8.86</v>
      </c>
      <c r="O128" s="50">
        <f>VLOOKUP($A128,'Data shares'!$C:$FB,124)</f>
        <v>0.34</v>
      </c>
      <c r="P128" s="50">
        <f>VLOOKUP($A128,'Data shares'!$C:$FB,125)</f>
        <v>0.46</v>
      </c>
      <c r="Q128" s="50">
        <f>VLOOKUP($A128,'Data shares'!$C:$FB,127)*100</f>
        <v>-26.090000000000003</v>
      </c>
    </row>
    <row r="129" spans="1:17" x14ac:dyDescent="0.25">
      <c r="A129" s="97" t="str">
        <f>'Data Vlaue (Cr)'!C124</f>
        <v>MANAPPURAM</v>
      </c>
      <c r="B129" s="140">
        <f>VLOOKUP($A129,'Data shares'!$C:$FB,7)</f>
        <v>314.10000000000002</v>
      </c>
      <c r="C129" s="140">
        <f>VLOOKUP($A129,'Data shares'!$C:$FB,3)</f>
        <v>315.64999999999998</v>
      </c>
      <c r="D129" s="140">
        <f>VLOOKUP($A129,'Data shares'!$C:$FB,4)</f>
        <v>310.3</v>
      </c>
      <c r="E129" s="50">
        <f t="shared" si="3"/>
        <v>1.7241379310344715</v>
      </c>
      <c r="F129" s="49">
        <f>VLOOKUP($A129,'Data shares'!$C:$FB,98)</f>
        <v>56916000</v>
      </c>
      <c r="G129" s="49">
        <f>VLOOKUP($A129,'Data shares'!$C:$FB,99)</f>
        <v>56412000</v>
      </c>
      <c r="H129" s="50">
        <f t="shared" si="4"/>
        <v>0.89342693044033183</v>
      </c>
      <c r="I129" s="49">
        <f>VLOOKUP($A129,'Data shares'!$C:$FB,66)</f>
        <v>24471000</v>
      </c>
      <c r="J129" s="49">
        <f>VLOOKUP($A129,'Data shares'!$C:$FB,67)</f>
        <v>25704000</v>
      </c>
      <c r="K129" s="50">
        <f t="shared" si="5"/>
        <v>-5.0386171386539171</v>
      </c>
      <c r="L129" s="50">
        <f>VLOOKUP($A129,'Data shares'!$C:$FB,118)</f>
        <v>0.66</v>
      </c>
      <c r="M129" s="50">
        <f>VLOOKUP($A129,'Data shares'!$C:$FB,119)</f>
        <v>0.56999999999999995</v>
      </c>
      <c r="N129" s="50">
        <f>VLOOKUP($A129,'Data shares'!$C:$FB,121)*100</f>
        <v>15.790000000000001</v>
      </c>
      <c r="O129" s="50">
        <f>VLOOKUP($A129,'Data shares'!$C:$FB,124)</f>
        <v>0.38</v>
      </c>
      <c r="P129" s="50">
        <f>VLOOKUP($A129,'Data shares'!$C:$FB,125)</f>
        <v>0.55000000000000004</v>
      </c>
      <c r="Q129" s="50">
        <f>VLOOKUP($A129,'Data shares'!$C:$FB,127)*100</f>
        <v>-30.91</v>
      </c>
    </row>
    <row r="130" spans="1:17" x14ac:dyDescent="0.25">
      <c r="A130" s="97" t="str">
        <f>'Data Vlaue (Cr)'!C125</f>
        <v>MANKIND</v>
      </c>
      <c r="B130" s="140">
        <f>VLOOKUP($A130,'Data shares'!$C:$FB,7)</f>
        <v>2164.6</v>
      </c>
      <c r="C130" s="140">
        <f>VLOOKUP($A130,'Data shares'!$C:$FB,3)</f>
        <v>2172.9</v>
      </c>
      <c r="D130" s="140">
        <f>VLOOKUP($A130,'Data shares'!$C:$FB,4)</f>
        <v>2203.3000000000002</v>
      </c>
      <c r="E130" s="50">
        <f t="shared" si="3"/>
        <v>-1.3797485589797163</v>
      </c>
      <c r="F130" s="49">
        <f>VLOOKUP($A130,'Data shares'!$C:$FB,98)</f>
        <v>2782350</v>
      </c>
      <c r="G130" s="49">
        <f>VLOOKUP($A130,'Data shares'!$C:$FB,99)</f>
        <v>2690325</v>
      </c>
      <c r="H130" s="50">
        <f t="shared" si="4"/>
        <v>3.4205904491093087</v>
      </c>
      <c r="I130" s="49">
        <f>VLOOKUP($A130,'Data shares'!$C:$FB,66)</f>
        <v>608850</v>
      </c>
      <c r="J130" s="49">
        <f>VLOOKUP($A130,'Data shares'!$C:$FB,67)</f>
        <v>1178775</v>
      </c>
      <c r="K130" s="50">
        <f t="shared" si="5"/>
        <v>-93.606799704360682</v>
      </c>
      <c r="L130" s="50">
        <f>VLOOKUP($A130,'Data shares'!$C:$FB,118)</f>
        <v>0.82</v>
      </c>
      <c r="M130" s="50">
        <f>VLOOKUP($A130,'Data shares'!$C:$FB,119)</f>
        <v>0.9</v>
      </c>
      <c r="N130" s="50">
        <f>VLOOKUP($A130,'Data shares'!$C:$FB,121)*100</f>
        <v>-8.89</v>
      </c>
      <c r="O130" s="50">
        <f>VLOOKUP($A130,'Data shares'!$C:$FB,124)</f>
        <v>0.39</v>
      </c>
      <c r="P130" s="50">
        <f>VLOOKUP($A130,'Data shares'!$C:$FB,125)</f>
        <v>0.3</v>
      </c>
      <c r="Q130" s="50">
        <f>VLOOKUP($A130,'Data shares'!$C:$FB,127)*100</f>
        <v>30</v>
      </c>
    </row>
    <row r="131" spans="1:17" x14ac:dyDescent="0.25">
      <c r="A131" s="97" t="str">
        <f>'Data Vlaue (Cr)'!C126</f>
        <v>MARICO</v>
      </c>
      <c r="B131" s="140">
        <f>VLOOKUP($A131,'Data shares'!$C:$FB,7)</f>
        <v>760.45</v>
      </c>
      <c r="C131" s="140">
        <f>VLOOKUP($A131,'Data shares'!$C:$FB,3)</f>
        <v>764.2</v>
      </c>
      <c r="D131" s="140">
        <f>VLOOKUP($A131,'Data shares'!$C:$FB,4)</f>
        <v>753.5</v>
      </c>
      <c r="E131" s="50">
        <f t="shared" si="3"/>
        <v>1.4200398142004043</v>
      </c>
      <c r="F131" s="49">
        <f>VLOOKUP($A131,'Data shares'!$C:$FB,98)</f>
        <v>38388000</v>
      </c>
      <c r="G131" s="49">
        <f>VLOOKUP($A131,'Data shares'!$C:$FB,99)</f>
        <v>36816000</v>
      </c>
      <c r="H131" s="50">
        <f t="shared" si="4"/>
        <v>4.2698826597131676</v>
      </c>
      <c r="I131" s="49">
        <f>VLOOKUP($A131,'Data shares'!$C:$FB,66)</f>
        <v>8806800</v>
      </c>
      <c r="J131" s="49">
        <f>VLOOKUP($A131,'Data shares'!$C:$FB,67)</f>
        <v>6682800</v>
      </c>
      <c r="K131" s="50">
        <f t="shared" si="5"/>
        <v>24.117727210791664</v>
      </c>
      <c r="L131" s="50">
        <f>VLOOKUP($A131,'Data shares'!$C:$FB,118)</f>
        <v>0.69</v>
      </c>
      <c r="M131" s="50">
        <f>VLOOKUP($A131,'Data shares'!$C:$FB,119)</f>
        <v>0.57999999999999996</v>
      </c>
      <c r="N131" s="50">
        <f>VLOOKUP($A131,'Data shares'!$C:$FB,121)*100</f>
        <v>18.970000000000002</v>
      </c>
      <c r="O131" s="50">
        <f>VLOOKUP($A131,'Data shares'!$C:$FB,124)</f>
        <v>0.42</v>
      </c>
      <c r="P131" s="50">
        <f>VLOOKUP($A131,'Data shares'!$C:$FB,125)</f>
        <v>0.33</v>
      </c>
      <c r="Q131" s="50">
        <f>VLOOKUP($A131,'Data shares'!$C:$FB,127)*100</f>
        <v>27.27</v>
      </c>
    </row>
    <row r="132" spans="1:17" x14ac:dyDescent="0.25">
      <c r="A132" s="97" t="str">
        <f>'Data Vlaue (Cr)'!C127</f>
        <v>MARUTI</v>
      </c>
      <c r="B132" s="140">
        <f>VLOOKUP($A132,'Data shares'!$C:$FB,7)</f>
        <v>16708</v>
      </c>
      <c r="C132" s="140">
        <f>VLOOKUP($A132,'Data shares'!$C:$FB,3)</f>
        <v>16792</v>
      </c>
      <c r="D132" s="140">
        <f>VLOOKUP($A132,'Data shares'!$C:$FB,4)</f>
        <v>16808</v>
      </c>
      <c r="E132" s="50">
        <f t="shared" si="3"/>
        <v>-9.5192765349833411E-2</v>
      </c>
      <c r="F132" s="49">
        <f>VLOOKUP($A132,'Data shares'!$C:$FB,98)</f>
        <v>4423050</v>
      </c>
      <c r="G132" s="49">
        <f>VLOOKUP($A132,'Data shares'!$C:$FB,99)</f>
        <v>4211900</v>
      </c>
      <c r="H132" s="50">
        <f t="shared" si="4"/>
        <v>5.0131769510197302</v>
      </c>
      <c r="I132" s="49">
        <f>VLOOKUP($A132,'Data shares'!$C:$FB,66)</f>
        <v>3349700</v>
      </c>
      <c r="J132" s="49">
        <f>VLOOKUP($A132,'Data shares'!$C:$FB,67)</f>
        <v>3277750</v>
      </c>
      <c r="K132" s="50">
        <f t="shared" si="5"/>
        <v>2.1479535480789327</v>
      </c>
      <c r="L132" s="50">
        <f>VLOOKUP($A132,'Data shares'!$C:$FB,118)</f>
        <v>0.91</v>
      </c>
      <c r="M132" s="50">
        <f>VLOOKUP($A132,'Data shares'!$C:$FB,119)</f>
        <v>0.93</v>
      </c>
      <c r="N132" s="50">
        <f>VLOOKUP($A132,'Data shares'!$C:$FB,121)*100</f>
        <v>-2.15</v>
      </c>
      <c r="O132" s="50">
        <f>VLOOKUP($A132,'Data shares'!$C:$FB,124)</f>
        <v>0.68</v>
      </c>
      <c r="P132" s="50">
        <f>VLOOKUP($A132,'Data shares'!$C:$FB,125)</f>
        <v>0.64</v>
      </c>
      <c r="Q132" s="50">
        <f>VLOOKUP($A132,'Data shares'!$C:$FB,127)*100</f>
        <v>6.25</v>
      </c>
    </row>
    <row r="133" spans="1:17" x14ac:dyDescent="0.25">
      <c r="A133" s="97" t="str">
        <f>'Data Vlaue (Cr)'!C128</f>
        <v>MAXHEALTH</v>
      </c>
      <c r="B133" s="140">
        <f>VLOOKUP($A133,'Data shares'!$C:$FB,7)</f>
        <v>1049.4000000000001</v>
      </c>
      <c r="C133" s="140">
        <f>VLOOKUP($A133,'Data shares'!$C:$FB,3)</f>
        <v>1053.8</v>
      </c>
      <c r="D133" s="140">
        <f>VLOOKUP($A133,'Data shares'!$C:$FB,4)</f>
        <v>1050.7</v>
      </c>
      <c r="E133" s="50">
        <f t="shared" si="3"/>
        <v>0.29504140097077269</v>
      </c>
      <c r="F133" s="49">
        <f>VLOOKUP($A133,'Data shares'!$C:$FB,98)</f>
        <v>26020050</v>
      </c>
      <c r="G133" s="49">
        <f>VLOOKUP($A133,'Data shares'!$C:$FB,99)</f>
        <v>25832625</v>
      </c>
      <c r="H133" s="50">
        <f t="shared" si="4"/>
        <v>0.72553602276191442</v>
      </c>
      <c r="I133" s="49">
        <f>VLOOKUP($A133,'Data shares'!$C:$FB,66)</f>
        <v>4007325</v>
      </c>
      <c r="J133" s="49">
        <f>VLOOKUP($A133,'Data shares'!$C:$FB,67)</f>
        <v>5714625</v>
      </c>
      <c r="K133" s="50">
        <f t="shared" si="5"/>
        <v>-42.604480545001962</v>
      </c>
      <c r="L133" s="50">
        <f>VLOOKUP($A133,'Data shares'!$C:$FB,118)</f>
        <v>0.85</v>
      </c>
      <c r="M133" s="50">
        <f>VLOOKUP($A133,'Data shares'!$C:$FB,119)</f>
        <v>0.89</v>
      </c>
      <c r="N133" s="50">
        <f>VLOOKUP($A133,'Data shares'!$C:$FB,121)*100</f>
        <v>-4.49</v>
      </c>
      <c r="O133" s="50">
        <f>VLOOKUP($A133,'Data shares'!$C:$FB,124)</f>
        <v>0.37</v>
      </c>
      <c r="P133" s="50">
        <f>VLOOKUP($A133,'Data shares'!$C:$FB,125)</f>
        <v>0.55000000000000004</v>
      </c>
      <c r="Q133" s="50">
        <f>VLOOKUP($A133,'Data shares'!$C:$FB,127)*100</f>
        <v>-32.729999999999997</v>
      </c>
    </row>
    <row r="134" spans="1:17" x14ac:dyDescent="0.25">
      <c r="A134" s="97" t="str">
        <f>'Data Vlaue (Cr)'!C129</f>
        <v>MAZDOCK</v>
      </c>
      <c r="B134" s="140">
        <f>VLOOKUP($A134,'Data shares'!$C:$FB,7)</f>
        <v>2476.6999999999998</v>
      </c>
      <c r="C134" s="140">
        <f>VLOOKUP($A134,'Data shares'!$C:$FB,3)</f>
        <v>2493.5</v>
      </c>
      <c r="D134" s="140">
        <f>VLOOKUP($A134,'Data shares'!$C:$FB,4)</f>
        <v>2504.9</v>
      </c>
      <c r="E134" s="50">
        <f t="shared" si="3"/>
        <v>-0.45510798834285165</v>
      </c>
      <c r="F134" s="49">
        <f>VLOOKUP($A134,'Data shares'!$C:$FB,98)</f>
        <v>10749400</v>
      </c>
      <c r="G134" s="49">
        <f>VLOOKUP($A134,'Data shares'!$C:$FB,99)</f>
        <v>10510000</v>
      </c>
      <c r="H134" s="50">
        <f t="shared" si="4"/>
        <v>2.2778306374881065</v>
      </c>
      <c r="I134" s="49">
        <f>VLOOKUP($A134,'Data shares'!$C:$FB,66)</f>
        <v>4030600</v>
      </c>
      <c r="J134" s="49">
        <f>VLOOKUP($A134,'Data shares'!$C:$FB,67)</f>
        <v>6696000</v>
      </c>
      <c r="K134" s="50">
        <f t="shared" si="5"/>
        <v>-66.129112290974049</v>
      </c>
      <c r="L134" s="50">
        <f>VLOOKUP($A134,'Data shares'!$C:$FB,118)</f>
        <v>0.49</v>
      </c>
      <c r="M134" s="50">
        <f>VLOOKUP($A134,'Data shares'!$C:$FB,119)</f>
        <v>0.51</v>
      </c>
      <c r="N134" s="50">
        <f>VLOOKUP($A134,'Data shares'!$C:$FB,121)*100</f>
        <v>-3.92</v>
      </c>
      <c r="O134" s="50">
        <f>VLOOKUP($A134,'Data shares'!$C:$FB,124)</f>
        <v>0.39</v>
      </c>
      <c r="P134" s="50">
        <f>VLOOKUP($A134,'Data shares'!$C:$FB,125)</f>
        <v>0.36</v>
      </c>
      <c r="Q134" s="50">
        <f>VLOOKUP($A134,'Data shares'!$C:$FB,127)*100</f>
        <v>8.33</v>
      </c>
    </row>
    <row r="135" spans="1:17" x14ac:dyDescent="0.25">
      <c r="A135" s="97" t="str">
        <f>'Data Vlaue (Cr)'!C130</f>
        <v>MCX</v>
      </c>
      <c r="B135" s="140">
        <f>VLOOKUP($A135,'Data shares'!$C:$FB,7)</f>
        <v>10989</v>
      </c>
      <c r="C135" s="140">
        <f>VLOOKUP($A135,'Data shares'!$C:$FB,3)</f>
        <v>11063</v>
      </c>
      <c r="D135" s="140">
        <f>VLOOKUP($A135,'Data shares'!$C:$FB,4)</f>
        <v>11195</v>
      </c>
      <c r="E135" s="50">
        <f t="shared" si="3"/>
        <v>-1.1790978115230013</v>
      </c>
      <c r="F135" s="49">
        <f>VLOOKUP($A135,'Data shares'!$C:$FB,98)</f>
        <v>6013250</v>
      </c>
      <c r="G135" s="49">
        <f>VLOOKUP($A135,'Data shares'!$C:$FB,99)</f>
        <v>5699500</v>
      </c>
      <c r="H135" s="50">
        <f t="shared" si="4"/>
        <v>5.5048688481445742</v>
      </c>
      <c r="I135" s="49">
        <f>VLOOKUP($A135,'Data shares'!$C:$FB,66)</f>
        <v>4679875</v>
      </c>
      <c r="J135" s="49">
        <f>VLOOKUP($A135,'Data shares'!$C:$FB,67)</f>
        <v>9168000</v>
      </c>
      <c r="K135" s="50">
        <f t="shared" si="5"/>
        <v>-95.902668340500554</v>
      </c>
      <c r="L135" s="50">
        <f>VLOOKUP($A135,'Data shares'!$C:$FB,118)</f>
        <v>0.66</v>
      </c>
      <c r="M135" s="50">
        <f>VLOOKUP($A135,'Data shares'!$C:$FB,119)</f>
        <v>0.69</v>
      </c>
      <c r="N135" s="50">
        <f>VLOOKUP($A135,'Data shares'!$C:$FB,121)*100</f>
        <v>-4.3499999999999996</v>
      </c>
      <c r="O135" s="50">
        <f>VLOOKUP($A135,'Data shares'!$C:$FB,124)</f>
        <v>0.88</v>
      </c>
      <c r="P135" s="50">
        <f>VLOOKUP($A135,'Data shares'!$C:$FB,125)</f>
        <v>0.46</v>
      </c>
      <c r="Q135" s="50">
        <f>VLOOKUP($A135,'Data shares'!$C:$FB,127)*100</f>
        <v>91.3</v>
      </c>
    </row>
    <row r="136" spans="1:17" x14ac:dyDescent="0.25">
      <c r="A136" s="97" t="str">
        <f>'Data Vlaue (Cr)'!C131</f>
        <v>MFSL</v>
      </c>
      <c r="B136" s="140">
        <f>VLOOKUP($A136,'Data shares'!$C:$FB,7)</f>
        <v>1674</v>
      </c>
      <c r="C136" s="140">
        <f>VLOOKUP($A136,'Data shares'!$C:$FB,3)</f>
        <v>1682.2</v>
      </c>
      <c r="D136" s="140">
        <f>VLOOKUP($A136,'Data shares'!$C:$FB,4)</f>
        <v>1683.1</v>
      </c>
      <c r="E136" s="50">
        <f t="shared" ref="E136:E172" si="6">(C136-D136)/D136*100</f>
        <v>-5.3472758600193904E-2</v>
      </c>
      <c r="F136" s="49">
        <f>VLOOKUP($A136,'Data shares'!$C:$FB,98)</f>
        <v>9314400</v>
      </c>
      <c r="G136" s="49">
        <f>VLOOKUP($A136,'Data shares'!$C:$FB,99)</f>
        <v>9246400</v>
      </c>
      <c r="H136" s="50">
        <f t="shared" ref="H136:H172" si="7">(F136-G136)/G136*100</f>
        <v>0.73542135317528989</v>
      </c>
      <c r="I136" s="49">
        <f>VLOOKUP($A136,'Data shares'!$C:$FB,66)</f>
        <v>1098800</v>
      </c>
      <c r="J136" s="49">
        <f>VLOOKUP($A136,'Data shares'!$C:$FB,67)</f>
        <v>2469600</v>
      </c>
      <c r="K136" s="50">
        <f t="shared" ref="K136:K172" si="8">(I136-J136)/I136*100</f>
        <v>-124.75427739352021</v>
      </c>
      <c r="L136" s="50">
        <f>VLOOKUP($A136,'Data shares'!$C:$FB,118)</f>
        <v>0.75</v>
      </c>
      <c r="M136" s="50">
        <f>VLOOKUP($A136,'Data shares'!$C:$FB,119)</f>
        <v>0.78</v>
      </c>
      <c r="N136" s="50">
        <f>VLOOKUP($A136,'Data shares'!$C:$FB,121)*100</f>
        <v>-3.85</v>
      </c>
      <c r="O136" s="50">
        <f>VLOOKUP($A136,'Data shares'!$C:$FB,124)</f>
        <v>0.6</v>
      </c>
      <c r="P136" s="50">
        <f>VLOOKUP($A136,'Data shares'!$C:$FB,125)</f>
        <v>0.97</v>
      </c>
      <c r="Q136" s="50">
        <f>VLOOKUP($A136,'Data shares'!$C:$FB,127)*100</f>
        <v>-38.14</v>
      </c>
    </row>
    <row r="137" spans="1:17" x14ac:dyDescent="0.25">
      <c r="A137" s="97" t="str">
        <f>'Data Vlaue (Cr)'!C132</f>
        <v>MIDCPNIFTY</v>
      </c>
      <c r="B137" s="140">
        <f>VLOOKUP($A137,'Data shares'!$C:$FB,7)</f>
        <v>13843.6</v>
      </c>
      <c r="C137" s="140">
        <f>VLOOKUP($A137,'Data shares'!$C:$FB,3)</f>
        <v>13899.15</v>
      </c>
      <c r="D137" s="140">
        <f>VLOOKUP($A137,'Data shares'!$C:$FB,4)</f>
        <v>13841.3</v>
      </c>
      <c r="E137" s="50">
        <f t="shared" si="6"/>
        <v>0.41795207097599479</v>
      </c>
      <c r="F137" s="49">
        <f>VLOOKUP($A137,'Data shares'!$C:$FB,98)</f>
        <v>10827600</v>
      </c>
      <c r="G137" s="49">
        <f>VLOOKUP($A137,'Data shares'!$C:$FB,99)</f>
        <v>9580800</v>
      </c>
      <c r="H137" s="50">
        <f t="shared" si="7"/>
        <v>13.013527054108218</v>
      </c>
      <c r="I137" s="49">
        <f>VLOOKUP($A137,'Data shares'!$C:$FB,66)</f>
        <v>20254560</v>
      </c>
      <c r="J137" s="49">
        <f>VLOOKUP($A137,'Data shares'!$C:$FB,67)</f>
        <v>27885720</v>
      </c>
      <c r="K137" s="50">
        <f t="shared" si="8"/>
        <v>-37.676256605919853</v>
      </c>
      <c r="L137" s="50">
        <f>VLOOKUP($A137,'Data shares'!$C:$FB,118)</f>
        <v>1.1599999999999999</v>
      </c>
      <c r="M137" s="50">
        <f>VLOOKUP($A137,'Data shares'!$C:$FB,119)</f>
        <v>1.08</v>
      </c>
      <c r="N137" s="50">
        <f>VLOOKUP($A137,'Data shares'!$C:$FB,121)*100</f>
        <v>7.41</v>
      </c>
      <c r="O137" s="50">
        <f>VLOOKUP($A137,'Data shares'!$C:$FB,124)</f>
        <v>0.98</v>
      </c>
      <c r="P137" s="50">
        <f>VLOOKUP($A137,'Data shares'!$C:$FB,125)</f>
        <v>0.96</v>
      </c>
      <c r="Q137" s="50">
        <f>VLOOKUP($A137,'Data shares'!$C:$FB,127)*100</f>
        <v>2.08</v>
      </c>
    </row>
    <row r="138" spans="1:17" x14ac:dyDescent="0.25">
      <c r="A138" s="97" t="str">
        <f>'Data Vlaue (Cr)'!C133</f>
        <v>MOTHERSON</v>
      </c>
      <c r="B138" s="140">
        <f>VLOOKUP($A138,'Data shares'!$C:$FB,7)</f>
        <v>122.52</v>
      </c>
      <c r="C138" s="140">
        <f>VLOOKUP($A138,'Data shares'!$C:$FB,3)</f>
        <v>123.32</v>
      </c>
      <c r="D138" s="140">
        <f>VLOOKUP($A138,'Data shares'!$C:$FB,4)</f>
        <v>120.58</v>
      </c>
      <c r="E138" s="50">
        <f t="shared" si="6"/>
        <v>2.2723503068502198</v>
      </c>
      <c r="F138" s="49">
        <f>VLOOKUP($A138,'Data shares'!$C:$FB,98)</f>
        <v>214044600</v>
      </c>
      <c r="G138" s="49">
        <f>VLOOKUP($A138,'Data shares'!$C:$FB,99)</f>
        <v>203214450</v>
      </c>
      <c r="H138" s="50">
        <f t="shared" si="7"/>
        <v>5.3294192415942865</v>
      </c>
      <c r="I138" s="49">
        <f>VLOOKUP($A138,'Data shares'!$C:$FB,66)</f>
        <v>107588100</v>
      </c>
      <c r="J138" s="49">
        <f>VLOOKUP($A138,'Data shares'!$C:$FB,67)</f>
        <v>55214700</v>
      </c>
      <c r="K138" s="50">
        <f t="shared" si="8"/>
        <v>48.679547273350863</v>
      </c>
      <c r="L138" s="50">
        <f>VLOOKUP($A138,'Data shares'!$C:$FB,118)</f>
        <v>0.73</v>
      </c>
      <c r="M138" s="50">
        <f>VLOOKUP($A138,'Data shares'!$C:$FB,119)</f>
        <v>0.61</v>
      </c>
      <c r="N138" s="50">
        <f>VLOOKUP($A138,'Data shares'!$C:$FB,121)*100</f>
        <v>19.670000000000002</v>
      </c>
      <c r="O138" s="50">
        <f>VLOOKUP($A138,'Data shares'!$C:$FB,124)</f>
        <v>0.33</v>
      </c>
      <c r="P138" s="50">
        <f>VLOOKUP($A138,'Data shares'!$C:$FB,125)</f>
        <v>0.36</v>
      </c>
      <c r="Q138" s="50">
        <f>VLOOKUP($A138,'Data shares'!$C:$FB,127)*100</f>
        <v>-8.33</v>
      </c>
    </row>
    <row r="139" spans="1:17" x14ac:dyDescent="0.25">
      <c r="A139" s="97" t="str">
        <f>'Data Vlaue (Cr)'!C134</f>
        <v>MPHASIS</v>
      </c>
      <c r="B139" s="140">
        <f>VLOOKUP($A139,'Data shares'!$C:$FB,7)</f>
        <v>2828.6</v>
      </c>
      <c r="C139" s="140">
        <f>VLOOKUP($A139,'Data shares'!$C:$FB,3)</f>
        <v>2838.6</v>
      </c>
      <c r="D139" s="140">
        <f>VLOOKUP($A139,'Data shares'!$C:$FB,4)</f>
        <v>2802.6</v>
      </c>
      <c r="E139" s="50">
        <f t="shared" si="6"/>
        <v>1.2845215157353884</v>
      </c>
      <c r="F139" s="49">
        <f>VLOOKUP($A139,'Data shares'!$C:$FB,98)</f>
        <v>6565075</v>
      </c>
      <c r="G139" s="49">
        <f>VLOOKUP($A139,'Data shares'!$C:$FB,99)</f>
        <v>6569200</v>
      </c>
      <c r="H139" s="50">
        <f t="shared" si="7"/>
        <v>-6.279303415941058E-2</v>
      </c>
      <c r="I139" s="49">
        <f>VLOOKUP($A139,'Data shares'!$C:$FB,66)</f>
        <v>994675</v>
      </c>
      <c r="J139" s="49">
        <f>VLOOKUP($A139,'Data shares'!$C:$FB,67)</f>
        <v>1222375</v>
      </c>
      <c r="K139" s="50">
        <f t="shared" si="8"/>
        <v>-22.891899364113907</v>
      </c>
      <c r="L139" s="50">
        <f>VLOOKUP($A139,'Data shares'!$C:$FB,118)</f>
        <v>0.67</v>
      </c>
      <c r="M139" s="50">
        <f>VLOOKUP($A139,'Data shares'!$C:$FB,119)</f>
        <v>0.68</v>
      </c>
      <c r="N139" s="50">
        <f>VLOOKUP($A139,'Data shares'!$C:$FB,121)*100</f>
        <v>-1.47</v>
      </c>
      <c r="O139" s="50">
        <f>VLOOKUP($A139,'Data shares'!$C:$FB,124)</f>
        <v>0.28000000000000003</v>
      </c>
      <c r="P139" s="50">
        <f>VLOOKUP($A139,'Data shares'!$C:$FB,125)</f>
        <v>0.34</v>
      </c>
      <c r="Q139" s="50">
        <f>VLOOKUP($A139,'Data shares'!$C:$FB,127)*100</f>
        <v>-17.649999999999999</v>
      </c>
    </row>
    <row r="140" spans="1:17" x14ac:dyDescent="0.25">
      <c r="A140" s="97" t="str">
        <f>'Data Vlaue (Cr)'!C135</f>
        <v>MUTHOOTFIN</v>
      </c>
      <c r="B140" s="140">
        <f>VLOOKUP($A140,'Data shares'!$C:$FB,7)</f>
        <v>3839</v>
      </c>
      <c r="C140" s="140">
        <f>VLOOKUP($A140,'Data shares'!$C:$FB,3)</f>
        <v>3857.2</v>
      </c>
      <c r="D140" s="140">
        <f>VLOOKUP($A140,'Data shares'!$C:$FB,4)</f>
        <v>3834.4</v>
      </c>
      <c r="E140" s="50">
        <f t="shared" si="6"/>
        <v>0.5946171500104247</v>
      </c>
      <c r="F140" s="49">
        <f>VLOOKUP($A140,'Data shares'!$C:$FB,98)</f>
        <v>6345625</v>
      </c>
      <c r="G140" s="49">
        <f>VLOOKUP($A140,'Data shares'!$C:$FB,99)</f>
        <v>6311800</v>
      </c>
      <c r="H140" s="50">
        <f t="shared" si="7"/>
        <v>0.53590101080515862</v>
      </c>
      <c r="I140" s="49">
        <f>VLOOKUP($A140,'Data shares'!$C:$FB,66)</f>
        <v>3391300</v>
      </c>
      <c r="J140" s="49">
        <f>VLOOKUP($A140,'Data shares'!$C:$FB,67)</f>
        <v>6747400</v>
      </c>
      <c r="K140" s="50">
        <f t="shared" si="8"/>
        <v>-98.962049951346089</v>
      </c>
      <c r="L140" s="50">
        <f>VLOOKUP($A140,'Data shares'!$C:$FB,118)</f>
        <v>0.62</v>
      </c>
      <c r="M140" s="50">
        <f>VLOOKUP($A140,'Data shares'!$C:$FB,119)</f>
        <v>0.6</v>
      </c>
      <c r="N140" s="50">
        <f>VLOOKUP($A140,'Data shares'!$C:$FB,121)*100</f>
        <v>3.3300000000000005</v>
      </c>
      <c r="O140" s="50">
        <f>VLOOKUP($A140,'Data shares'!$C:$FB,124)</f>
        <v>0.66</v>
      </c>
      <c r="P140" s="50">
        <f>VLOOKUP($A140,'Data shares'!$C:$FB,125)</f>
        <v>0.63</v>
      </c>
      <c r="Q140" s="50">
        <f>VLOOKUP($A140,'Data shares'!$C:$FB,127)*100</f>
        <v>4.7600000000000007</v>
      </c>
    </row>
    <row r="141" spans="1:17" x14ac:dyDescent="0.25">
      <c r="A141" s="97" t="str">
        <f>'Data Vlaue (Cr)'!C136</f>
        <v>NATIONALUM</v>
      </c>
      <c r="B141" s="140">
        <f>VLOOKUP($A141,'Data shares'!$C:$FB,7)</f>
        <v>314.60000000000002</v>
      </c>
      <c r="C141" s="140">
        <f>VLOOKUP($A141,'Data shares'!$C:$FB,3)</f>
        <v>316.14999999999998</v>
      </c>
      <c r="D141" s="140">
        <f>VLOOKUP($A141,'Data shares'!$C:$FB,4)</f>
        <v>316.14999999999998</v>
      </c>
      <c r="E141" s="50">
        <f t="shared" si="6"/>
        <v>0</v>
      </c>
      <c r="F141" s="49">
        <f>VLOOKUP($A141,'Data shares'!$C:$FB,98)</f>
        <v>107621250</v>
      </c>
      <c r="G141" s="49">
        <f>VLOOKUP($A141,'Data shares'!$C:$FB,99)</f>
        <v>109143750</v>
      </c>
      <c r="H141" s="50">
        <f t="shared" si="7"/>
        <v>-1.394949321422436</v>
      </c>
      <c r="I141" s="49">
        <f>VLOOKUP($A141,'Data shares'!$C:$FB,66)</f>
        <v>45862500</v>
      </c>
      <c r="J141" s="49">
        <f>VLOOKUP($A141,'Data shares'!$C:$FB,67)</f>
        <v>139218750</v>
      </c>
      <c r="K141" s="50">
        <f t="shared" si="8"/>
        <v>-203.55682747342598</v>
      </c>
      <c r="L141" s="50">
        <f>VLOOKUP($A141,'Data shares'!$C:$FB,118)</f>
        <v>0.75</v>
      </c>
      <c r="M141" s="50">
        <f>VLOOKUP($A141,'Data shares'!$C:$FB,119)</f>
        <v>0.78</v>
      </c>
      <c r="N141" s="50">
        <f>VLOOKUP($A141,'Data shares'!$C:$FB,121)*100</f>
        <v>-3.85</v>
      </c>
      <c r="O141" s="50">
        <f>VLOOKUP($A141,'Data shares'!$C:$FB,124)</f>
        <v>0.51</v>
      </c>
      <c r="P141" s="50">
        <f>VLOOKUP($A141,'Data shares'!$C:$FB,125)</f>
        <v>0.36</v>
      </c>
      <c r="Q141" s="50">
        <f>VLOOKUP($A141,'Data shares'!$C:$FB,127)*100</f>
        <v>41.67</v>
      </c>
    </row>
    <row r="142" spans="1:17" x14ac:dyDescent="0.25">
      <c r="A142" s="97" t="str">
        <f>'Data Vlaue (Cr)'!C137</f>
        <v>NAUKRI</v>
      </c>
      <c r="B142" s="140">
        <f>VLOOKUP($A142,'Data shares'!$C:$FB,7)</f>
        <v>1340.9</v>
      </c>
      <c r="C142" s="140">
        <f>VLOOKUP($A142,'Data shares'!$C:$FB,3)</f>
        <v>1347.4</v>
      </c>
      <c r="D142" s="140">
        <f>VLOOKUP($A142,'Data shares'!$C:$FB,4)</f>
        <v>1341.5</v>
      </c>
      <c r="E142" s="50">
        <f t="shared" si="6"/>
        <v>0.43980618710399483</v>
      </c>
      <c r="F142" s="49">
        <f>VLOOKUP($A142,'Data shares'!$C:$FB,98)</f>
        <v>10585125</v>
      </c>
      <c r="G142" s="49">
        <f>VLOOKUP($A142,'Data shares'!$C:$FB,99)</f>
        <v>10285875</v>
      </c>
      <c r="H142" s="50">
        <f t="shared" si="7"/>
        <v>2.9093295417259104</v>
      </c>
      <c r="I142" s="49">
        <f>VLOOKUP($A142,'Data shares'!$C:$FB,66)</f>
        <v>1690875</v>
      </c>
      <c r="J142" s="49">
        <f>VLOOKUP($A142,'Data shares'!$C:$FB,67)</f>
        <v>2679375</v>
      </c>
      <c r="K142" s="50">
        <f t="shared" si="8"/>
        <v>-58.460856065646482</v>
      </c>
      <c r="L142" s="50">
        <f>VLOOKUP($A142,'Data shares'!$C:$FB,118)</f>
        <v>0.8</v>
      </c>
      <c r="M142" s="50">
        <f>VLOOKUP($A142,'Data shares'!$C:$FB,119)</f>
        <v>0.7</v>
      </c>
      <c r="N142" s="50">
        <f>VLOOKUP($A142,'Data shares'!$C:$FB,121)*100</f>
        <v>14.29</v>
      </c>
      <c r="O142" s="50">
        <f>VLOOKUP($A142,'Data shares'!$C:$FB,124)</f>
        <v>0.85</v>
      </c>
      <c r="P142" s="50">
        <f>VLOOKUP($A142,'Data shares'!$C:$FB,125)</f>
        <v>0.69</v>
      </c>
      <c r="Q142" s="50">
        <f>VLOOKUP($A142,'Data shares'!$C:$FB,127)*100</f>
        <v>23.189999999999998</v>
      </c>
    </row>
    <row r="143" spans="1:17" x14ac:dyDescent="0.25">
      <c r="A143" s="97" t="str">
        <f>'Data Vlaue (Cr)'!C138</f>
        <v>NBCC</v>
      </c>
      <c r="B143" s="140">
        <f>VLOOKUP($A143,'Data shares'!$C:$FB,7)</f>
        <v>122.1</v>
      </c>
      <c r="C143" s="140">
        <f>VLOOKUP($A143,'Data shares'!$C:$FB,3)</f>
        <v>122.81</v>
      </c>
      <c r="D143" s="140">
        <f>VLOOKUP($A143,'Data shares'!$C:$FB,4)</f>
        <v>122.25</v>
      </c>
      <c r="E143" s="50">
        <f t="shared" si="6"/>
        <v>0.45807770961145378</v>
      </c>
      <c r="F143" s="49">
        <f>VLOOKUP($A143,'Data shares'!$C:$FB,98)</f>
        <v>156344500</v>
      </c>
      <c r="G143" s="49">
        <f>VLOOKUP($A143,'Data shares'!$C:$FB,99)</f>
        <v>152808500</v>
      </c>
      <c r="H143" s="50">
        <f t="shared" si="7"/>
        <v>2.3140074014207328</v>
      </c>
      <c r="I143" s="49">
        <f>VLOOKUP($A143,'Data shares'!$C:$FB,66)</f>
        <v>34924500</v>
      </c>
      <c r="J143" s="49">
        <f>VLOOKUP($A143,'Data shares'!$C:$FB,67)</f>
        <v>33904000</v>
      </c>
      <c r="K143" s="50">
        <f t="shared" si="8"/>
        <v>2.9220174948818163</v>
      </c>
      <c r="L143" s="50">
        <f>VLOOKUP($A143,'Data shares'!$C:$FB,118)</f>
        <v>0.51</v>
      </c>
      <c r="M143" s="50">
        <f>VLOOKUP($A143,'Data shares'!$C:$FB,119)</f>
        <v>0.52</v>
      </c>
      <c r="N143" s="50">
        <f>VLOOKUP($A143,'Data shares'!$C:$FB,121)*100</f>
        <v>-1.92</v>
      </c>
      <c r="O143" s="50">
        <f>VLOOKUP($A143,'Data shares'!$C:$FB,124)</f>
        <v>0.35</v>
      </c>
      <c r="P143" s="50">
        <f>VLOOKUP($A143,'Data shares'!$C:$FB,125)</f>
        <v>0.37</v>
      </c>
      <c r="Q143" s="50">
        <f>VLOOKUP($A143,'Data shares'!$C:$FB,127)*100</f>
        <v>-5.41</v>
      </c>
    </row>
    <row r="144" spans="1:17" x14ac:dyDescent="0.25">
      <c r="A144" s="97" t="str">
        <f>'Data Vlaue (Cr)'!C139</f>
        <v>NESTLEIND</v>
      </c>
      <c r="B144" s="140">
        <f>VLOOKUP($A144,'Data shares'!$C:$FB,7)</f>
        <v>1295</v>
      </c>
      <c r="C144" s="140">
        <f>VLOOKUP($A144,'Data shares'!$C:$FB,3)</f>
        <v>1300.5</v>
      </c>
      <c r="D144" s="140">
        <f>VLOOKUP($A144,'Data shares'!$C:$FB,4)</f>
        <v>1293.7</v>
      </c>
      <c r="E144" s="50">
        <f t="shared" si="6"/>
        <v>0.52562417871221723</v>
      </c>
      <c r="F144" s="49">
        <f>VLOOKUP($A144,'Data shares'!$C:$FB,98)</f>
        <v>19266000</v>
      </c>
      <c r="G144" s="49">
        <f>VLOOKUP($A144,'Data shares'!$C:$FB,99)</f>
        <v>19044000</v>
      </c>
      <c r="H144" s="50">
        <f t="shared" si="7"/>
        <v>1.1657214870825459</v>
      </c>
      <c r="I144" s="49">
        <f>VLOOKUP($A144,'Data shares'!$C:$FB,66)</f>
        <v>4685500</v>
      </c>
      <c r="J144" s="49">
        <f>VLOOKUP($A144,'Data shares'!$C:$FB,67)</f>
        <v>5988500</v>
      </c>
      <c r="K144" s="50">
        <f t="shared" si="8"/>
        <v>-27.809198591398999</v>
      </c>
      <c r="L144" s="50">
        <f>VLOOKUP($A144,'Data shares'!$C:$FB,118)</f>
        <v>0.53</v>
      </c>
      <c r="M144" s="50">
        <f>VLOOKUP($A144,'Data shares'!$C:$FB,119)</f>
        <v>0.56999999999999995</v>
      </c>
      <c r="N144" s="50">
        <f>VLOOKUP($A144,'Data shares'!$C:$FB,121)*100</f>
        <v>-7.02</v>
      </c>
      <c r="O144" s="50">
        <f>VLOOKUP($A144,'Data shares'!$C:$FB,124)</f>
        <v>0.34</v>
      </c>
      <c r="P144" s="50">
        <f>VLOOKUP($A144,'Data shares'!$C:$FB,125)</f>
        <v>0.4</v>
      </c>
      <c r="Q144" s="50">
        <f>VLOOKUP($A144,'Data shares'!$C:$FB,127)*100</f>
        <v>-15</v>
      </c>
    </row>
    <row r="145" spans="1:17" x14ac:dyDescent="0.25">
      <c r="A145" s="97" t="str">
        <f>'Data Vlaue (Cr)'!C140</f>
        <v>NHPC</v>
      </c>
      <c r="B145" s="140">
        <f>VLOOKUP($A145,'Data shares'!$C:$FB,7)</f>
        <v>79.56</v>
      </c>
      <c r="C145" s="140">
        <f>VLOOKUP($A145,'Data shares'!$C:$FB,3)</f>
        <v>80.06</v>
      </c>
      <c r="D145" s="140">
        <f>VLOOKUP($A145,'Data shares'!$C:$FB,4)</f>
        <v>79.47</v>
      </c>
      <c r="E145" s="50">
        <f t="shared" si="6"/>
        <v>0.7424185227129777</v>
      </c>
      <c r="F145" s="49">
        <f>VLOOKUP($A145,'Data shares'!$C:$FB,98)</f>
        <v>109888000</v>
      </c>
      <c r="G145" s="49">
        <f>VLOOKUP($A145,'Data shares'!$C:$FB,99)</f>
        <v>107123200</v>
      </c>
      <c r="H145" s="50">
        <f t="shared" si="7"/>
        <v>2.5809535189389412</v>
      </c>
      <c r="I145" s="49">
        <f>VLOOKUP($A145,'Data shares'!$C:$FB,66)</f>
        <v>35072000</v>
      </c>
      <c r="J145" s="49">
        <f>VLOOKUP($A145,'Data shares'!$C:$FB,67)</f>
        <v>60057600</v>
      </c>
      <c r="K145" s="50">
        <f t="shared" si="8"/>
        <v>-71.240875912408768</v>
      </c>
      <c r="L145" s="50">
        <f>VLOOKUP($A145,'Data shares'!$C:$FB,118)</f>
        <v>0.48</v>
      </c>
      <c r="M145" s="50">
        <f>VLOOKUP($A145,'Data shares'!$C:$FB,119)</f>
        <v>0.42</v>
      </c>
      <c r="N145" s="50">
        <f>VLOOKUP($A145,'Data shares'!$C:$FB,121)*100</f>
        <v>14.29</v>
      </c>
      <c r="O145" s="50">
        <f>VLOOKUP($A145,'Data shares'!$C:$FB,124)</f>
        <v>0.39</v>
      </c>
      <c r="P145" s="50">
        <f>VLOOKUP($A145,'Data shares'!$C:$FB,125)</f>
        <v>0.28999999999999998</v>
      </c>
      <c r="Q145" s="50">
        <f>VLOOKUP($A145,'Data shares'!$C:$FB,127)*100</f>
        <v>34.479999999999997</v>
      </c>
    </row>
    <row r="146" spans="1:17" x14ac:dyDescent="0.25">
      <c r="A146" s="97" t="str">
        <f>'Data Vlaue (Cr)'!C141</f>
        <v>NIFTY</v>
      </c>
      <c r="B146" s="140">
        <f>VLOOKUP($A146,'Data shares'!$C:$FB,7)</f>
        <v>26146.55</v>
      </c>
      <c r="C146" s="140">
        <f>VLOOKUP($A146,'Data shares'!$C:$FB,3)</f>
        <v>26290.400000000001</v>
      </c>
      <c r="D146" s="140">
        <f>VLOOKUP($A146,'Data shares'!$C:$FB,4)</f>
        <v>26296.3</v>
      </c>
      <c r="E146" s="50">
        <f t="shared" si="6"/>
        <v>-2.243661655821472E-2</v>
      </c>
      <c r="F146" s="49">
        <f>VLOOKUP($A146,'Data shares'!$C:$FB,98)</f>
        <v>464511125</v>
      </c>
      <c r="G146" s="49">
        <f>VLOOKUP($A146,'Data shares'!$C:$FB,99)</f>
        <v>391657255</v>
      </c>
      <c r="H146" s="50">
        <f t="shared" si="7"/>
        <v>18.60143507363345</v>
      </c>
      <c r="I146" s="49">
        <f>VLOOKUP($A146,'Data shares'!$C:$FB,66)</f>
        <v>3187431780</v>
      </c>
      <c r="J146" s="49">
        <f>VLOOKUP($A146,'Data shares'!$C:$FB,67)</f>
        <v>3846108045</v>
      </c>
      <c r="K146" s="50">
        <f t="shared" si="8"/>
        <v>-20.664795687015456</v>
      </c>
      <c r="L146" s="50">
        <f>VLOOKUP($A146,'Data shares'!$C:$FB,118)</f>
        <v>1.1299999999999999</v>
      </c>
      <c r="M146" s="50">
        <f>VLOOKUP($A146,'Data shares'!$C:$FB,119)</f>
        <v>1.27</v>
      </c>
      <c r="N146" s="50">
        <f>VLOOKUP($A146,'Data shares'!$C:$FB,121)*100</f>
        <v>-11.020000000000001</v>
      </c>
      <c r="O146" s="50">
        <f>VLOOKUP($A146,'Data shares'!$C:$FB,124)</f>
        <v>1.05</v>
      </c>
      <c r="P146" s="50">
        <f>VLOOKUP($A146,'Data shares'!$C:$FB,125)</f>
        <v>0.88</v>
      </c>
      <c r="Q146" s="50">
        <f>VLOOKUP($A146,'Data shares'!$C:$FB,127)*100</f>
        <v>19.32</v>
      </c>
    </row>
    <row r="147" spans="1:17" x14ac:dyDescent="0.25">
      <c r="A147" s="97" t="str">
        <f>'Data Vlaue (Cr)'!C142</f>
        <v>NIFTYNXT50</v>
      </c>
      <c r="B147" s="140">
        <f>VLOOKUP($A147,'Data shares'!$C:$FB,7)</f>
        <v>69675.399999999994</v>
      </c>
      <c r="C147" s="140">
        <f>VLOOKUP($A147,'Data shares'!$C:$FB,3)</f>
        <v>69942</v>
      </c>
      <c r="D147" s="140">
        <f>VLOOKUP($A147,'Data shares'!$C:$FB,4)</f>
        <v>69597.600000000006</v>
      </c>
      <c r="E147" s="50">
        <f t="shared" si="6"/>
        <v>0.49484464981550247</v>
      </c>
      <c r="F147" s="49">
        <f>VLOOKUP($A147,'Data shares'!$C:$FB,98)</f>
        <v>25575</v>
      </c>
      <c r="G147" s="49">
        <f>VLOOKUP($A147,'Data shares'!$C:$FB,99)</f>
        <v>24900</v>
      </c>
      <c r="H147" s="50">
        <f t="shared" si="7"/>
        <v>2.7108433734939759</v>
      </c>
      <c r="I147" s="49">
        <f>VLOOKUP($A147,'Data shares'!$C:$FB,66)</f>
        <v>18275</v>
      </c>
      <c r="J147" s="49">
        <f>VLOOKUP($A147,'Data shares'!$C:$FB,67)</f>
        <v>20225</v>
      </c>
      <c r="K147" s="50">
        <f t="shared" si="8"/>
        <v>-10.6703146374829</v>
      </c>
      <c r="L147" s="50">
        <f>VLOOKUP($A147,'Data shares'!$C:$FB,118)</f>
        <v>0.54</v>
      </c>
      <c r="M147" s="50">
        <f>VLOOKUP($A147,'Data shares'!$C:$FB,119)</f>
        <v>0.78</v>
      </c>
      <c r="N147" s="50">
        <f>VLOOKUP($A147,'Data shares'!$C:$FB,121)*100</f>
        <v>-30.769999999999996</v>
      </c>
      <c r="O147" s="50">
        <f>VLOOKUP($A147,'Data shares'!$C:$FB,124)</f>
        <v>0.65</v>
      </c>
      <c r="P147" s="50">
        <f>VLOOKUP($A147,'Data shares'!$C:$FB,125)</f>
        <v>0.32</v>
      </c>
      <c r="Q147" s="50">
        <f>VLOOKUP($A147,'Data shares'!$C:$FB,127)*100</f>
        <v>103.13000000000001</v>
      </c>
    </row>
    <row r="148" spans="1:17" x14ac:dyDescent="0.25">
      <c r="A148" s="97" t="str">
        <f>'Data Vlaue (Cr)'!C143</f>
        <v>NMDC</v>
      </c>
      <c r="B148" s="140">
        <f>VLOOKUP($A148,'Data shares'!$C:$FB,7)</f>
        <v>83.66</v>
      </c>
      <c r="C148" s="140">
        <f>VLOOKUP($A148,'Data shares'!$C:$FB,3)</f>
        <v>84.25</v>
      </c>
      <c r="D148" s="140">
        <f>VLOOKUP($A148,'Data shares'!$C:$FB,4)</f>
        <v>83.5</v>
      </c>
      <c r="E148" s="50">
        <f t="shared" si="6"/>
        <v>0.89820359281437123</v>
      </c>
      <c r="F148" s="49">
        <f>VLOOKUP($A148,'Data shares'!$C:$FB,98)</f>
        <v>513074250</v>
      </c>
      <c r="G148" s="49">
        <f>VLOOKUP($A148,'Data shares'!$C:$FB,99)</f>
        <v>505068750</v>
      </c>
      <c r="H148" s="50">
        <f t="shared" si="7"/>
        <v>1.5850317407283661</v>
      </c>
      <c r="I148" s="49">
        <f>VLOOKUP($A148,'Data shares'!$C:$FB,66)</f>
        <v>108675000</v>
      </c>
      <c r="J148" s="49">
        <f>VLOOKUP($A148,'Data shares'!$C:$FB,67)</f>
        <v>218706750</v>
      </c>
      <c r="K148" s="50">
        <f t="shared" si="8"/>
        <v>-101.24844720496895</v>
      </c>
      <c r="L148" s="50">
        <f>VLOOKUP($A148,'Data shares'!$C:$FB,118)</f>
        <v>0.41</v>
      </c>
      <c r="M148" s="50">
        <f>VLOOKUP($A148,'Data shares'!$C:$FB,119)</f>
        <v>0.39</v>
      </c>
      <c r="N148" s="50">
        <f>VLOOKUP($A148,'Data shares'!$C:$FB,121)*100</f>
        <v>5.13</v>
      </c>
      <c r="O148" s="50">
        <f>VLOOKUP($A148,'Data shares'!$C:$FB,124)</f>
        <v>0.42</v>
      </c>
      <c r="P148" s="50">
        <f>VLOOKUP($A148,'Data shares'!$C:$FB,125)</f>
        <v>0.42</v>
      </c>
      <c r="Q148" s="50">
        <f>VLOOKUP($A148,'Data shares'!$C:$FB,127)*100</f>
        <v>0</v>
      </c>
    </row>
    <row r="149" spans="1:17" x14ac:dyDescent="0.25">
      <c r="A149" s="97" t="str">
        <f>'Data Vlaue (Cr)'!C144</f>
        <v>NTPC</v>
      </c>
      <c r="B149" s="140">
        <f>VLOOKUP($A149,'Data shares'!$C:$FB,7)</f>
        <v>336.3</v>
      </c>
      <c r="C149" s="140">
        <f>VLOOKUP($A149,'Data shares'!$C:$FB,3)</f>
        <v>337</v>
      </c>
      <c r="D149" s="140">
        <f>VLOOKUP($A149,'Data shares'!$C:$FB,4)</f>
        <v>331.55</v>
      </c>
      <c r="E149" s="50">
        <f t="shared" si="6"/>
        <v>1.6437942995023338</v>
      </c>
      <c r="F149" s="49">
        <f>VLOOKUP($A149,'Data shares'!$C:$FB,98)</f>
        <v>128950500</v>
      </c>
      <c r="G149" s="49">
        <f>VLOOKUP($A149,'Data shares'!$C:$FB,99)</f>
        <v>122398500</v>
      </c>
      <c r="H149" s="50">
        <f t="shared" si="7"/>
        <v>5.353006777043837</v>
      </c>
      <c r="I149" s="49">
        <f>VLOOKUP($A149,'Data shares'!$C:$FB,66)</f>
        <v>81492000</v>
      </c>
      <c r="J149" s="49">
        <f>VLOOKUP($A149,'Data shares'!$C:$FB,67)</f>
        <v>64074000</v>
      </c>
      <c r="K149" s="50">
        <f t="shared" si="8"/>
        <v>21.373877190399057</v>
      </c>
      <c r="L149" s="50">
        <f>VLOOKUP($A149,'Data shares'!$C:$FB,118)</f>
        <v>0.86</v>
      </c>
      <c r="M149" s="50">
        <f>VLOOKUP($A149,'Data shares'!$C:$FB,119)</f>
        <v>0.85</v>
      </c>
      <c r="N149" s="50">
        <f>VLOOKUP($A149,'Data shares'!$C:$FB,121)*100</f>
        <v>1.18</v>
      </c>
      <c r="O149" s="50">
        <f>VLOOKUP($A149,'Data shares'!$C:$FB,124)</f>
        <v>0.48</v>
      </c>
      <c r="P149" s="50">
        <f>VLOOKUP($A149,'Data shares'!$C:$FB,125)</f>
        <v>0.48</v>
      </c>
      <c r="Q149" s="50">
        <f>VLOOKUP($A149,'Data shares'!$C:$FB,127)*100</f>
        <v>0</v>
      </c>
    </row>
    <row r="150" spans="1:17" x14ac:dyDescent="0.25">
      <c r="A150" s="97" t="str">
        <f>'Data Vlaue (Cr)'!C145</f>
        <v>NUVAMA</v>
      </c>
      <c r="B150" s="140">
        <f>VLOOKUP($A150,'Data shares'!$C:$FB,7)</f>
        <v>1458.5</v>
      </c>
      <c r="C150" s="140">
        <f>VLOOKUP($A150,'Data shares'!$C:$FB,3)</f>
        <v>1465</v>
      </c>
      <c r="D150" s="140">
        <f>VLOOKUP($A150,'Data shares'!$C:$FB,4)</f>
        <v>1486.5</v>
      </c>
      <c r="E150" s="50">
        <f t="shared" si="6"/>
        <v>-1.4463504877228388</v>
      </c>
      <c r="F150" s="49">
        <f>VLOOKUP($A150,'Data shares'!$C:$FB,98)</f>
        <v>4170500</v>
      </c>
      <c r="G150" s="49">
        <f>VLOOKUP($A150,'Data shares'!$C:$FB,99)</f>
        <v>4061500</v>
      </c>
      <c r="H150" s="50">
        <f t="shared" si="7"/>
        <v>2.6837375353933277</v>
      </c>
      <c r="I150" s="49">
        <f>VLOOKUP($A150,'Data shares'!$C:$FB,66)</f>
        <v>1470500</v>
      </c>
      <c r="J150" s="49">
        <f>VLOOKUP($A150,'Data shares'!$C:$FB,67)</f>
        <v>2430000</v>
      </c>
      <c r="K150" s="50">
        <f t="shared" si="8"/>
        <v>-65.249914994899697</v>
      </c>
      <c r="L150" s="50">
        <f>VLOOKUP($A150,'Data shares'!$C:$FB,118)</f>
        <v>0.51</v>
      </c>
      <c r="M150" s="50">
        <f>VLOOKUP($A150,'Data shares'!$C:$FB,119)</f>
        <v>0.55000000000000004</v>
      </c>
      <c r="N150" s="50">
        <f>VLOOKUP($A150,'Data shares'!$C:$FB,121)*100</f>
        <v>-7.2700000000000005</v>
      </c>
      <c r="O150" s="50">
        <f>VLOOKUP($A150,'Data shares'!$C:$FB,124)</f>
        <v>0.61</v>
      </c>
      <c r="P150" s="50">
        <f>VLOOKUP($A150,'Data shares'!$C:$FB,125)</f>
        <v>0.4</v>
      </c>
      <c r="Q150" s="50">
        <f>VLOOKUP($A150,'Data shares'!$C:$FB,127)*100</f>
        <v>52.5</v>
      </c>
    </row>
    <row r="151" spans="1:17" x14ac:dyDescent="0.25">
      <c r="A151" s="97" t="str">
        <f>'Data Vlaue (Cr)'!C146</f>
        <v>NYKAA</v>
      </c>
      <c r="B151" s="140">
        <f>VLOOKUP($A151,'Data shares'!$C:$FB,7)</f>
        <v>265.75</v>
      </c>
      <c r="C151" s="140">
        <f>VLOOKUP($A151,'Data shares'!$C:$FB,3)</f>
        <v>266.5</v>
      </c>
      <c r="D151" s="140">
        <f>VLOOKUP($A151,'Data shares'!$C:$FB,4)</f>
        <v>265.60000000000002</v>
      </c>
      <c r="E151" s="50">
        <f t="shared" si="6"/>
        <v>0.33885542168673843</v>
      </c>
      <c r="F151" s="49">
        <f>VLOOKUP($A151,'Data shares'!$C:$FB,98)</f>
        <v>60509375</v>
      </c>
      <c r="G151" s="49">
        <f>VLOOKUP($A151,'Data shares'!$C:$FB,99)</f>
        <v>61184375</v>
      </c>
      <c r="H151" s="50">
        <f t="shared" si="7"/>
        <v>-1.1032228407988149</v>
      </c>
      <c r="I151" s="49">
        <f>VLOOKUP($A151,'Data shares'!$C:$FB,66)</f>
        <v>12412500</v>
      </c>
      <c r="J151" s="49">
        <f>VLOOKUP($A151,'Data shares'!$C:$FB,67)</f>
        <v>26003125</v>
      </c>
      <c r="K151" s="50">
        <f t="shared" si="8"/>
        <v>-109.49144008056395</v>
      </c>
      <c r="L151" s="50">
        <f>VLOOKUP($A151,'Data shares'!$C:$FB,118)</f>
        <v>0.66</v>
      </c>
      <c r="M151" s="50">
        <f>VLOOKUP($A151,'Data shares'!$C:$FB,119)</f>
        <v>0.6</v>
      </c>
      <c r="N151" s="50">
        <f>VLOOKUP($A151,'Data shares'!$C:$FB,121)*100</f>
        <v>10</v>
      </c>
      <c r="O151" s="50">
        <f>VLOOKUP($A151,'Data shares'!$C:$FB,124)</f>
        <v>0.34</v>
      </c>
      <c r="P151" s="50">
        <f>VLOOKUP($A151,'Data shares'!$C:$FB,125)</f>
        <v>0.3</v>
      </c>
      <c r="Q151" s="50">
        <f>VLOOKUP($A151,'Data shares'!$C:$FB,127)*100</f>
        <v>13.33</v>
      </c>
    </row>
    <row r="152" spans="1:17" x14ac:dyDescent="0.25">
      <c r="A152" s="97" t="str">
        <f>'Data Vlaue (Cr)'!C147</f>
        <v>OBEROIRLTY</v>
      </c>
      <c r="B152" s="140">
        <f>VLOOKUP($A152,'Data shares'!$C:$FB,7)</f>
        <v>1695.9</v>
      </c>
      <c r="C152" s="140">
        <f>VLOOKUP($A152,'Data shares'!$C:$FB,3)</f>
        <v>1692.8</v>
      </c>
      <c r="D152" s="140">
        <f>VLOOKUP($A152,'Data shares'!$C:$FB,4)</f>
        <v>1673.9</v>
      </c>
      <c r="E152" s="50">
        <f t="shared" si="6"/>
        <v>1.1290997072704381</v>
      </c>
      <c r="F152" s="49">
        <f>VLOOKUP($A152,'Data shares'!$C:$FB,98)</f>
        <v>5242300</v>
      </c>
      <c r="G152" s="49">
        <f>VLOOKUP($A152,'Data shares'!$C:$FB,99)</f>
        <v>5136950</v>
      </c>
      <c r="H152" s="50">
        <f t="shared" si="7"/>
        <v>2.0508278258499693</v>
      </c>
      <c r="I152" s="49">
        <f>VLOOKUP($A152,'Data shares'!$C:$FB,66)</f>
        <v>1222550</v>
      </c>
      <c r="J152" s="49">
        <f>VLOOKUP($A152,'Data shares'!$C:$FB,67)</f>
        <v>1201550</v>
      </c>
      <c r="K152" s="50">
        <f t="shared" si="8"/>
        <v>1.7177211565989121</v>
      </c>
      <c r="L152" s="50">
        <f>VLOOKUP($A152,'Data shares'!$C:$FB,118)</f>
        <v>0.92</v>
      </c>
      <c r="M152" s="50">
        <f>VLOOKUP($A152,'Data shares'!$C:$FB,119)</f>
        <v>1.03</v>
      </c>
      <c r="N152" s="50">
        <f>VLOOKUP($A152,'Data shares'!$C:$FB,121)*100</f>
        <v>-10.68</v>
      </c>
      <c r="O152" s="50">
        <f>VLOOKUP($A152,'Data shares'!$C:$FB,124)</f>
        <v>0.31</v>
      </c>
      <c r="P152" s="50">
        <f>VLOOKUP($A152,'Data shares'!$C:$FB,125)</f>
        <v>0.54</v>
      </c>
      <c r="Q152" s="50">
        <f>VLOOKUP($A152,'Data shares'!$C:$FB,127)*100</f>
        <v>-42.59</v>
      </c>
    </row>
    <row r="153" spans="1:17" x14ac:dyDescent="0.25">
      <c r="A153" s="97" t="str">
        <f>'Data Vlaue (Cr)'!C148</f>
        <v>OFSS</v>
      </c>
      <c r="B153" s="140">
        <f>VLOOKUP($A153,'Data shares'!$C:$FB,7)</f>
        <v>7687.5</v>
      </c>
      <c r="C153" s="140">
        <f>VLOOKUP($A153,'Data shares'!$C:$FB,3)</f>
        <v>7730</v>
      </c>
      <c r="D153" s="140">
        <f>VLOOKUP($A153,'Data shares'!$C:$FB,4)</f>
        <v>7717</v>
      </c>
      <c r="E153" s="50">
        <f t="shared" si="6"/>
        <v>0.16845924582091487</v>
      </c>
      <c r="F153" s="49">
        <f>VLOOKUP($A153,'Data shares'!$C:$FB,98)</f>
        <v>1927950</v>
      </c>
      <c r="G153" s="49">
        <f>VLOOKUP($A153,'Data shares'!$C:$FB,99)</f>
        <v>1867500</v>
      </c>
      <c r="H153" s="50">
        <f t="shared" si="7"/>
        <v>3.2369477911646585</v>
      </c>
      <c r="I153" s="49">
        <f>VLOOKUP($A153,'Data shares'!$C:$FB,66)</f>
        <v>476925</v>
      </c>
      <c r="J153" s="49">
        <f>VLOOKUP($A153,'Data shares'!$C:$FB,67)</f>
        <v>605025</v>
      </c>
      <c r="K153" s="50">
        <f t="shared" si="8"/>
        <v>-26.859569114640671</v>
      </c>
      <c r="L153" s="50">
        <f>VLOOKUP($A153,'Data shares'!$C:$FB,118)</f>
        <v>0.85</v>
      </c>
      <c r="M153" s="50">
        <f>VLOOKUP($A153,'Data shares'!$C:$FB,119)</f>
        <v>0.92</v>
      </c>
      <c r="N153" s="50">
        <f>VLOOKUP($A153,'Data shares'!$C:$FB,121)*100</f>
        <v>-7.61</v>
      </c>
      <c r="O153" s="50">
        <f>VLOOKUP($A153,'Data shares'!$C:$FB,124)</f>
        <v>0.81</v>
      </c>
      <c r="P153" s="50">
        <f>VLOOKUP($A153,'Data shares'!$C:$FB,125)</f>
        <v>0.84</v>
      </c>
      <c r="Q153" s="50">
        <f>VLOOKUP($A153,'Data shares'!$C:$FB,127)*100</f>
        <v>-3.5700000000000003</v>
      </c>
    </row>
    <row r="154" spans="1:17" x14ac:dyDescent="0.25">
      <c r="A154" s="97" t="str">
        <f>'Data Vlaue (Cr)'!C149</f>
        <v>OIL</v>
      </c>
      <c r="B154" s="140">
        <f>VLOOKUP($A154,'Data shares'!$C:$FB,7)</f>
        <v>427.55</v>
      </c>
      <c r="C154" s="140">
        <f>VLOOKUP($A154,'Data shares'!$C:$FB,3)</f>
        <v>429.05</v>
      </c>
      <c r="D154" s="140">
        <f>VLOOKUP($A154,'Data shares'!$C:$FB,4)</f>
        <v>426.6</v>
      </c>
      <c r="E154" s="50">
        <f t="shared" si="6"/>
        <v>0.57430848570088799</v>
      </c>
      <c r="F154" s="49">
        <f>VLOOKUP($A154,'Data shares'!$C:$FB,98)</f>
        <v>18043200</v>
      </c>
      <c r="G154" s="49">
        <f>VLOOKUP($A154,'Data shares'!$C:$FB,99)</f>
        <v>17729600</v>
      </c>
      <c r="H154" s="50">
        <f t="shared" si="7"/>
        <v>1.7687934301958308</v>
      </c>
      <c r="I154" s="49">
        <f>VLOOKUP($A154,'Data shares'!$C:$FB,66)</f>
        <v>8533000</v>
      </c>
      <c r="J154" s="49">
        <f>VLOOKUP($A154,'Data shares'!$C:$FB,67)</f>
        <v>25701200</v>
      </c>
      <c r="K154" s="50">
        <f t="shared" si="8"/>
        <v>-201.19770303527483</v>
      </c>
      <c r="L154" s="50">
        <f>VLOOKUP($A154,'Data shares'!$C:$FB,118)</f>
        <v>0.53</v>
      </c>
      <c r="M154" s="50">
        <f>VLOOKUP($A154,'Data shares'!$C:$FB,119)</f>
        <v>0.52</v>
      </c>
      <c r="N154" s="50">
        <f>VLOOKUP($A154,'Data shares'!$C:$FB,121)*100</f>
        <v>1.92</v>
      </c>
      <c r="O154" s="50">
        <f>VLOOKUP($A154,'Data shares'!$C:$FB,124)</f>
        <v>0.46</v>
      </c>
      <c r="P154" s="50">
        <f>VLOOKUP($A154,'Data shares'!$C:$FB,125)</f>
        <v>0.28999999999999998</v>
      </c>
      <c r="Q154" s="50">
        <f>VLOOKUP($A154,'Data shares'!$C:$FB,127)*100</f>
        <v>58.620000000000005</v>
      </c>
    </row>
    <row r="155" spans="1:17" x14ac:dyDescent="0.25">
      <c r="A155" s="97" t="str">
        <f>'Data Vlaue (Cr)'!C150</f>
        <v>ONGC</v>
      </c>
      <c r="B155" s="140">
        <f>VLOOKUP($A155,'Data shares'!$C:$FB,7)</f>
        <v>237.94</v>
      </c>
      <c r="C155" s="140">
        <f>VLOOKUP($A155,'Data shares'!$C:$FB,3)</f>
        <v>239.46</v>
      </c>
      <c r="D155" s="140">
        <f>VLOOKUP($A155,'Data shares'!$C:$FB,4)</f>
        <v>242.08</v>
      </c>
      <c r="E155" s="50">
        <f t="shared" si="6"/>
        <v>-1.0822868473232008</v>
      </c>
      <c r="F155" s="49">
        <f>VLOOKUP($A155,'Data shares'!$C:$FB,98)</f>
        <v>169161750</v>
      </c>
      <c r="G155" s="49">
        <f>VLOOKUP($A155,'Data shares'!$C:$FB,99)</f>
        <v>154800000</v>
      </c>
      <c r="H155" s="50">
        <f t="shared" si="7"/>
        <v>9.2776162790697665</v>
      </c>
      <c r="I155" s="49">
        <f>VLOOKUP($A155,'Data shares'!$C:$FB,66)</f>
        <v>77665500</v>
      </c>
      <c r="J155" s="49">
        <f>VLOOKUP($A155,'Data shares'!$C:$FB,67)</f>
        <v>90366750</v>
      </c>
      <c r="K155" s="50">
        <f t="shared" si="8"/>
        <v>-16.353786430268265</v>
      </c>
      <c r="L155" s="50">
        <f>VLOOKUP($A155,'Data shares'!$C:$FB,118)</f>
        <v>0.56000000000000005</v>
      </c>
      <c r="M155" s="50">
        <f>VLOOKUP($A155,'Data shares'!$C:$FB,119)</f>
        <v>0.79</v>
      </c>
      <c r="N155" s="50">
        <f>VLOOKUP($A155,'Data shares'!$C:$FB,121)*100</f>
        <v>-29.110000000000003</v>
      </c>
      <c r="O155" s="50">
        <f>VLOOKUP($A155,'Data shares'!$C:$FB,124)</f>
        <v>0.39</v>
      </c>
      <c r="P155" s="50">
        <f>VLOOKUP($A155,'Data shares'!$C:$FB,125)</f>
        <v>0.5</v>
      </c>
      <c r="Q155" s="50">
        <f>VLOOKUP($A155,'Data shares'!$C:$FB,127)*100</f>
        <v>-22</v>
      </c>
    </row>
    <row r="156" spans="1:17" x14ac:dyDescent="0.25">
      <c r="A156" s="97" t="str">
        <f>'Data Vlaue (Cr)'!C151</f>
        <v>PAGEIND</v>
      </c>
      <c r="B156" s="140">
        <f>VLOOKUP($A156,'Data shares'!$C:$FB,7)</f>
        <v>35645</v>
      </c>
      <c r="C156" s="140">
        <f>VLOOKUP($A156,'Data shares'!$C:$FB,3)</f>
        <v>35705</v>
      </c>
      <c r="D156" s="140">
        <f>VLOOKUP($A156,'Data shares'!$C:$FB,4)</f>
        <v>36045</v>
      </c>
      <c r="E156" s="50">
        <f t="shared" si="6"/>
        <v>-0.94326536274101824</v>
      </c>
      <c r="F156" s="49">
        <f>VLOOKUP($A156,'Data shares'!$C:$FB,98)</f>
        <v>310560</v>
      </c>
      <c r="G156" s="49">
        <f>VLOOKUP($A156,'Data shares'!$C:$FB,99)</f>
        <v>295995</v>
      </c>
      <c r="H156" s="50">
        <f t="shared" si="7"/>
        <v>4.9206912278923634</v>
      </c>
      <c r="I156" s="49">
        <f>VLOOKUP($A156,'Data shares'!$C:$FB,66)</f>
        <v>142185</v>
      </c>
      <c r="J156" s="49">
        <f>VLOOKUP($A156,'Data shares'!$C:$FB,67)</f>
        <v>91845</v>
      </c>
      <c r="K156" s="50">
        <f t="shared" si="8"/>
        <v>35.404578542040298</v>
      </c>
      <c r="L156" s="50">
        <f>VLOOKUP($A156,'Data shares'!$C:$FB,118)</f>
        <v>0.61</v>
      </c>
      <c r="M156" s="50">
        <f>VLOOKUP($A156,'Data shares'!$C:$FB,119)</f>
        <v>0.79</v>
      </c>
      <c r="N156" s="50">
        <f>VLOOKUP($A156,'Data shares'!$C:$FB,121)*100</f>
        <v>-22.78</v>
      </c>
      <c r="O156" s="50">
        <f>VLOOKUP($A156,'Data shares'!$C:$FB,124)</f>
        <v>0.42</v>
      </c>
      <c r="P156" s="50">
        <f>VLOOKUP($A156,'Data shares'!$C:$FB,125)</f>
        <v>0.4</v>
      </c>
      <c r="Q156" s="50">
        <f>VLOOKUP($A156,'Data shares'!$C:$FB,127)*100</f>
        <v>5</v>
      </c>
    </row>
    <row r="157" spans="1:17" x14ac:dyDescent="0.25">
      <c r="A157" s="97" t="str">
        <f>'Data Vlaue (Cr)'!C152</f>
        <v>PATANJALI</v>
      </c>
      <c r="B157" s="140">
        <f>VLOOKUP($A157,'Data shares'!$C:$FB,7)</f>
        <v>552.54999999999995</v>
      </c>
      <c r="C157" s="140">
        <f>VLOOKUP($A157,'Data shares'!$C:$FB,3)</f>
        <v>554.29999999999995</v>
      </c>
      <c r="D157" s="140">
        <f>VLOOKUP($A157,'Data shares'!$C:$FB,4)</f>
        <v>549</v>
      </c>
      <c r="E157" s="50">
        <f t="shared" si="6"/>
        <v>0.96539162112931776</v>
      </c>
      <c r="F157" s="49">
        <f>VLOOKUP($A157,'Data shares'!$C:$FB,98)</f>
        <v>42829200</v>
      </c>
      <c r="G157" s="49">
        <f>VLOOKUP($A157,'Data shares'!$C:$FB,99)</f>
        <v>42767100</v>
      </c>
      <c r="H157" s="50">
        <f t="shared" si="7"/>
        <v>0.14520507586439108</v>
      </c>
      <c r="I157" s="49">
        <f>VLOOKUP($A157,'Data shares'!$C:$FB,66)</f>
        <v>5983200</v>
      </c>
      <c r="J157" s="49">
        <f>VLOOKUP($A157,'Data shares'!$C:$FB,67)</f>
        <v>13599900</v>
      </c>
      <c r="K157" s="50">
        <f t="shared" si="8"/>
        <v>-127.30144404332131</v>
      </c>
      <c r="L157" s="50">
        <f>VLOOKUP($A157,'Data shares'!$C:$FB,118)</f>
        <v>0.73</v>
      </c>
      <c r="M157" s="50">
        <f>VLOOKUP($A157,'Data shares'!$C:$FB,119)</f>
        <v>0.72</v>
      </c>
      <c r="N157" s="50">
        <f>VLOOKUP($A157,'Data shares'!$C:$FB,121)*100</f>
        <v>1.39</v>
      </c>
      <c r="O157" s="50">
        <f>VLOOKUP($A157,'Data shares'!$C:$FB,124)</f>
        <v>0.44</v>
      </c>
      <c r="P157" s="50">
        <f>VLOOKUP($A157,'Data shares'!$C:$FB,125)</f>
        <v>0.62</v>
      </c>
      <c r="Q157" s="50">
        <f>VLOOKUP($A157,'Data shares'!$C:$FB,127)*100</f>
        <v>-29.03</v>
      </c>
    </row>
    <row r="158" spans="1:17" x14ac:dyDescent="0.25">
      <c r="A158" s="97" t="str">
        <f>'Data Vlaue (Cr)'!C153</f>
        <v>PAYTM</v>
      </c>
      <c r="B158" s="140">
        <f>VLOOKUP($A158,'Data shares'!$C:$FB,7)</f>
        <v>1291.7</v>
      </c>
      <c r="C158" s="140">
        <f>VLOOKUP($A158,'Data shares'!$C:$FB,3)</f>
        <v>1300.7</v>
      </c>
      <c r="D158" s="140">
        <f>VLOOKUP($A158,'Data shares'!$C:$FB,4)</f>
        <v>1305.0999999999999</v>
      </c>
      <c r="E158" s="50">
        <f t="shared" si="6"/>
        <v>-0.33713891655810774</v>
      </c>
      <c r="F158" s="49">
        <f>VLOOKUP($A158,'Data shares'!$C:$FB,98)</f>
        <v>22979600</v>
      </c>
      <c r="G158" s="49">
        <f>VLOOKUP($A158,'Data shares'!$C:$FB,99)</f>
        <v>22276350</v>
      </c>
      <c r="H158" s="50">
        <f t="shared" si="7"/>
        <v>3.1569354943695895</v>
      </c>
      <c r="I158" s="49">
        <f>VLOOKUP($A158,'Data shares'!$C:$FB,66)</f>
        <v>6082750</v>
      </c>
      <c r="J158" s="49">
        <f>VLOOKUP($A158,'Data shares'!$C:$FB,67)</f>
        <v>8250500</v>
      </c>
      <c r="K158" s="50">
        <f t="shared" si="8"/>
        <v>-35.637663885578071</v>
      </c>
      <c r="L158" s="50">
        <f>VLOOKUP($A158,'Data shares'!$C:$FB,118)</f>
        <v>0.72</v>
      </c>
      <c r="M158" s="50">
        <f>VLOOKUP($A158,'Data shares'!$C:$FB,119)</f>
        <v>0.69</v>
      </c>
      <c r="N158" s="50">
        <f>VLOOKUP($A158,'Data shares'!$C:$FB,121)*100</f>
        <v>4.3499999999999996</v>
      </c>
      <c r="O158" s="50">
        <f>VLOOKUP($A158,'Data shares'!$C:$FB,124)</f>
        <v>0.39</v>
      </c>
      <c r="P158" s="50">
        <f>VLOOKUP($A158,'Data shares'!$C:$FB,125)</f>
        <v>0.37</v>
      </c>
      <c r="Q158" s="50">
        <f>VLOOKUP($A158,'Data shares'!$C:$FB,127)*100</f>
        <v>5.41</v>
      </c>
    </row>
    <row r="159" spans="1:17" x14ac:dyDescent="0.25">
      <c r="A159" s="97" t="str">
        <f>'Data Vlaue (Cr)'!C154</f>
        <v>PERSISTENT</v>
      </c>
      <c r="B159" s="140">
        <f>VLOOKUP($A159,'Data shares'!$C:$FB,7)</f>
        <v>6282.5</v>
      </c>
      <c r="C159" s="140">
        <f>VLOOKUP($A159,'Data shares'!$C:$FB,3)</f>
        <v>6309</v>
      </c>
      <c r="D159" s="140">
        <f>VLOOKUP($A159,'Data shares'!$C:$FB,4)</f>
        <v>6295.5</v>
      </c>
      <c r="E159" s="50">
        <f t="shared" si="6"/>
        <v>0.21443888491779842</v>
      </c>
      <c r="F159" s="49">
        <f>VLOOKUP($A159,'Data shares'!$C:$FB,98)</f>
        <v>3078900</v>
      </c>
      <c r="G159" s="49">
        <f>VLOOKUP($A159,'Data shares'!$C:$FB,99)</f>
        <v>2997400</v>
      </c>
      <c r="H159" s="50">
        <f t="shared" si="7"/>
        <v>2.719023153399613</v>
      </c>
      <c r="I159" s="49">
        <f>VLOOKUP($A159,'Data shares'!$C:$FB,66)</f>
        <v>869000</v>
      </c>
      <c r="J159" s="49">
        <f>VLOOKUP($A159,'Data shares'!$C:$FB,67)</f>
        <v>1536600</v>
      </c>
      <c r="K159" s="50">
        <f t="shared" si="8"/>
        <v>-76.82393555811278</v>
      </c>
      <c r="L159" s="50">
        <f>VLOOKUP($A159,'Data shares'!$C:$FB,118)</f>
        <v>0.72</v>
      </c>
      <c r="M159" s="50">
        <f>VLOOKUP($A159,'Data shares'!$C:$FB,119)</f>
        <v>0.7</v>
      </c>
      <c r="N159" s="50">
        <f>VLOOKUP($A159,'Data shares'!$C:$FB,121)*100</f>
        <v>2.86</v>
      </c>
      <c r="O159" s="50">
        <f>VLOOKUP($A159,'Data shares'!$C:$FB,124)</f>
        <v>0.48</v>
      </c>
      <c r="P159" s="50">
        <f>VLOOKUP($A159,'Data shares'!$C:$FB,125)</f>
        <v>0.56000000000000005</v>
      </c>
      <c r="Q159" s="50">
        <f>VLOOKUP($A159,'Data shares'!$C:$FB,127)*100</f>
        <v>-14.29</v>
      </c>
    </row>
    <row r="160" spans="1:17" x14ac:dyDescent="0.25">
      <c r="A160" s="97" t="str">
        <f>'Data Vlaue (Cr)'!C155</f>
        <v>PETRONET</v>
      </c>
      <c r="B160" s="140">
        <f>VLOOKUP($A160,'Data shares'!$C:$FB,7)</f>
        <v>288.10000000000002</v>
      </c>
      <c r="C160" s="140">
        <f>VLOOKUP($A160,'Data shares'!$C:$FB,3)</f>
        <v>289.5</v>
      </c>
      <c r="D160" s="140">
        <f>VLOOKUP($A160,'Data shares'!$C:$FB,4)</f>
        <v>285.5</v>
      </c>
      <c r="E160" s="50">
        <f t="shared" si="6"/>
        <v>1.4010507880910683</v>
      </c>
      <c r="F160" s="49">
        <f>VLOOKUP($A160,'Data shares'!$C:$FB,98)</f>
        <v>74544600</v>
      </c>
      <c r="G160" s="49">
        <f>VLOOKUP($A160,'Data shares'!$C:$FB,99)</f>
        <v>74423000</v>
      </c>
      <c r="H160" s="50">
        <f t="shared" si="7"/>
        <v>0.16339034975746744</v>
      </c>
      <c r="I160" s="49">
        <f>VLOOKUP($A160,'Data shares'!$C:$FB,66)</f>
        <v>21867100</v>
      </c>
      <c r="J160" s="49">
        <f>VLOOKUP($A160,'Data shares'!$C:$FB,67)</f>
        <v>42960900</v>
      </c>
      <c r="K160" s="50">
        <f t="shared" si="8"/>
        <v>-96.463637153532019</v>
      </c>
      <c r="L160" s="50">
        <f>VLOOKUP($A160,'Data shares'!$C:$FB,118)</f>
        <v>1.6</v>
      </c>
      <c r="M160" s="50">
        <f>VLOOKUP($A160,'Data shares'!$C:$FB,119)</f>
        <v>1.47</v>
      </c>
      <c r="N160" s="50">
        <f>VLOOKUP($A160,'Data shares'!$C:$FB,121)*100</f>
        <v>8.84</v>
      </c>
      <c r="O160" s="50">
        <f>VLOOKUP($A160,'Data shares'!$C:$FB,124)</f>
        <v>0.44</v>
      </c>
      <c r="P160" s="50">
        <f>VLOOKUP($A160,'Data shares'!$C:$FB,125)</f>
        <v>0.82</v>
      </c>
      <c r="Q160" s="50">
        <f>VLOOKUP($A160,'Data shares'!$C:$FB,127)*100</f>
        <v>-46.339999999999996</v>
      </c>
    </row>
    <row r="161" spans="1:17" x14ac:dyDescent="0.25">
      <c r="A161" s="97" t="str">
        <f>'Data Vlaue (Cr)'!C156</f>
        <v>PFC</v>
      </c>
      <c r="B161" s="140">
        <f>VLOOKUP($A161,'Data shares'!$C:$FB,7)</f>
        <v>363.15</v>
      </c>
      <c r="C161" s="140">
        <f>VLOOKUP($A161,'Data shares'!$C:$FB,3)</f>
        <v>364.7</v>
      </c>
      <c r="D161" s="140">
        <f>VLOOKUP($A161,'Data shares'!$C:$FB,4)</f>
        <v>357.1</v>
      </c>
      <c r="E161" s="50">
        <f t="shared" si="6"/>
        <v>2.128255390646868</v>
      </c>
      <c r="F161" s="49">
        <f>VLOOKUP($A161,'Data shares'!$C:$FB,98)</f>
        <v>129953200</v>
      </c>
      <c r="G161" s="49">
        <f>VLOOKUP($A161,'Data shares'!$C:$FB,99)</f>
        <v>124651800</v>
      </c>
      <c r="H161" s="50">
        <f t="shared" si="7"/>
        <v>4.2529670650564215</v>
      </c>
      <c r="I161" s="49">
        <f>VLOOKUP($A161,'Data shares'!$C:$FB,66)</f>
        <v>81513900</v>
      </c>
      <c r="J161" s="49">
        <f>VLOOKUP($A161,'Data shares'!$C:$FB,67)</f>
        <v>52975000</v>
      </c>
      <c r="K161" s="50">
        <f t="shared" si="8"/>
        <v>35.011083999170694</v>
      </c>
      <c r="L161" s="50">
        <f>VLOOKUP($A161,'Data shares'!$C:$FB,118)</f>
        <v>0.79</v>
      </c>
      <c r="M161" s="50">
        <f>VLOOKUP($A161,'Data shares'!$C:$FB,119)</f>
        <v>0.84</v>
      </c>
      <c r="N161" s="50">
        <f>VLOOKUP($A161,'Data shares'!$C:$FB,121)*100</f>
        <v>-5.9499999999999993</v>
      </c>
      <c r="O161" s="50">
        <f>VLOOKUP($A161,'Data shares'!$C:$FB,124)</f>
        <v>0.21</v>
      </c>
      <c r="P161" s="50">
        <f>VLOOKUP($A161,'Data shares'!$C:$FB,125)</f>
        <v>0.49</v>
      </c>
      <c r="Q161" s="50">
        <f>VLOOKUP($A161,'Data shares'!$C:$FB,127)*100</f>
        <v>-57.14</v>
      </c>
    </row>
    <row r="162" spans="1:17" x14ac:dyDescent="0.25">
      <c r="A162" s="97" t="str">
        <f>'Data Vlaue (Cr)'!C157</f>
        <v>PGEL</v>
      </c>
      <c r="B162" s="140">
        <f>VLOOKUP($A162,'Data shares'!$C:$FB,7)</f>
        <v>578.95000000000005</v>
      </c>
      <c r="C162" s="140">
        <f>VLOOKUP($A162,'Data shares'!$C:$FB,3)</f>
        <v>582.20000000000005</v>
      </c>
      <c r="D162" s="140">
        <f>VLOOKUP($A162,'Data shares'!$C:$FB,4)</f>
        <v>576.20000000000005</v>
      </c>
      <c r="E162" s="50">
        <f t="shared" si="6"/>
        <v>1.0413051023950017</v>
      </c>
      <c r="F162" s="49">
        <f>VLOOKUP($A162,'Data shares'!$C:$FB,98)</f>
        <v>15695900</v>
      </c>
      <c r="G162" s="49">
        <f>VLOOKUP($A162,'Data shares'!$C:$FB,99)</f>
        <v>15543900</v>
      </c>
      <c r="H162" s="50">
        <f t="shared" si="7"/>
        <v>0.97787556533431119</v>
      </c>
      <c r="I162" s="49">
        <f>VLOOKUP($A162,'Data shares'!$C:$FB,66)</f>
        <v>3382000</v>
      </c>
      <c r="J162" s="49">
        <f>VLOOKUP($A162,'Data shares'!$C:$FB,67)</f>
        <v>12705300</v>
      </c>
      <c r="K162" s="50">
        <f t="shared" si="8"/>
        <v>-275.67415730337081</v>
      </c>
      <c r="L162" s="50">
        <f>VLOOKUP($A162,'Data shares'!$C:$FB,118)</f>
        <v>0.96</v>
      </c>
      <c r="M162" s="50">
        <f>VLOOKUP($A162,'Data shares'!$C:$FB,119)</f>
        <v>0.95</v>
      </c>
      <c r="N162" s="50">
        <f>VLOOKUP($A162,'Data shares'!$C:$FB,121)*100</f>
        <v>1.05</v>
      </c>
      <c r="O162" s="50">
        <f>VLOOKUP($A162,'Data shares'!$C:$FB,124)</f>
        <v>0.45</v>
      </c>
      <c r="P162" s="50">
        <f>VLOOKUP($A162,'Data shares'!$C:$FB,125)</f>
        <v>0.46</v>
      </c>
      <c r="Q162" s="50">
        <f>VLOOKUP($A162,'Data shares'!$C:$FB,127)*100</f>
        <v>-2.17</v>
      </c>
    </row>
    <row r="163" spans="1:17" x14ac:dyDescent="0.25">
      <c r="A163" s="97" t="str">
        <f>'Data Vlaue (Cr)'!C158</f>
        <v>PHOENIXLTD</v>
      </c>
      <c r="B163" s="140">
        <f>VLOOKUP($A163,'Data shares'!$C:$FB,7)</f>
        <v>1872.7</v>
      </c>
      <c r="C163" s="140">
        <f>VLOOKUP($A163,'Data shares'!$C:$FB,3)</f>
        <v>1880.6</v>
      </c>
      <c r="D163" s="140">
        <f>VLOOKUP($A163,'Data shares'!$C:$FB,4)</f>
        <v>1865.3</v>
      </c>
      <c r="E163" s="50">
        <f t="shared" si="6"/>
        <v>0.82024339248378042</v>
      </c>
      <c r="F163" s="49">
        <f>VLOOKUP($A163,'Data shares'!$C:$FB,98)</f>
        <v>3669400</v>
      </c>
      <c r="G163" s="49">
        <f>VLOOKUP($A163,'Data shares'!$C:$FB,99)</f>
        <v>3638600</v>
      </c>
      <c r="H163" s="50">
        <f t="shared" si="7"/>
        <v>0.84647941515967673</v>
      </c>
      <c r="I163" s="49">
        <f>VLOOKUP($A163,'Data shares'!$C:$FB,66)</f>
        <v>962500</v>
      </c>
      <c r="J163" s="49">
        <f>VLOOKUP($A163,'Data shares'!$C:$FB,67)</f>
        <v>637700</v>
      </c>
      <c r="K163" s="50">
        <f t="shared" si="8"/>
        <v>33.745454545454542</v>
      </c>
      <c r="L163" s="50">
        <f>VLOOKUP($A163,'Data shares'!$C:$FB,118)</f>
        <v>0.53</v>
      </c>
      <c r="M163" s="50">
        <f>VLOOKUP($A163,'Data shares'!$C:$FB,119)</f>
        <v>0.79</v>
      </c>
      <c r="N163" s="50">
        <f>VLOOKUP($A163,'Data shares'!$C:$FB,121)*100</f>
        <v>-32.910000000000004</v>
      </c>
      <c r="O163" s="50">
        <f>VLOOKUP($A163,'Data shares'!$C:$FB,124)</f>
        <v>0.31</v>
      </c>
      <c r="P163" s="50">
        <f>VLOOKUP($A163,'Data shares'!$C:$FB,125)</f>
        <v>0.73</v>
      </c>
      <c r="Q163" s="50">
        <f>VLOOKUP($A163,'Data shares'!$C:$FB,127)*100</f>
        <v>-57.53</v>
      </c>
    </row>
    <row r="164" spans="1:17" x14ac:dyDescent="0.25">
      <c r="A164" s="97" t="str">
        <f>'Data Vlaue (Cr)'!C159</f>
        <v>PIDILITIND</v>
      </c>
      <c r="B164" s="140">
        <f>VLOOKUP($A164,'Data shares'!$C:$FB,7)</f>
        <v>1469.3</v>
      </c>
      <c r="C164" s="140">
        <f>VLOOKUP($A164,'Data shares'!$C:$FB,3)</f>
        <v>1477.5</v>
      </c>
      <c r="D164" s="140">
        <f>VLOOKUP($A164,'Data shares'!$C:$FB,4)</f>
        <v>1490</v>
      </c>
      <c r="E164" s="50">
        <f t="shared" si="6"/>
        <v>-0.83892617449664431</v>
      </c>
      <c r="F164" s="49">
        <f>VLOOKUP($A164,'Data shares'!$C:$FB,98)</f>
        <v>9043500</v>
      </c>
      <c r="G164" s="49">
        <f>VLOOKUP($A164,'Data shares'!$C:$FB,99)</f>
        <v>8868000</v>
      </c>
      <c r="H164" s="50">
        <f t="shared" si="7"/>
        <v>1.9790257104194857</v>
      </c>
      <c r="I164" s="49">
        <f>VLOOKUP($A164,'Data shares'!$C:$FB,66)</f>
        <v>1266000</v>
      </c>
      <c r="J164" s="49">
        <f>VLOOKUP($A164,'Data shares'!$C:$FB,67)</f>
        <v>3971500</v>
      </c>
      <c r="K164" s="50">
        <f t="shared" si="8"/>
        <v>-213.7045813586098</v>
      </c>
      <c r="L164" s="50">
        <f>VLOOKUP($A164,'Data shares'!$C:$FB,118)</f>
        <v>0.89</v>
      </c>
      <c r="M164" s="50">
        <f>VLOOKUP($A164,'Data shares'!$C:$FB,119)</f>
        <v>0.86</v>
      </c>
      <c r="N164" s="50">
        <f>VLOOKUP($A164,'Data shares'!$C:$FB,121)*100</f>
        <v>3.49</v>
      </c>
      <c r="O164" s="50">
        <f>VLOOKUP($A164,'Data shares'!$C:$FB,124)</f>
        <v>0.48</v>
      </c>
      <c r="P164" s="50">
        <f>VLOOKUP($A164,'Data shares'!$C:$FB,125)</f>
        <v>0.38</v>
      </c>
      <c r="Q164" s="50">
        <f>VLOOKUP($A164,'Data shares'!$C:$FB,127)*100</f>
        <v>26.32</v>
      </c>
    </row>
    <row r="165" spans="1:17" x14ac:dyDescent="0.25">
      <c r="A165" s="97" t="str">
        <f>'Data Vlaue (Cr)'!C160</f>
        <v>PIIND</v>
      </c>
      <c r="B165" s="140">
        <f>VLOOKUP($A165,'Data shares'!$C:$FB,7)</f>
        <v>3219.1</v>
      </c>
      <c r="C165" s="140">
        <f>VLOOKUP($A165,'Data shares'!$C:$FB,3)</f>
        <v>3233.4</v>
      </c>
      <c r="D165" s="140">
        <f>VLOOKUP($A165,'Data shares'!$C:$FB,4)</f>
        <v>3254.3</v>
      </c>
      <c r="E165" s="50">
        <f t="shared" si="6"/>
        <v>-0.64222720707986636</v>
      </c>
      <c r="F165" s="49">
        <f>VLOOKUP($A165,'Data shares'!$C:$FB,98)</f>
        <v>2852325</v>
      </c>
      <c r="G165" s="49">
        <f>VLOOKUP($A165,'Data shares'!$C:$FB,99)</f>
        <v>2771475</v>
      </c>
      <c r="H165" s="50">
        <f t="shared" si="7"/>
        <v>2.9172191702974049</v>
      </c>
      <c r="I165" s="49">
        <f>VLOOKUP($A165,'Data shares'!$C:$FB,66)</f>
        <v>539525</v>
      </c>
      <c r="J165" s="49">
        <f>VLOOKUP($A165,'Data shares'!$C:$FB,67)</f>
        <v>659575</v>
      </c>
      <c r="K165" s="50">
        <f t="shared" si="8"/>
        <v>-22.251054168018165</v>
      </c>
      <c r="L165" s="50">
        <f>VLOOKUP($A165,'Data shares'!$C:$FB,118)</f>
        <v>0.87</v>
      </c>
      <c r="M165" s="50">
        <f>VLOOKUP($A165,'Data shares'!$C:$FB,119)</f>
        <v>0.95</v>
      </c>
      <c r="N165" s="50">
        <f>VLOOKUP($A165,'Data shares'!$C:$FB,121)*100</f>
        <v>-8.42</v>
      </c>
      <c r="O165" s="50">
        <f>VLOOKUP($A165,'Data shares'!$C:$FB,124)</f>
        <v>0.45</v>
      </c>
      <c r="P165" s="50">
        <f>VLOOKUP($A165,'Data shares'!$C:$FB,125)</f>
        <v>0.45</v>
      </c>
      <c r="Q165" s="50">
        <f>VLOOKUP($A165,'Data shares'!$C:$FB,127)*100</f>
        <v>0</v>
      </c>
    </row>
    <row r="166" spans="1:17" x14ac:dyDescent="0.25">
      <c r="A166" s="97" t="str">
        <f>'Data Vlaue (Cr)'!C161</f>
        <v>PNB</v>
      </c>
      <c r="B166" s="140">
        <f>VLOOKUP($A166,'Data shares'!$C:$FB,7)</f>
        <v>123.94</v>
      </c>
      <c r="C166" s="140">
        <f>VLOOKUP($A166,'Data shares'!$C:$FB,3)</f>
        <v>124.65</v>
      </c>
      <c r="D166" s="140">
        <f>VLOOKUP($A166,'Data shares'!$C:$FB,4)</f>
        <v>124.41</v>
      </c>
      <c r="E166" s="50">
        <f t="shared" si="6"/>
        <v>0.19291053773813127</v>
      </c>
      <c r="F166" s="49">
        <f>VLOOKUP($A166,'Data shares'!$C:$FB,98)</f>
        <v>354280000</v>
      </c>
      <c r="G166" s="49">
        <f>VLOOKUP($A166,'Data shares'!$C:$FB,99)</f>
        <v>343760000</v>
      </c>
      <c r="H166" s="50">
        <f t="shared" si="7"/>
        <v>3.0602746101931579</v>
      </c>
      <c r="I166" s="49">
        <f>VLOOKUP($A166,'Data shares'!$C:$FB,66)</f>
        <v>101848000</v>
      </c>
      <c r="J166" s="49">
        <f>VLOOKUP($A166,'Data shares'!$C:$FB,67)</f>
        <v>249800000</v>
      </c>
      <c r="K166" s="50">
        <f t="shared" si="8"/>
        <v>-145.26745738747937</v>
      </c>
      <c r="L166" s="50">
        <f>VLOOKUP($A166,'Data shares'!$C:$FB,118)</f>
        <v>1.02</v>
      </c>
      <c r="M166" s="50">
        <f>VLOOKUP($A166,'Data shares'!$C:$FB,119)</f>
        <v>1.02</v>
      </c>
      <c r="N166" s="50">
        <f>VLOOKUP($A166,'Data shares'!$C:$FB,121)*100</f>
        <v>0</v>
      </c>
      <c r="O166" s="50">
        <f>VLOOKUP($A166,'Data shares'!$C:$FB,124)</f>
        <v>0.75</v>
      </c>
      <c r="P166" s="50">
        <f>VLOOKUP($A166,'Data shares'!$C:$FB,125)</f>
        <v>0.79</v>
      </c>
      <c r="Q166" s="50">
        <f>VLOOKUP($A166,'Data shares'!$C:$FB,127)*100</f>
        <v>-5.0599999999999996</v>
      </c>
    </row>
    <row r="167" spans="1:17" x14ac:dyDescent="0.25">
      <c r="A167" s="97" t="str">
        <f>'Data Vlaue (Cr)'!C162</f>
        <v>PNBHOUSING</v>
      </c>
      <c r="B167" s="140">
        <f>VLOOKUP($A167,'Data shares'!$C:$FB,7)</f>
        <v>986.6</v>
      </c>
      <c r="C167" s="140">
        <f>VLOOKUP($A167,'Data shares'!$C:$FB,3)</f>
        <v>990.35</v>
      </c>
      <c r="D167" s="140">
        <f>VLOOKUP($A167,'Data shares'!$C:$FB,4)</f>
        <v>956.2</v>
      </c>
      <c r="E167" s="50">
        <f t="shared" si="6"/>
        <v>3.571428571428569</v>
      </c>
      <c r="F167" s="49">
        <f>VLOOKUP($A167,'Data shares'!$C:$FB,98)</f>
        <v>20230600</v>
      </c>
      <c r="G167" s="49">
        <f>VLOOKUP($A167,'Data shares'!$C:$FB,99)</f>
        <v>19253650</v>
      </c>
      <c r="H167" s="50">
        <f t="shared" si="7"/>
        <v>5.0741028324499515</v>
      </c>
      <c r="I167" s="49">
        <f>VLOOKUP($A167,'Data shares'!$C:$FB,66)</f>
        <v>22863750</v>
      </c>
      <c r="J167" s="49">
        <f>VLOOKUP($A167,'Data shares'!$C:$FB,67)</f>
        <v>3629600</v>
      </c>
      <c r="K167" s="50">
        <f t="shared" si="8"/>
        <v>84.125088841506752</v>
      </c>
      <c r="L167" s="50">
        <f>VLOOKUP($A167,'Data shares'!$C:$FB,118)</f>
        <v>0.64</v>
      </c>
      <c r="M167" s="50">
        <f>VLOOKUP($A167,'Data shares'!$C:$FB,119)</f>
        <v>0.61</v>
      </c>
      <c r="N167" s="50">
        <f>VLOOKUP($A167,'Data shares'!$C:$FB,121)*100</f>
        <v>4.92</v>
      </c>
      <c r="O167" s="50">
        <f>VLOOKUP($A167,'Data shares'!$C:$FB,124)</f>
        <v>0.25</v>
      </c>
      <c r="P167" s="50">
        <f>VLOOKUP($A167,'Data shares'!$C:$FB,125)</f>
        <v>0.39</v>
      </c>
      <c r="Q167" s="50">
        <f>VLOOKUP($A167,'Data shares'!$C:$FB,127)*100</f>
        <v>-35.9</v>
      </c>
    </row>
    <row r="168" spans="1:17" x14ac:dyDescent="0.25">
      <c r="A168" s="97" t="str">
        <f>'Data Vlaue (Cr)'!C163</f>
        <v>POLICYBZR</v>
      </c>
      <c r="B168" s="140">
        <f>VLOOKUP($A168,'Data shares'!$C:$FB,7)</f>
        <v>1805.8</v>
      </c>
      <c r="C168" s="140">
        <f>VLOOKUP($A168,'Data shares'!$C:$FB,3)</f>
        <v>1818.3</v>
      </c>
      <c r="D168" s="140">
        <f>VLOOKUP($A168,'Data shares'!$C:$FB,4)</f>
        <v>1836.6</v>
      </c>
      <c r="E168" s="50">
        <f t="shared" si="6"/>
        <v>-0.99640640313622753</v>
      </c>
      <c r="F168" s="49">
        <f>VLOOKUP($A168,'Data shares'!$C:$FB,98)</f>
        <v>7985950</v>
      </c>
      <c r="G168" s="49">
        <f>VLOOKUP($A168,'Data shares'!$C:$FB,99)</f>
        <v>7574000</v>
      </c>
      <c r="H168" s="50">
        <f t="shared" si="7"/>
        <v>5.4390018484288358</v>
      </c>
      <c r="I168" s="49">
        <f>VLOOKUP($A168,'Data shares'!$C:$FB,66)</f>
        <v>6084400</v>
      </c>
      <c r="J168" s="49">
        <f>VLOOKUP($A168,'Data shares'!$C:$FB,67)</f>
        <v>6449100</v>
      </c>
      <c r="K168" s="50">
        <f t="shared" si="8"/>
        <v>-5.994017487344685</v>
      </c>
      <c r="L168" s="50">
        <f>VLOOKUP($A168,'Data shares'!$C:$FB,118)</f>
        <v>0.8</v>
      </c>
      <c r="M168" s="50">
        <f>VLOOKUP($A168,'Data shares'!$C:$FB,119)</f>
        <v>0.76</v>
      </c>
      <c r="N168" s="50">
        <f>VLOOKUP($A168,'Data shares'!$C:$FB,121)*100</f>
        <v>5.26</v>
      </c>
      <c r="O168" s="50">
        <f>VLOOKUP($A168,'Data shares'!$C:$FB,124)</f>
        <v>1.1399999999999999</v>
      </c>
      <c r="P168" s="50">
        <f>VLOOKUP($A168,'Data shares'!$C:$FB,125)</f>
        <v>1.1000000000000001</v>
      </c>
      <c r="Q168" s="50">
        <f>VLOOKUP($A168,'Data shares'!$C:$FB,127)*100</f>
        <v>3.64</v>
      </c>
    </row>
    <row r="169" spans="1:17" x14ac:dyDescent="0.25">
      <c r="A169" s="97" t="str">
        <f>'Data Vlaue (Cr)'!C164</f>
        <v>POLYCAB</v>
      </c>
      <c r="B169" s="140">
        <f>VLOOKUP($A169,'Data shares'!$C:$FB,7)</f>
        <v>7673</v>
      </c>
      <c r="C169" s="140">
        <f>VLOOKUP($A169,'Data shares'!$C:$FB,3)</f>
        <v>7718.5</v>
      </c>
      <c r="D169" s="140">
        <f>VLOOKUP($A169,'Data shares'!$C:$FB,4)</f>
        <v>7668</v>
      </c>
      <c r="E169" s="50">
        <f t="shared" si="6"/>
        <v>0.6585811163275952</v>
      </c>
      <c r="F169" s="49">
        <f>VLOOKUP($A169,'Data shares'!$C:$FB,98)</f>
        <v>3243875</v>
      </c>
      <c r="G169" s="49">
        <f>VLOOKUP($A169,'Data shares'!$C:$FB,99)</f>
        <v>3160750</v>
      </c>
      <c r="H169" s="50">
        <f t="shared" si="7"/>
        <v>2.6299137862849009</v>
      </c>
      <c r="I169" s="49">
        <f>VLOOKUP($A169,'Data shares'!$C:$FB,66)</f>
        <v>1824000</v>
      </c>
      <c r="J169" s="49">
        <f>VLOOKUP($A169,'Data shares'!$C:$FB,67)</f>
        <v>1759125</v>
      </c>
      <c r="K169" s="50">
        <f t="shared" si="8"/>
        <v>3.5567434210526314</v>
      </c>
      <c r="L169" s="50">
        <f>VLOOKUP($A169,'Data shares'!$C:$FB,118)</f>
        <v>0.73</v>
      </c>
      <c r="M169" s="50">
        <f>VLOOKUP($A169,'Data shares'!$C:$FB,119)</f>
        <v>0.72</v>
      </c>
      <c r="N169" s="50">
        <f>VLOOKUP($A169,'Data shares'!$C:$FB,121)*100</f>
        <v>1.39</v>
      </c>
      <c r="O169" s="50">
        <f>VLOOKUP($A169,'Data shares'!$C:$FB,124)</f>
        <v>0.52</v>
      </c>
      <c r="P169" s="50">
        <f>VLOOKUP($A169,'Data shares'!$C:$FB,125)</f>
        <v>0.55000000000000004</v>
      </c>
      <c r="Q169" s="50">
        <f>VLOOKUP($A169,'Data shares'!$C:$FB,127)*100</f>
        <v>-5.45</v>
      </c>
    </row>
    <row r="170" spans="1:17" x14ac:dyDescent="0.25">
      <c r="A170" s="97" t="str">
        <f>'Data Vlaue (Cr)'!C165</f>
        <v>POWERGRID</v>
      </c>
      <c r="B170" s="140">
        <f>VLOOKUP($A170,'Data shares'!$C:$FB,7)</f>
        <v>266.8</v>
      </c>
      <c r="C170" s="140">
        <f>VLOOKUP($A170,'Data shares'!$C:$FB,3)</f>
        <v>268.45</v>
      </c>
      <c r="D170" s="140">
        <f>VLOOKUP($A170,'Data shares'!$C:$FB,4)</f>
        <v>265.60000000000002</v>
      </c>
      <c r="E170" s="50">
        <f t="shared" si="6"/>
        <v>1.073042168674686</v>
      </c>
      <c r="F170" s="49">
        <f>VLOOKUP($A170,'Data shares'!$C:$FB,98)</f>
        <v>128719300</v>
      </c>
      <c r="G170" s="49">
        <f>VLOOKUP($A170,'Data shares'!$C:$FB,99)</f>
        <v>124860400</v>
      </c>
      <c r="H170" s="50">
        <f t="shared" si="7"/>
        <v>3.0905715503073834</v>
      </c>
      <c r="I170" s="49">
        <f>VLOOKUP($A170,'Data shares'!$C:$FB,66)</f>
        <v>28716600</v>
      </c>
      <c r="J170" s="49">
        <f>VLOOKUP($A170,'Data shares'!$C:$FB,67)</f>
        <v>35902400</v>
      </c>
      <c r="K170" s="50">
        <f t="shared" si="8"/>
        <v>-25.02315733756782</v>
      </c>
      <c r="L170" s="50">
        <f>VLOOKUP($A170,'Data shares'!$C:$FB,118)</f>
        <v>0.79</v>
      </c>
      <c r="M170" s="50">
        <f>VLOOKUP($A170,'Data shares'!$C:$FB,119)</f>
        <v>0.88</v>
      </c>
      <c r="N170" s="50">
        <f>VLOOKUP($A170,'Data shares'!$C:$FB,121)*100</f>
        <v>-10.23</v>
      </c>
      <c r="O170" s="50">
        <f>VLOOKUP($A170,'Data shares'!$C:$FB,124)</f>
        <v>0.36</v>
      </c>
      <c r="P170" s="50">
        <f>VLOOKUP($A170,'Data shares'!$C:$FB,125)</f>
        <v>0.45</v>
      </c>
      <c r="Q170" s="50">
        <f>VLOOKUP($A170,'Data shares'!$C:$FB,127)*100</f>
        <v>-20</v>
      </c>
    </row>
    <row r="171" spans="1:17" x14ac:dyDescent="0.25">
      <c r="A171" s="97" t="str">
        <f>'Data Vlaue (Cr)'!C166</f>
        <v>POWERINDIA</v>
      </c>
      <c r="B171" s="140">
        <f>VLOOKUP($A171,'Data shares'!$C:$FB,7)</f>
        <v>18482</v>
      </c>
      <c r="C171" s="140">
        <f>VLOOKUP($A171,'Data shares'!$C:$FB,3)</f>
        <v>18592</v>
      </c>
      <c r="D171" s="140">
        <f>VLOOKUP($A171,'Data shares'!$C:$FB,4)</f>
        <v>18390</v>
      </c>
      <c r="E171" s="50">
        <f t="shared" si="6"/>
        <v>1.0984230560087005</v>
      </c>
      <c r="F171" s="49">
        <f>VLOOKUP($A171,'Data shares'!$C:$FB,98)</f>
        <v>342300</v>
      </c>
      <c r="G171" s="49">
        <f>VLOOKUP($A171,'Data shares'!$C:$FB,99)</f>
        <v>341600</v>
      </c>
      <c r="H171" s="50">
        <f t="shared" si="7"/>
        <v>0.20491803278688525</v>
      </c>
      <c r="I171" s="49">
        <f>VLOOKUP($A171,'Data shares'!$C:$FB,66)</f>
        <v>76550</v>
      </c>
      <c r="J171" s="49">
        <f>VLOOKUP($A171,'Data shares'!$C:$FB,67)</f>
        <v>137750</v>
      </c>
      <c r="K171" s="50">
        <f t="shared" si="8"/>
        <v>-79.947746570868716</v>
      </c>
      <c r="L171" s="50">
        <f>VLOOKUP($A171,'Data shares'!$C:$FB,118)</f>
        <v>0.5</v>
      </c>
      <c r="M171" s="50">
        <f>VLOOKUP($A171,'Data shares'!$C:$FB,119)</f>
        <v>0.44</v>
      </c>
      <c r="N171" s="50">
        <f>VLOOKUP($A171,'Data shares'!$C:$FB,121)*100</f>
        <v>13.639999999999999</v>
      </c>
      <c r="O171" s="50">
        <f>VLOOKUP($A171,'Data shares'!$C:$FB,124)</f>
        <v>0.32</v>
      </c>
      <c r="P171" s="50">
        <f>VLOOKUP($A171,'Data shares'!$C:$FB,125)</f>
        <v>0.24</v>
      </c>
      <c r="Q171" s="50">
        <f>VLOOKUP($A171,'Data shares'!$C:$FB,127)*100</f>
        <v>33.33</v>
      </c>
    </row>
    <row r="172" spans="1:17" x14ac:dyDescent="0.25">
      <c r="A172" s="97" t="str">
        <f>'Data Vlaue (Cr)'!C167</f>
        <v>PPLPHARMA</v>
      </c>
      <c r="B172" s="140">
        <f>VLOOKUP($A172,'Data shares'!$C:$FB,7)</f>
        <v>169.88</v>
      </c>
      <c r="C172" s="140">
        <f>VLOOKUP($A172,'Data shares'!$C:$FB,3)</f>
        <v>171.08</v>
      </c>
      <c r="D172" s="140">
        <f>VLOOKUP($A172,'Data shares'!$C:$FB,4)</f>
        <v>173.37</v>
      </c>
      <c r="E172" s="50">
        <f t="shared" si="6"/>
        <v>-1.3208744304089475</v>
      </c>
      <c r="F172" s="49">
        <f>VLOOKUP($A172,'Data shares'!$C:$FB,98)</f>
        <v>34361250</v>
      </c>
      <c r="G172" s="49">
        <f>VLOOKUP($A172,'Data shares'!$C:$FB,99)</f>
        <v>33413625</v>
      </c>
      <c r="H172" s="50">
        <f t="shared" si="7"/>
        <v>2.8360436797863144</v>
      </c>
      <c r="I172" s="49">
        <f>VLOOKUP($A172,'Data shares'!$C:$FB,66)</f>
        <v>5446875</v>
      </c>
      <c r="J172" s="49">
        <f>VLOOKUP($A172,'Data shares'!$C:$FB,67)</f>
        <v>5680500</v>
      </c>
      <c r="K172" s="50">
        <f t="shared" si="8"/>
        <v>-4.2891566265060241</v>
      </c>
      <c r="L172" s="50">
        <f>VLOOKUP($A172,'Data shares'!$C:$FB,118)</f>
        <v>0.71</v>
      </c>
      <c r="M172" s="50">
        <f>VLOOKUP($A172,'Data shares'!$C:$FB,119)</f>
        <v>0.7</v>
      </c>
      <c r="N172" s="50">
        <f>VLOOKUP($A172,'Data shares'!$C:$FB,121)*100</f>
        <v>1.43</v>
      </c>
      <c r="O172" s="50">
        <f>VLOOKUP($A172,'Data shares'!$C:$FB,124)</f>
        <v>0.48</v>
      </c>
      <c r="P172" s="50">
        <f>VLOOKUP($A172,'Data shares'!$C:$FB,125)</f>
        <v>0.14000000000000001</v>
      </c>
      <c r="Q172" s="50">
        <f>VLOOKUP($A172,'Data shares'!$C:$FB,127)*100</f>
        <v>242.85999999999999</v>
      </c>
    </row>
    <row r="173" spans="1:17" x14ac:dyDescent="0.25">
      <c r="A173" s="97" t="str">
        <f>'Data Vlaue (Cr)'!C168</f>
        <v>PREMIERENE</v>
      </c>
      <c r="B173" s="140">
        <f>VLOOKUP($A173,'Data shares'!$C:$FB,7)</f>
        <v>847.2</v>
      </c>
      <c r="C173" s="140">
        <f>VLOOKUP($A173,'Data shares'!$C:$FB,3)</f>
        <v>852.05</v>
      </c>
      <c r="D173" s="140">
        <f>VLOOKUP($A173,'Data shares'!$C:$FB,4)</f>
        <v>844.45</v>
      </c>
      <c r="E173" s="50">
        <f t="shared" ref="E173:E182" si="9">(C173-D173)/D173*100</f>
        <v>0.89999407898631156</v>
      </c>
      <c r="F173" s="49">
        <f>VLOOKUP($A173,'Data shares'!$C:$FB,98)</f>
        <v>1539275</v>
      </c>
      <c r="G173" s="49">
        <f>VLOOKUP($A173,'Data shares'!$C:$FB,99)</f>
        <v>1325950</v>
      </c>
      <c r="H173" s="50">
        <f t="shared" ref="H173:H182" si="10">(F173-G173)/G173*100</f>
        <v>16.088464874241108</v>
      </c>
      <c r="I173" s="49">
        <f>VLOOKUP($A173,'Data shares'!$C:$FB,66)</f>
        <v>1175300</v>
      </c>
      <c r="J173" s="49">
        <f>VLOOKUP($A173,'Data shares'!$C:$FB,67)</f>
        <v>3523600</v>
      </c>
      <c r="K173" s="50">
        <f t="shared" ref="K173:K182" si="11">(I173-J173)/I173*100</f>
        <v>-199.80430528375734</v>
      </c>
      <c r="L173" s="50">
        <f>VLOOKUP($A173,'Data shares'!$C:$FB,118)</f>
        <v>0.56999999999999995</v>
      </c>
      <c r="M173" s="50">
        <f>VLOOKUP($A173,'Data shares'!$C:$FB,119)</f>
        <v>0.5</v>
      </c>
      <c r="N173" s="50">
        <f>VLOOKUP($A173,'Data shares'!$C:$FB,121)*100</f>
        <v>14.000000000000002</v>
      </c>
      <c r="O173" s="50">
        <f>VLOOKUP($A173,'Data shares'!$C:$FB,124)</f>
        <v>0.61</v>
      </c>
      <c r="P173" s="50">
        <f>VLOOKUP($A173,'Data shares'!$C:$FB,125)</f>
        <v>0.75</v>
      </c>
      <c r="Q173" s="50">
        <f>VLOOKUP($A173,'Data shares'!$C:$FB,127)*100</f>
        <v>-18.670000000000002</v>
      </c>
    </row>
    <row r="174" spans="1:17" x14ac:dyDescent="0.25">
      <c r="A174" s="97" t="str">
        <f>'Data Vlaue (Cr)'!C169</f>
        <v>PRESTIGE</v>
      </c>
      <c r="B174" s="140">
        <f>VLOOKUP($A174,'Data shares'!$C:$FB,7)</f>
        <v>1604.1</v>
      </c>
      <c r="C174" s="140">
        <f>VLOOKUP($A174,'Data shares'!$C:$FB,3)</f>
        <v>1614.8</v>
      </c>
      <c r="D174" s="140">
        <f>VLOOKUP($A174,'Data shares'!$C:$FB,4)</f>
        <v>1600.5</v>
      </c>
      <c r="E174" s="50">
        <f t="shared" si="9"/>
        <v>0.89347079037800403</v>
      </c>
      <c r="F174" s="49">
        <f>VLOOKUP($A174,'Data shares'!$C:$FB,98)</f>
        <v>5076900</v>
      </c>
      <c r="G174" s="49">
        <f>VLOOKUP($A174,'Data shares'!$C:$FB,99)</f>
        <v>4962600</v>
      </c>
      <c r="H174" s="50">
        <f t="shared" si="10"/>
        <v>2.3032281465360902</v>
      </c>
      <c r="I174" s="49">
        <f>VLOOKUP($A174,'Data shares'!$C:$FB,66)</f>
        <v>1374750</v>
      </c>
      <c r="J174" s="49">
        <f>VLOOKUP($A174,'Data shares'!$C:$FB,67)</f>
        <v>1389600</v>
      </c>
      <c r="K174" s="50">
        <f t="shared" si="11"/>
        <v>-1.0801963993453356</v>
      </c>
      <c r="L174" s="50">
        <f>VLOOKUP($A174,'Data shares'!$C:$FB,118)</f>
        <v>1.0900000000000001</v>
      </c>
      <c r="M174" s="50">
        <f>VLOOKUP($A174,'Data shares'!$C:$FB,119)</f>
        <v>1.06</v>
      </c>
      <c r="N174" s="50">
        <f>VLOOKUP($A174,'Data shares'!$C:$FB,121)*100</f>
        <v>2.83</v>
      </c>
      <c r="O174" s="50">
        <f>VLOOKUP($A174,'Data shares'!$C:$FB,124)</f>
        <v>0.35</v>
      </c>
      <c r="P174" s="50">
        <f>VLOOKUP($A174,'Data shares'!$C:$FB,125)</f>
        <v>0.48</v>
      </c>
      <c r="Q174" s="50">
        <f>VLOOKUP($A174,'Data shares'!$C:$FB,127)*100</f>
        <v>-27.08</v>
      </c>
    </row>
    <row r="175" spans="1:17" x14ac:dyDescent="0.25">
      <c r="A175" s="97" t="str">
        <f>'Data Vlaue (Cr)'!C170</f>
        <v>RBLBANK</v>
      </c>
      <c r="B175" s="140">
        <f>VLOOKUP($A175,'Data shares'!$C:$FB,7)</f>
        <v>315.3</v>
      </c>
      <c r="C175" s="140">
        <f>VLOOKUP($A175,'Data shares'!$C:$FB,3)</f>
        <v>317.35000000000002</v>
      </c>
      <c r="D175" s="140">
        <f>VLOOKUP($A175,'Data shares'!$C:$FB,4)</f>
        <v>316.89999999999998</v>
      </c>
      <c r="E175" s="50">
        <f t="shared" si="9"/>
        <v>0.14200063111393041</v>
      </c>
      <c r="F175" s="49">
        <f>VLOOKUP($A175,'Data shares'!$C:$FB,98)</f>
        <v>96297750</v>
      </c>
      <c r="G175" s="49">
        <f>VLOOKUP($A175,'Data shares'!$C:$FB,99)</f>
        <v>95008700</v>
      </c>
      <c r="H175" s="50">
        <f t="shared" si="10"/>
        <v>1.3567704852292475</v>
      </c>
      <c r="I175" s="49">
        <f>VLOOKUP($A175,'Data shares'!$C:$FB,66)</f>
        <v>24215725</v>
      </c>
      <c r="J175" s="49">
        <f>VLOOKUP($A175,'Data shares'!$C:$FB,67)</f>
        <v>52044600</v>
      </c>
      <c r="K175" s="50">
        <f t="shared" si="11"/>
        <v>-114.92067654385735</v>
      </c>
      <c r="L175" s="50">
        <f>VLOOKUP($A175,'Data shares'!$C:$FB,118)</f>
        <v>0.76</v>
      </c>
      <c r="M175" s="50">
        <f>VLOOKUP($A175,'Data shares'!$C:$FB,119)</f>
        <v>0.81</v>
      </c>
      <c r="N175" s="50">
        <f>VLOOKUP($A175,'Data shares'!$C:$FB,121)*100</f>
        <v>-6.17</v>
      </c>
      <c r="O175" s="50">
        <f>VLOOKUP($A175,'Data shares'!$C:$FB,124)</f>
        <v>0.47</v>
      </c>
      <c r="P175" s="50">
        <f>VLOOKUP($A175,'Data shares'!$C:$FB,125)</f>
        <v>0.53</v>
      </c>
      <c r="Q175" s="50">
        <f>VLOOKUP($A175,'Data shares'!$C:$FB,127)*100</f>
        <v>-11.32</v>
      </c>
    </row>
    <row r="176" spans="1:17" x14ac:dyDescent="0.25">
      <c r="A176" s="97" t="str">
        <f>'Data Vlaue (Cr)'!C171</f>
        <v>RECLTD</v>
      </c>
      <c r="B176" s="140">
        <f>VLOOKUP($A176,'Data shares'!$C:$FB,7)</f>
        <v>367.7</v>
      </c>
      <c r="C176" s="140">
        <f>VLOOKUP($A176,'Data shares'!$C:$FB,3)</f>
        <v>368.65</v>
      </c>
      <c r="D176" s="140">
        <f>VLOOKUP($A176,'Data shares'!$C:$FB,4)</f>
        <v>358.9</v>
      </c>
      <c r="E176" s="50">
        <f t="shared" si="9"/>
        <v>2.7166341599331294</v>
      </c>
      <c r="F176" s="49">
        <f>VLOOKUP($A176,'Data shares'!$C:$FB,98)</f>
        <v>143831800</v>
      </c>
      <c r="G176" s="49">
        <f>VLOOKUP($A176,'Data shares'!$C:$FB,99)</f>
        <v>138968200</v>
      </c>
      <c r="H176" s="50">
        <f t="shared" si="10"/>
        <v>3.4997934779323616</v>
      </c>
      <c r="I176" s="49">
        <f>VLOOKUP($A176,'Data shares'!$C:$FB,66)</f>
        <v>135893800</v>
      </c>
      <c r="J176" s="49">
        <f>VLOOKUP($A176,'Data shares'!$C:$FB,67)</f>
        <v>75360600</v>
      </c>
      <c r="K176" s="50">
        <f t="shared" si="11"/>
        <v>44.544489888427577</v>
      </c>
      <c r="L176" s="50">
        <f>VLOOKUP($A176,'Data shares'!$C:$FB,118)</f>
        <v>0.74</v>
      </c>
      <c r="M176" s="50">
        <f>VLOOKUP($A176,'Data shares'!$C:$FB,119)</f>
        <v>0.76</v>
      </c>
      <c r="N176" s="50">
        <f>VLOOKUP($A176,'Data shares'!$C:$FB,121)*100</f>
        <v>-2.63</v>
      </c>
      <c r="O176" s="50">
        <f>VLOOKUP($A176,'Data shares'!$C:$FB,124)</f>
        <v>0.26</v>
      </c>
      <c r="P176" s="50">
        <f>VLOOKUP($A176,'Data shares'!$C:$FB,125)</f>
        <v>0.39</v>
      </c>
      <c r="Q176" s="50">
        <f>VLOOKUP($A176,'Data shares'!$C:$FB,127)*100</f>
        <v>-33.33</v>
      </c>
    </row>
    <row r="177" spans="1:17" x14ac:dyDescent="0.25">
      <c r="A177" s="97" t="str">
        <f>'Data Vlaue (Cr)'!C172</f>
        <v>RELIANCE</v>
      </c>
      <c r="B177" s="140">
        <f>VLOOKUP($A177,'Data shares'!$C:$FB,7)</f>
        <v>1575.6</v>
      </c>
      <c r="C177" s="140">
        <f>VLOOKUP($A177,'Data shares'!$C:$FB,3)</f>
        <v>1584</v>
      </c>
      <c r="D177" s="140">
        <f>VLOOKUP($A177,'Data shares'!$C:$FB,4)</f>
        <v>1578</v>
      </c>
      <c r="E177" s="50">
        <f t="shared" si="9"/>
        <v>0.38022813688212925</v>
      </c>
      <c r="F177" s="49">
        <f>VLOOKUP($A177,'Data shares'!$C:$FB,98)</f>
        <v>145142500</v>
      </c>
      <c r="G177" s="49">
        <f>VLOOKUP($A177,'Data shares'!$C:$FB,99)</f>
        <v>139470000</v>
      </c>
      <c r="H177" s="50">
        <f t="shared" si="10"/>
        <v>4.0671829067182905</v>
      </c>
      <c r="I177" s="49">
        <f>VLOOKUP($A177,'Data shares'!$C:$FB,66)</f>
        <v>88694000</v>
      </c>
      <c r="J177" s="49">
        <f>VLOOKUP($A177,'Data shares'!$C:$FB,67)</f>
        <v>95006000</v>
      </c>
      <c r="K177" s="50">
        <f t="shared" si="11"/>
        <v>-7.1166031524116633</v>
      </c>
      <c r="L177" s="50">
        <f>VLOOKUP($A177,'Data shares'!$C:$FB,118)</f>
        <v>0.62</v>
      </c>
      <c r="M177" s="50">
        <f>VLOOKUP($A177,'Data shares'!$C:$FB,119)</f>
        <v>0.7</v>
      </c>
      <c r="N177" s="50">
        <f>VLOOKUP($A177,'Data shares'!$C:$FB,121)*100</f>
        <v>-11.43</v>
      </c>
      <c r="O177" s="50">
        <f>VLOOKUP($A177,'Data shares'!$C:$FB,124)</f>
        <v>0.47</v>
      </c>
      <c r="P177" s="50">
        <f>VLOOKUP($A177,'Data shares'!$C:$FB,125)</f>
        <v>0.54</v>
      </c>
      <c r="Q177" s="50">
        <f>VLOOKUP($A177,'Data shares'!$C:$FB,127)*100</f>
        <v>-12.959999999999999</v>
      </c>
    </row>
    <row r="178" spans="1:17" x14ac:dyDescent="0.25">
      <c r="A178" s="97" t="str">
        <f>'Data Vlaue (Cr)'!C173</f>
        <v>RVNL</v>
      </c>
      <c r="B178" s="140">
        <f>VLOOKUP($A178,'Data shares'!$C:$FB,7)</f>
        <v>361.5</v>
      </c>
      <c r="C178" s="140">
        <f>VLOOKUP($A178,'Data shares'!$C:$FB,3)</f>
        <v>357.6</v>
      </c>
      <c r="D178" s="140">
        <f>VLOOKUP($A178,'Data shares'!$C:$FB,4)</f>
        <v>351.9</v>
      </c>
      <c r="E178" s="50">
        <f t="shared" si="9"/>
        <v>1.6197783461210702</v>
      </c>
      <c r="F178" s="49">
        <f>VLOOKUP($A178,'Data shares'!$C:$FB,98)</f>
        <v>98335050</v>
      </c>
      <c r="G178" s="49">
        <f>VLOOKUP($A178,'Data shares'!$C:$FB,99)</f>
        <v>98301500</v>
      </c>
      <c r="H178" s="50">
        <f t="shared" si="10"/>
        <v>3.4129692832764506E-2</v>
      </c>
      <c r="I178" s="49">
        <f>VLOOKUP($A178,'Data shares'!$C:$FB,66)</f>
        <v>44305825</v>
      </c>
      <c r="J178" s="49">
        <f>VLOOKUP($A178,'Data shares'!$C:$FB,67)</f>
        <v>72641850</v>
      </c>
      <c r="K178" s="50">
        <f t="shared" si="11"/>
        <v>-63.955529549444122</v>
      </c>
      <c r="L178" s="50">
        <f>VLOOKUP($A178,'Data shares'!$C:$FB,118)</f>
        <v>0.35</v>
      </c>
      <c r="M178" s="50">
        <f>VLOOKUP($A178,'Data shares'!$C:$FB,119)</f>
        <v>0.35</v>
      </c>
      <c r="N178" s="50">
        <f>VLOOKUP($A178,'Data shares'!$C:$FB,121)*100</f>
        <v>0</v>
      </c>
      <c r="O178" s="50">
        <f>VLOOKUP($A178,'Data shares'!$C:$FB,124)</f>
        <v>0.26</v>
      </c>
      <c r="P178" s="50">
        <f>VLOOKUP($A178,'Data shares'!$C:$FB,125)</f>
        <v>0.28999999999999998</v>
      </c>
      <c r="Q178" s="50">
        <f>VLOOKUP($A178,'Data shares'!$C:$FB,127)*100</f>
        <v>-10.34</v>
      </c>
    </row>
    <row r="179" spans="1:17" x14ac:dyDescent="0.25">
      <c r="A179" s="97" t="str">
        <f>'Data Vlaue (Cr)'!C174</f>
        <v>SAIL</v>
      </c>
      <c r="B179" s="140">
        <f>VLOOKUP($A179,'Data shares'!$C:$FB,7)</f>
        <v>148.44999999999999</v>
      </c>
      <c r="C179" s="140">
        <f>VLOOKUP($A179,'Data shares'!$C:$FB,3)</f>
        <v>149.33000000000001</v>
      </c>
      <c r="D179" s="140">
        <f>VLOOKUP($A179,'Data shares'!$C:$FB,4)</f>
        <v>147.86000000000001</v>
      </c>
      <c r="E179" s="50">
        <f t="shared" si="9"/>
        <v>0.99418368727174267</v>
      </c>
      <c r="F179" s="49">
        <f>VLOOKUP($A179,'Data shares'!$C:$FB,98)</f>
        <v>301415700</v>
      </c>
      <c r="G179" s="49">
        <f>VLOOKUP($A179,'Data shares'!$C:$FB,99)</f>
        <v>295921400</v>
      </c>
      <c r="H179" s="50">
        <f t="shared" si="10"/>
        <v>1.8566754550363711</v>
      </c>
      <c r="I179" s="49">
        <f>VLOOKUP($A179,'Data shares'!$C:$FB,66)</f>
        <v>141648600</v>
      </c>
      <c r="J179" s="49">
        <f>VLOOKUP($A179,'Data shares'!$C:$FB,67)</f>
        <v>504079700</v>
      </c>
      <c r="K179" s="50">
        <f t="shared" si="11"/>
        <v>-255.86634813192646</v>
      </c>
      <c r="L179" s="50">
        <f>VLOOKUP($A179,'Data shares'!$C:$FB,118)</f>
        <v>0.78</v>
      </c>
      <c r="M179" s="50">
        <f>VLOOKUP($A179,'Data shares'!$C:$FB,119)</f>
        <v>0.77</v>
      </c>
      <c r="N179" s="50">
        <f>VLOOKUP($A179,'Data shares'!$C:$FB,121)*100</f>
        <v>1.3</v>
      </c>
      <c r="O179" s="50">
        <f>VLOOKUP($A179,'Data shares'!$C:$FB,124)</f>
        <v>0.63</v>
      </c>
      <c r="P179" s="50">
        <f>VLOOKUP($A179,'Data shares'!$C:$FB,125)</f>
        <v>0.56999999999999995</v>
      </c>
      <c r="Q179" s="50">
        <f>VLOOKUP($A179,'Data shares'!$C:$FB,127)*100</f>
        <v>10.530000000000001</v>
      </c>
    </row>
    <row r="180" spans="1:17" x14ac:dyDescent="0.25">
      <c r="A180" s="97" t="str">
        <f>'Data Vlaue (Cr)'!C175</f>
        <v>SAMMAANCAP</v>
      </c>
      <c r="B180" s="140">
        <f>VLOOKUP($A180,'Data shares'!$C:$FB,7)</f>
        <v>144.21</v>
      </c>
      <c r="C180" s="140">
        <f>VLOOKUP($A180,'Data shares'!$C:$FB,3)</f>
        <v>145.30000000000001</v>
      </c>
      <c r="D180" s="140">
        <f>VLOOKUP($A180,'Data shares'!$C:$FB,4)</f>
        <v>146.69</v>
      </c>
      <c r="E180" s="50">
        <f t="shared" si="9"/>
        <v>-0.9475765219169584</v>
      </c>
      <c r="F180" s="49">
        <f>VLOOKUP($A180,'Data shares'!$C:$FB,98)</f>
        <v>145185200</v>
      </c>
      <c r="G180" s="49">
        <f>VLOOKUP($A180,'Data shares'!$C:$FB,99)</f>
        <v>136924900</v>
      </c>
      <c r="H180" s="50">
        <f t="shared" si="10"/>
        <v>6.032723047451559</v>
      </c>
      <c r="I180" s="49">
        <f>VLOOKUP($A180,'Data shares'!$C:$FB,66)</f>
        <v>34292500</v>
      </c>
      <c r="J180" s="49">
        <f>VLOOKUP($A180,'Data shares'!$C:$FB,67)</f>
        <v>168499800</v>
      </c>
      <c r="K180" s="50">
        <f t="shared" si="11"/>
        <v>-391.3605015673981</v>
      </c>
      <c r="L180" s="50">
        <f>VLOOKUP($A180,'Data shares'!$C:$FB,118)</f>
        <v>0.75</v>
      </c>
      <c r="M180" s="50">
        <f>VLOOKUP($A180,'Data shares'!$C:$FB,119)</f>
        <v>0.73</v>
      </c>
      <c r="N180" s="50">
        <f>VLOOKUP($A180,'Data shares'!$C:$FB,121)*100</f>
        <v>2.74</v>
      </c>
      <c r="O180" s="50">
        <f>VLOOKUP($A180,'Data shares'!$C:$FB,124)</f>
        <v>0.86</v>
      </c>
      <c r="P180" s="50">
        <f>VLOOKUP($A180,'Data shares'!$C:$FB,125)</f>
        <v>0.44</v>
      </c>
      <c r="Q180" s="50">
        <f>VLOOKUP($A180,'Data shares'!$C:$FB,127)*100</f>
        <v>95.45</v>
      </c>
    </row>
    <row r="181" spans="1:17" x14ac:dyDescent="0.25">
      <c r="A181" s="97" t="str">
        <f>'Data Vlaue (Cr)'!C176</f>
        <v>SBICARD</v>
      </c>
      <c r="B181" s="140">
        <f>VLOOKUP($A181,'Data shares'!$C:$FB,7)</f>
        <v>859.5</v>
      </c>
      <c r="C181" s="140">
        <f>VLOOKUP($A181,'Data shares'!$C:$FB,3)</f>
        <v>861.75</v>
      </c>
      <c r="D181" s="140">
        <f>VLOOKUP($A181,'Data shares'!$C:$FB,4)</f>
        <v>866.8</v>
      </c>
      <c r="E181" s="50">
        <f t="shared" si="9"/>
        <v>-0.58260267651130071</v>
      </c>
      <c r="F181" s="49">
        <f>VLOOKUP($A181,'Data shares'!$C:$FB,98)</f>
        <v>22888800</v>
      </c>
      <c r="G181" s="49">
        <f>VLOOKUP($A181,'Data shares'!$C:$FB,99)</f>
        <v>22104000</v>
      </c>
      <c r="H181" s="50">
        <f t="shared" si="10"/>
        <v>3.5504885993485344</v>
      </c>
      <c r="I181" s="49">
        <f>VLOOKUP($A181,'Data shares'!$C:$FB,66)</f>
        <v>5206400</v>
      </c>
      <c r="J181" s="49">
        <f>VLOOKUP($A181,'Data shares'!$C:$FB,67)</f>
        <v>14318400</v>
      </c>
      <c r="K181" s="50">
        <f t="shared" si="11"/>
        <v>-175.01536570374924</v>
      </c>
      <c r="L181" s="50">
        <f>VLOOKUP($A181,'Data shares'!$C:$FB,118)</f>
        <v>0.8</v>
      </c>
      <c r="M181" s="50">
        <f>VLOOKUP($A181,'Data shares'!$C:$FB,119)</f>
        <v>0.78</v>
      </c>
      <c r="N181" s="50">
        <f>VLOOKUP($A181,'Data shares'!$C:$FB,121)*100</f>
        <v>2.56</v>
      </c>
      <c r="O181" s="50">
        <f>VLOOKUP($A181,'Data shares'!$C:$FB,124)</f>
        <v>0.65</v>
      </c>
      <c r="P181" s="50">
        <f>VLOOKUP($A181,'Data shares'!$C:$FB,125)</f>
        <v>0.54</v>
      </c>
      <c r="Q181" s="50">
        <f>VLOOKUP($A181,'Data shares'!$C:$FB,127)*100</f>
        <v>20.369999999999997</v>
      </c>
    </row>
    <row r="182" spans="1:17" x14ac:dyDescent="0.25">
      <c r="A182" s="97" t="str">
        <f>'Data Vlaue (Cr)'!C177</f>
        <v>SBILIFE</v>
      </c>
      <c r="B182" s="140">
        <f>VLOOKUP($A182,'Data shares'!$C:$FB,7)</f>
        <v>2040.4</v>
      </c>
      <c r="C182" s="140">
        <f>VLOOKUP($A182,'Data shares'!$C:$FB,3)</f>
        <v>2053.4</v>
      </c>
      <c r="D182" s="140">
        <f>VLOOKUP($A182,'Data shares'!$C:$FB,4)</f>
        <v>2047.7</v>
      </c>
      <c r="E182" s="50">
        <f t="shared" si="9"/>
        <v>0.27836108805000953</v>
      </c>
      <c r="F182" s="49">
        <f>VLOOKUP($A182,'Data shares'!$C:$FB,98)</f>
        <v>10918125</v>
      </c>
      <c r="G182" s="49">
        <f>VLOOKUP($A182,'Data shares'!$C:$FB,99)</f>
        <v>10353000</v>
      </c>
      <c r="H182" s="50">
        <f t="shared" si="10"/>
        <v>5.4585627354390027</v>
      </c>
      <c r="I182" s="49">
        <f>VLOOKUP($A182,'Data shares'!$C:$FB,66)</f>
        <v>2350875</v>
      </c>
      <c r="J182" s="49">
        <f>VLOOKUP($A182,'Data shares'!$C:$FB,67)</f>
        <v>5774625</v>
      </c>
      <c r="K182" s="50">
        <f t="shared" si="11"/>
        <v>-145.63726272132718</v>
      </c>
      <c r="L182" s="50">
        <f>VLOOKUP($A182,'Data shares'!$C:$FB,118)</f>
        <v>0.56000000000000005</v>
      </c>
      <c r="M182" s="50">
        <f>VLOOKUP($A182,'Data shares'!$C:$FB,119)</f>
        <v>0.5</v>
      </c>
      <c r="N182" s="50">
        <f>VLOOKUP($A182,'Data shares'!$C:$FB,121)*100</f>
        <v>12</v>
      </c>
      <c r="O182" s="50">
        <f>VLOOKUP($A182,'Data shares'!$C:$FB,124)</f>
        <v>0.56000000000000005</v>
      </c>
      <c r="P182" s="50">
        <f>VLOOKUP($A182,'Data shares'!$C:$FB,125)</f>
        <v>0.31</v>
      </c>
      <c r="Q182" s="50">
        <f>VLOOKUP($A182,'Data shares'!$C:$FB,127)*100</f>
        <v>80.650000000000006</v>
      </c>
    </row>
    <row r="183" spans="1:17" x14ac:dyDescent="0.25">
      <c r="A183" s="97" t="str">
        <f>'Data Vlaue (Cr)'!C178</f>
        <v>SBIN</v>
      </c>
      <c r="B183" s="140">
        <f>VLOOKUP($A183,'Data shares'!$C:$FB,7)</f>
        <v>984.75</v>
      </c>
      <c r="C183" s="140">
        <f>VLOOKUP($A183,'Data shares'!$C:$FB,3)</f>
        <v>988.85</v>
      </c>
      <c r="D183" s="140">
        <f>VLOOKUP($A183,'Data shares'!$C:$FB,4)</f>
        <v>986.35</v>
      </c>
      <c r="E183" s="50">
        <f>(C183-D183)/D183*100</f>
        <v>0.25345972524965782</v>
      </c>
      <c r="F183" s="49">
        <f>VLOOKUP($A183,'Data shares'!$C:$FB,98)</f>
        <v>110297250</v>
      </c>
      <c r="G183" s="49">
        <f>VLOOKUP($A183,'Data shares'!$C:$FB,99)</f>
        <v>107264250</v>
      </c>
      <c r="H183" s="50">
        <f>(F183-G183)/G183*100</f>
        <v>2.8275963333543097</v>
      </c>
      <c r="I183" s="49">
        <f>VLOOKUP($A183,'Data shares'!$C:$FB,66)</f>
        <v>51471000</v>
      </c>
      <c r="J183" s="49">
        <f>VLOOKUP($A183,'Data shares'!$C:$FB,67)</f>
        <v>71644500</v>
      </c>
      <c r="K183" s="50">
        <f>(I183-J183)/I183*100</f>
        <v>-39.193915020108413</v>
      </c>
      <c r="L183" s="50">
        <f>VLOOKUP($A183,'Data shares'!$C:$FB,118)</f>
        <v>0.89</v>
      </c>
      <c r="M183" s="50">
        <f>VLOOKUP($A183,'Data shares'!$C:$FB,119)</f>
        <v>0.87</v>
      </c>
      <c r="N183" s="50">
        <f>VLOOKUP($A183,'Data shares'!$C:$FB,121)*100</f>
        <v>2.2999999999999998</v>
      </c>
      <c r="O183" s="50">
        <f>VLOOKUP($A183,'Data shares'!$C:$FB,124)</f>
        <v>0.59</v>
      </c>
      <c r="P183" s="50">
        <f>VLOOKUP($A183,'Data shares'!$C:$FB,125)</f>
        <v>0.67</v>
      </c>
      <c r="Q183" s="50">
        <f>VLOOKUP($A183,'Data shares'!$C:$FB,127)*100</f>
        <v>-11.940000000000001</v>
      </c>
    </row>
    <row r="184" spans="1:17" x14ac:dyDescent="0.25">
      <c r="A184" s="97" t="str">
        <f>'Data Vlaue (Cr)'!C179</f>
        <v>SHREECEM</v>
      </c>
      <c r="B184" s="140">
        <f>VLOOKUP($A184,'Data shares'!$C:$FB,7)</f>
        <v>26835</v>
      </c>
      <c r="C184" s="140">
        <f>VLOOKUP($A184,'Data shares'!$C:$FB,3)</f>
        <v>27000</v>
      </c>
      <c r="D184" s="140">
        <f>VLOOKUP($A184,'Data shares'!$C:$FB,4)</f>
        <v>26655</v>
      </c>
      <c r="E184" s="50">
        <f t="shared" ref="E184:E189" si="12">(C184-D184)/D184*100</f>
        <v>1.2943162633652223</v>
      </c>
      <c r="F184" s="49">
        <f>VLOOKUP($A184,'Data shares'!$C:$FB,98)</f>
        <v>324650</v>
      </c>
      <c r="G184" s="49">
        <f>VLOOKUP($A184,'Data shares'!$C:$FB,99)</f>
        <v>321475</v>
      </c>
      <c r="H184" s="50">
        <f t="shared" ref="H184:H189" si="13">(F184-G184)/G184*100</f>
        <v>0.98763511937164628</v>
      </c>
      <c r="I184" s="49">
        <f>VLOOKUP($A184,'Data shares'!$C:$FB,66)</f>
        <v>103475</v>
      </c>
      <c r="J184" s="49">
        <f>VLOOKUP($A184,'Data shares'!$C:$FB,67)</f>
        <v>74825</v>
      </c>
      <c r="K184" s="50">
        <f t="shared" ref="K184:K189" si="14">(I184-J184)/I184*100</f>
        <v>27.687847306112591</v>
      </c>
      <c r="L184" s="50">
        <f>VLOOKUP($A184,'Data shares'!$C:$FB,118)</f>
        <v>0.85</v>
      </c>
      <c r="M184" s="50">
        <f>VLOOKUP($A184,'Data shares'!$C:$FB,119)</f>
        <v>0.93</v>
      </c>
      <c r="N184" s="50">
        <f>VLOOKUP($A184,'Data shares'!$C:$FB,121)*100</f>
        <v>-8.6</v>
      </c>
      <c r="O184" s="50">
        <f>VLOOKUP($A184,'Data shares'!$C:$FB,124)</f>
        <v>0.73</v>
      </c>
      <c r="P184" s="50">
        <f>VLOOKUP($A184,'Data shares'!$C:$FB,125)</f>
        <v>0.45</v>
      </c>
      <c r="Q184" s="50">
        <f>VLOOKUP($A184,'Data shares'!$C:$FB,127)*100</f>
        <v>62.22</v>
      </c>
    </row>
    <row r="185" spans="1:17" x14ac:dyDescent="0.25">
      <c r="A185" s="97" t="str">
        <f>'Data Vlaue (Cr)'!C180</f>
        <v>SHRIRAMFIN</v>
      </c>
      <c r="B185" s="140">
        <f>VLOOKUP($A185,'Data shares'!$C:$FB,7)</f>
        <v>1019.7</v>
      </c>
      <c r="C185" s="140">
        <f>VLOOKUP($A185,'Data shares'!$C:$FB,3)</f>
        <v>1023.15</v>
      </c>
      <c r="D185" s="140">
        <f>VLOOKUP($A185,'Data shares'!$C:$FB,4)</f>
        <v>998.8</v>
      </c>
      <c r="E185" s="50">
        <f t="shared" si="12"/>
        <v>2.4379255106127378</v>
      </c>
      <c r="F185" s="49">
        <f>VLOOKUP($A185,'Data shares'!$C:$FB,98)</f>
        <v>75009825</v>
      </c>
      <c r="G185" s="49">
        <f>VLOOKUP($A185,'Data shares'!$C:$FB,99)</f>
        <v>70143150</v>
      </c>
      <c r="H185" s="50">
        <f t="shared" si="13"/>
        <v>6.9382042294935431</v>
      </c>
      <c r="I185" s="49">
        <f>VLOOKUP($A185,'Data shares'!$C:$FB,66)</f>
        <v>45926925</v>
      </c>
      <c r="J185" s="49">
        <f>VLOOKUP($A185,'Data shares'!$C:$FB,67)</f>
        <v>55180125</v>
      </c>
      <c r="K185" s="50">
        <f t="shared" si="14"/>
        <v>-20.147658481381018</v>
      </c>
      <c r="L185" s="50">
        <f>VLOOKUP($A185,'Data shares'!$C:$FB,118)</f>
        <v>0.89</v>
      </c>
      <c r="M185" s="50">
        <f>VLOOKUP($A185,'Data shares'!$C:$FB,119)</f>
        <v>0.84</v>
      </c>
      <c r="N185" s="50">
        <f>VLOOKUP($A185,'Data shares'!$C:$FB,121)*100</f>
        <v>5.9499999999999993</v>
      </c>
      <c r="O185" s="50">
        <f>VLOOKUP($A185,'Data shares'!$C:$FB,124)</f>
        <v>0.51</v>
      </c>
      <c r="P185" s="50">
        <f>VLOOKUP($A185,'Data shares'!$C:$FB,125)</f>
        <v>0.49</v>
      </c>
      <c r="Q185" s="50">
        <f>VLOOKUP($A185,'Data shares'!$C:$FB,127)*100</f>
        <v>4.08</v>
      </c>
    </row>
    <row r="186" spans="1:17" x14ac:dyDescent="0.25">
      <c r="A186" s="97" t="str">
        <f>'Data Vlaue (Cr)'!C181</f>
        <v>SIEMENS</v>
      </c>
      <c r="B186" s="140">
        <f>VLOOKUP($A186,'Data shares'!$C:$FB,7)</f>
        <v>3091.3</v>
      </c>
      <c r="C186" s="140">
        <f>VLOOKUP($A186,'Data shares'!$C:$FB,3)</f>
        <v>3107.8</v>
      </c>
      <c r="D186" s="140">
        <f>VLOOKUP($A186,'Data shares'!$C:$FB,4)</f>
        <v>3077.2</v>
      </c>
      <c r="E186" s="50">
        <f t="shared" si="12"/>
        <v>0.99441050305473699</v>
      </c>
      <c r="F186" s="49">
        <f>VLOOKUP($A186,'Data shares'!$C:$FB,98)</f>
        <v>3688825</v>
      </c>
      <c r="G186" s="49">
        <f>VLOOKUP($A186,'Data shares'!$C:$FB,99)</f>
        <v>3704400</v>
      </c>
      <c r="H186" s="50">
        <f t="shared" si="13"/>
        <v>-0.42044595616024188</v>
      </c>
      <c r="I186" s="49">
        <f>VLOOKUP($A186,'Data shares'!$C:$FB,66)</f>
        <v>1261925</v>
      </c>
      <c r="J186" s="49">
        <f>VLOOKUP($A186,'Data shares'!$C:$FB,67)</f>
        <v>2646000</v>
      </c>
      <c r="K186" s="50">
        <f t="shared" si="14"/>
        <v>-109.67965608098737</v>
      </c>
      <c r="L186" s="50">
        <f>VLOOKUP($A186,'Data shares'!$C:$FB,118)</f>
        <v>0.55000000000000004</v>
      </c>
      <c r="M186" s="50">
        <f>VLOOKUP($A186,'Data shares'!$C:$FB,119)</f>
        <v>0.54</v>
      </c>
      <c r="N186" s="50">
        <f>VLOOKUP($A186,'Data shares'!$C:$FB,121)*100</f>
        <v>1.8499999999999999</v>
      </c>
      <c r="O186" s="50">
        <f>VLOOKUP($A186,'Data shares'!$C:$FB,124)</f>
        <v>0.38</v>
      </c>
      <c r="P186" s="50">
        <f>VLOOKUP($A186,'Data shares'!$C:$FB,125)</f>
        <v>0.35</v>
      </c>
      <c r="Q186" s="50">
        <f>VLOOKUP($A186,'Data shares'!$C:$FB,127)*100</f>
        <v>8.57</v>
      </c>
    </row>
    <row r="187" spans="1:17" x14ac:dyDescent="0.25">
      <c r="A187" s="97" t="str">
        <f>'Data Vlaue (Cr)'!C182</f>
        <v>SOLARINDS</v>
      </c>
      <c r="B187" s="140">
        <f>VLOOKUP($A187,'Data shares'!$C:$FB,7)</f>
        <v>12166</v>
      </c>
      <c r="C187" s="140">
        <f>VLOOKUP($A187,'Data shares'!$C:$FB,3)</f>
        <v>12220</v>
      </c>
      <c r="D187" s="140">
        <f>VLOOKUP($A187,'Data shares'!$C:$FB,4)</f>
        <v>12298</v>
      </c>
      <c r="E187" s="50">
        <f t="shared" si="12"/>
        <v>-0.63424947145877375</v>
      </c>
      <c r="F187" s="49">
        <f>VLOOKUP($A187,'Data shares'!$C:$FB,98)</f>
        <v>1823350</v>
      </c>
      <c r="G187" s="49">
        <f>VLOOKUP($A187,'Data shares'!$C:$FB,99)</f>
        <v>1787950</v>
      </c>
      <c r="H187" s="50">
        <f t="shared" si="13"/>
        <v>1.9799211387343048</v>
      </c>
      <c r="I187" s="49">
        <f>VLOOKUP($A187,'Data shares'!$C:$FB,66)</f>
        <v>529300</v>
      </c>
      <c r="J187" s="49">
        <f>VLOOKUP($A187,'Data shares'!$C:$FB,67)</f>
        <v>1176000</v>
      </c>
      <c r="K187" s="50">
        <f t="shared" si="14"/>
        <v>-122.18023805025507</v>
      </c>
      <c r="L187" s="50">
        <f>VLOOKUP($A187,'Data shares'!$C:$FB,118)</f>
        <v>0.56999999999999995</v>
      </c>
      <c r="M187" s="50">
        <f>VLOOKUP($A187,'Data shares'!$C:$FB,119)</f>
        <v>0.62</v>
      </c>
      <c r="N187" s="50">
        <f>VLOOKUP($A187,'Data shares'!$C:$FB,121)*100</f>
        <v>-8.06</v>
      </c>
      <c r="O187" s="50">
        <f>VLOOKUP($A187,'Data shares'!$C:$FB,124)</f>
        <v>0.51</v>
      </c>
      <c r="P187" s="50">
        <f>VLOOKUP($A187,'Data shares'!$C:$FB,125)</f>
        <v>0.28999999999999998</v>
      </c>
      <c r="Q187" s="50">
        <f>VLOOKUP($A187,'Data shares'!$C:$FB,127)*100</f>
        <v>75.86</v>
      </c>
    </row>
    <row r="188" spans="1:17" x14ac:dyDescent="0.25">
      <c r="A188" s="97" t="str">
        <f>'Data Vlaue (Cr)'!C183</f>
        <v>SONACOMS</v>
      </c>
      <c r="B188" s="140">
        <f>VLOOKUP($A188,'Data shares'!$C:$FB,7)</f>
        <v>474.3</v>
      </c>
      <c r="C188" s="140">
        <f>VLOOKUP($A188,'Data shares'!$C:$FB,3)</f>
        <v>476.85</v>
      </c>
      <c r="D188" s="140">
        <f>VLOOKUP($A188,'Data shares'!$C:$FB,4)</f>
        <v>481.9</v>
      </c>
      <c r="E188" s="50">
        <f t="shared" si="12"/>
        <v>-1.0479352562772266</v>
      </c>
      <c r="F188" s="49">
        <f>VLOOKUP($A188,'Data shares'!$C:$FB,98)</f>
        <v>17510150</v>
      </c>
      <c r="G188" s="49">
        <f>VLOOKUP($A188,'Data shares'!$C:$FB,99)</f>
        <v>17179400</v>
      </c>
      <c r="H188" s="50">
        <f t="shared" si="13"/>
        <v>1.9252709640616088</v>
      </c>
      <c r="I188" s="49">
        <f>VLOOKUP($A188,'Data shares'!$C:$FB,66)</f>
        <v>2005325</v>
      </c>
      <c r="J188" s="49">
        <f>VLOOKUP($A188,'Data shares'!$C:$FB,67)</f>
        <v>3123750</v>
      </c>
      <c r="K188" s="50">
        <f t="shared" si="14"/>
        <v>-55.77275503970678</v>
      </c>
      <c r="L188" s="50">
        <f>VLOOKUP($A188,'Data shares'!$C:$FB,118)</f>
        <v>0.68</v>
      </c>
      <c r="M188" s="50">
        <f>VLOOKUP($A188,'Data shares'!$C:$FB,119)</f>
        <v>0.75</v>
      </c>
      <c r="N188" s="50">
        <f>VLOOKUP($A188,'Data shares'!$C:$FB,121)*100</f>
        <v>-9.33</v>
      </c>
      <c r="O188" s="50">
        <f>VLOOKUP($A188,'Data shares'!$C:$FB,124)</f>
        <v>0.36</v>
      </c>
      <c r="P188" s="50">
        <f>VLOOKUP($A188,'Data shares'!$C:$FB,125)</f>
        <v>0.48</v>
      </c>
      <c r="Q188" s="50">
        <f>VLOOKUP($A188,'Data shares'!$C:$FB,127)*100</f>
        <v>-25</v>
      </c>
    </row>
    <row r="189" spans="1:17" x14ac:dyDescent="0.25">
      <c r="A189" s="97" t="str">
        <f>'Data Vlaue (Cr)'!C215</f>
        <v>ZYDUSLIFE</v>
      </c>
      <c r="B189" s="140">
        <f>VLOOKUP($A189,'Data shares'!$C:$FB,7)</f>
        <v>915.05</v>
      </c>
      <c r="C189" s="140">
        <f>VLOOKUP($A189,'Data shares'!$C:$FB,3)</f>
        <v>919.3</v>
      </c>
      <c r="D189" s="140">
        <f>VLOOKUP($A189,'Data shares'!$C:$FB,4)</f>
        <v>917.65</v>
      </c>
      <c r="E189" s="50">
        <f t="shared" si="12"/>
        <v>0.17980711600283086</v>
      </c>
      <c r="F189" s="49">
        <f>VLOOKUP($A189,'Data shares'!$C:$FB,98)</f>
        <v>15251400</v>
      </c>
      <c r="G189" s="49">
        <f>VLOOKUP($A189,'Data shares'!$C:$FB,99)</f>
        <v>14792400</v>
      </c>
      <c r="H189" s="50">
        <f t="shared" si="13"/>
        <v>3.102944755414943</v>
      </c>
      <c r="I189" s="49">
        <f>VLOOKUP($A189,'Data shares'!$C:$FB,66)</f>
        <v>2878200</v>
      </c>
      <c r="J189" s="49">
        <f>VLOOKUP($A189,'Data shares'!$C:$FB,67)</f>
        <v>4176000</v>
      </c>
      <c r="K189" s="50">
        <f t="shared" si="14"/>
        <v>-45.090681676047531</v>
      </c>
      <c r="L189" s="50">
        <f>VLOOKUP($A189,'Data shares'!$C:$FB,118)</f>
        <v>0.83</v>
      </c>
      <c r="M189" s="50">
        <f>VLOOKUP($A189,'Data shares'!$C:$FB,119)</f>
        <v>0.82</v>
      </c>
      <c r="N189" s="50">
        <f>VLOOKUP($A189,'Data shares'!$C:$FB,121)*100</f>
        <v>1.22</v>
      </c>
      <c r="O189" s="50">
        <f>VLOOKUP($A189,'Data shares'!$C:$FB,124)</f>
        <v>0.56999999999999995</v>
      </c>
      <c r="P189" s="50">
        <f>VLOOKUP($A189,'Data shares'!$C:$FB,125)</f>
        <v>0.61</v>
      </c>
      <c r="Q189" s="50">
        <f>VLOOKUP($A189,'Data shares'!$C:$FB,127)*100</f>
        <v>-6.5600000000000005</v>
      </c>
    </row>
    <row r="190" spans="1:17" x14ac:dyDescent="0.25">
      <c r="A190" s="97"/>
      <c r="B190" s="140"/>
      <c r="C190" s="140"/>
      <c r="D190" s="140"/>
      <c r="E190" s="50"/>
      <c r="F190" s="49"/>
      <c r="G190" s="49"/>
      <c r="H190" s="50"/>
      <c r="I190" s="49"/>
      <c r="J190" s="49"/>
      <c r="K190" s="50"/>
      <c r="L190" s="50"/>
      <c r="M190" s="50"/>
      <c r="N190" s="50"/>
      <c r="O190" s="50"/>
      <c r="P190" s="50"/>
      <c r="Q190" s="50"/>
    </row>
    <row r="191" spans="1:17" x14ac:dyDescent="0.25">
      <c r="A191" s="97"/>
      <c r="B191" s="140"/>
      <c r="C191" s="140"/>
      <c r="D191" s="140"/>
      <c r="E191" s="50"/>
      <c r="F191" s="49"/>
      <c r="G191" s="49"/>
      <c r="H191" s="50"/>
      <c r="I191" s="49"/>
      <c r="J191" s="49"/>
      <c r="K191" s="50"/>
      <c r="L191" s="50"/>
      <c r="M191" s="50"/>
      <c r="N191" s="50"/>
      <c r="O191" s="50"/>
      <c r="P191" s="50"/>
      <c r="Q191" s="50"/>
    </row>
    <row r="192" spans="1:17" x14ac:dyDescent="0.25">
      <c r="A192" s="97"/>
      <c r="B192" s="140"/>
      <c r="C192" s="140"/>
      <c r="D192" s="140"/>
      <c r="E192" s="50"/>
      <c r="F192" s="49"/>
      <c r="G192" s="49"/>
      <c r="H192" s="50"/>
      <c r="I192" s="49"/>
      <c r="J192" s="49"/>
      <c r="K192" s="50"/>
      <c r="L192" s="50"/>
      <c r="M192" s="50"/>
      <c r="N192" s="50"/>
      <c r="O192" s="50"/>
      <c r="P192" s="50"/>
      <c r="Q192" s="50"/>
    </row>
    <row r="193" spans="1:17" x14ac:dyDescent="0.25">
      <c r="A193" s="97"/>
      <c r="B193" s="140"/>
      <c r="C193" s="140"/>
      <c r="D193" s="140"/>
      <c r="E193" s="50"/>
      <c r="F193" s="49"/>
      <c r="G193" s="49"/>
      <c r="H193" s="50"/>
      <c r="I193" s="49"/>
      <c r="J193" s="49"/>
      <c r="K193" s="50"/>
      <c r="L193" s="50"/>
      <c r="M193" s="50"/>
      <c r="N193" s="50"/>
      <c r="O193" s="50"/>
      <c r="P193" s="50"/>
      <c r="Q193" s="50"/>
    </row>
    <row r="194" spans="1:17" x14ac:dyDescent="0.25">
      <c r="A194" s="97"/>
      <c r="B194" s="140"/>
      <c r="C194" s="140"/>
      <c r="D194" s="140"/>
      <c r="E194" s="50"/>
      <c r="F194" s="49"/>
      <c r="G194" s="49"/>
      <c r="H194" s="50"/>
      <c r="I194" s="49"/>
      <c r="J194" s="49"/>
      <c r="K194" s="50"/>
      <c r="L194" s="50"/>
      <c r="M194" s="50"/>
      <c r="N194" s="50"/>
      <c r="O194" s="50"/>
      <c r="P194" s="50"/>
      <c r="Q194" s="50"/>
    </row>
    <row r="195" spans="1:17" x14ac:dyDescent="0.25">
      <c r="A195" s="97"/>
      <c r="B195" s="140"/>
      <c r="C195" s="140"/>
      <c r="D195" s="140"/>
      <c r="E195" s="50"/>
      <c r="F195" s="49"/>
      <c r="G195" s="49"/>
      <c r="H195" s="50"/>
      <c r="I195" s="49"/>
      <c r="J195" s="49"/>
      <c r="K195" s="50"/>
      <c r="L195" s="50"/>
      <c r="M195" s="50"/>
      <c r="N195" s="50"/>
      <c r="O195" s="50"/>
      <c r="P195" s="50"/>
      <c r="Q195" s="50"/>
    </row>
    <row r="196" spans="1:17" x14ac:dyDescent="0.25">
      <c r="A196" s="97"/>
      <c r="B196" s="140"/>
      <c r="C196" s="140"/>
      <c r="D196" s="140"/>
      <c r="E196" s="50"/>
      <c r="F196" s="49"/>
      <c r="G196" s="49"/>
      <c r="H196" s="50"/>
      <c r="I196" s="49"/>
      <c r="J196" s="49"/>
      <c r="K196" s="50"/>
      <c r="L196" s="50"/>
      <c r="M196" s="50"/>
      <c r="N196" s="50"/>
      <c r="O196" s="50"/>
      <c r="P196" s="50"/>
      <c r="Q196" s="50"/>
    </row>
    <row r="197" spans="1:17" x14ac:dyDescent="0.25">
      <c r="A197" s="97"/>
      <c r="B197" s="140"/>
      <c r="C197" s="140"/>
      <c r="D197" s="140"/>
      <c r="E197" s="50"/>
      <c r="F197" s="49"/>
      <c r="G197" s="49"/>
      <c r="H197" s="50"/>
      <c r="I197" s="49"/>
      <c r="J197" s="49"/>
      <c r="K197" s="50"/>
      <c r="L197" s="50"/>
      <c r="M197" s="50"/>
      <c r="N197" s="50"/>
      <c r="O197" s="50"/>
      <c r="P197" s="50"/>
      <c r="Q197" s="50"/>
    </row>
    <row r="198" spans="1:17" x14ac:dyDescent="0.25">
      <c r="A198" s="97"/>
      <c r="B198" s="140"/>
      <c r="C198" s="140"/>
      <c r="D198" s="140"/>
      <c r="E198" s="50"/>
      <c r="F198" s="49"/>
      <c r="G198" s="49"/>
      <c r="H198" s="50"/>
      <c r="I198" s="49"/>
      <c r="J198" s="49"/>
      <c r="K198" s="50"/>
      <c r="L198" s="50"/>
      <c r="M198" s="50"/>
      <c r="N198" s="50"/>
      <c r="O198" s="50"/>
      <c r="P198" s="50"/>
      <c r="Q198" s="50"/>
    </row>
    <row r="199" spans="1:17" x14ac:dyDescent="0.25">
      <c r="A199" s="97"/>
      <c r="B199" s="140"/>
      <c r="C199" s="140"/>
      <c r="D199" s="140"/>
      <c r="E199" s="50"/>
      <c r="F199" s="49"/>
      <c r="G199" s="49"/>
      <c r="H199" s="50"/>
      <c r="I199" s="49"/>
      <c r="J199" s="49"/>
      <c r="K199" s="50"/>
      <c r="L199" s="50"/>
      <c r="M199" s="50"/>
      <c r="N199" s="50"/>
      <c r="O199" s="50"/>
      <c r="P199" s="50"/>
      <c r="Q199" s="50"/>
    </row>
    <row r="200" spans="1:17" x14ac:dyDescent="0.25">
      <c r="A200" s="97"/>
      <c r="B200" s="140"/>
      <c r="C200" s="140"/>
      <c r="D200" s="140"/>
      <c r="E200" s="50"/>
      <c r="F200" s="49"/>
      <c r="G200" s="49"/>
      <c r="H200" s="50"/>
      <c r="I200" s="49"/>
      <c r="J200" s="49"/>
      <c r="K200" s="50"/>
      <c r="L200" s="50"/>
      <c r="M200" s="50"/>
      <c r="N200" s="50"/>
      <c r="O200" s="50"/>
      <c r="P200" s="50"/>
      <c r="Q200" s="50"/>
    </row>
    <row r="201" spans="1:17" x14ac:dyDescent="0.25">
      <c r="A201" s="97"/>
      <c r="B201" s="140"/>
      <c r="C201" s="140"/>
      <c r="D201" s="140"/>
      <c r="E201" s="50"/>
      <c r="F201" s="49"/>
      <c r="G201" s="49"/>
      <c r="H201" s="50"/>
      <c r="I201" s="49"/>
      <c r="J201" s="49"/>
      <c r="K201" s="50"/>
      <c r="L201" s="50"/>
      <c r="M201" s="50"/>
      <c r="N201" s="50"/>
      <c r="O201" s="50"/>
      <c r="P201" s="50"/>
      <c r="Q201" s="50"/>
    </row>
    <row r="202" spans="1:17" x14ac:dyDescent="0.25">
      <c r="A202" s="97"/>
      <c r="B202" s="140"/>
      <c r="C202" s="140"/>
      <c r="D202" s="140"/>
      <c r="E202" s="50"/>
      <c r="F202" s="49"/>
      <c r="G202" s="49"/>
      <c r="H202" s="50"/>
      <c r="I202" s="49"/>
      <c r="J202" s="49"/>
      <c r="K202" s="50"/>
      <c r="L202" s="50"/>
      <c r="M202" s="50"/>
      <c r="N202" s="50"/>
      <c r="O202" s="50"/>
      <c r="P202" s="50"/>
      <c r="Q202" s="50"/>
    </row>
    <row r="203" spans="1:17" x14ac:dyDescent="0.25">
      <c r="A203" s="97"/>
      <c r="B203" s="140"/>
      <c r="C203" s="140"/>
      <c r="D203" s="140"/>
      <c r="E203" s="50"/>
      <c r="F203" s="49"/>
      <c r="G203" s="49"/>
      <c r="H203" s="50"/>
      <c r="I203" s="49"/>
      <c r="J203" s="49"/>
      <c r="K203" s="50"/>
      <c r="L203" s="50"/>
      <c r="M203" s="50"/>
      <c r="N203" s="50"/>
      <c r="O203" s="50"/>
      <c r="P203" s="50"/>
      <c r="Q203" s="50"/>
    </row>
    <row r="204" spans="1:17" x14ac:dyDescent="0.25">
      <c r="A204" s="97"/>
      <c r="B204" s="140"/>
      <c r="C204" s="140"/>
      <c r="D204" s="140"/>
      <c r="E204" s="50"/>
      <c r="F204" s="49"/>
      <c r="G204" s="49"/>
      <c r="H204" s="50"/>
      <c r="I204" s="49"/>
      <c r="J204" s="49"/>
      <c r="K204" s="50"/>
      <c r="L204" s="50"/>
      <c r="M204" s="50"/>
      <c r="N204" s="50"/>
      <c r="O204" s="50"/>
      <c r="P204" s="50"/>
      <c r="Q204" s="50"/>
    </row>
    <row r="205" spans="1:17" x14ac:dyDescent="0.25">
      <c r="A205" s="97"/>
      <c r="B205" s="140"/>
      <c r="C205" s="140"/>
      <c r="D205" s="140"/>
      <c r="E205" s="50"/>
      <c r="F205" s="49"/>
      <c r="G205" s="49"/>
      <c r="H205" s="50"/>
      <c r="I205" s="49"/>
      <c r="J205" s="49"/>
      <c r="K205" s="50"/>
      <c r="L205" s="50"/>
      <c r="M205" s="50"/>
      <c r="N205" s="50"/>
      <c r="O205" s="50"/>
      <c r="P205" s="50"/>
      <c r="Q205" s="50"/>
    </row>
    <row r="206" spans="1:17" x14ac:dyDescent="0.25">
      <c r="A206" s="97"/>
      <c r="B206" s="140"/>
      <c r="C206" s="140"/>
      <c r="D206" s="140"/>
      <c r="E206" s="50"/>
      <c r="F206" s="49"/>
      <c r="G206" s="49"/>
      <c r="H206" s="50"/>
      <c r="I206" s="49"/>
      <c r="J206" s="49"/>
      <c r="K206" s="50"/>
      <c r="L206" s="50"/>
      <c r="M206" s="50"/>
      <c r="N206" s="50"/>
      <c r="O206" s="50"/>
      <c r="P206" s="50"/>
      <c r="Q206" s="50"/>
    </row>
    <row r="207" spans="1:17" x14ac:dyDescent="0.25">
      <c r="A207" s="97"/>
      <c r="B207" s="140"/>
      <c r="C207" s="140"/>
      <c r="D207" s="140"/>
      <c r="E207" s="50"/>
      <c r="F207" s="49"/>
      <c r="G207" s="49"/>
      <c r="H207" s="50"/>
      <c r="I207" s="49"/>
      <c r="J207" s="49"/>
      <c r="K207" s="50"/>
      <c r="L207" s="50"/>
      <c r="M207" s="50"/>
      <c r="N207" s="50"/>
      <c r="O207" s="50"/>
      <c r="P207" s="50"/>
      <c r="Q207" s="50"/>
    </row>
    <row r="208" spans="1:17" x14ac:dyDescent="0.25">
      <c r="A208" s="97"/>
      <c r="B208" s="140"/>
      <c r="C208" s="140"/>
      <c r="D208" s="140"/>
      <c r="E208" s="50"/>
      <c r="F208" s="49"/>
      <c r="G208" s="49"/>
      <c r="H208" s="50"/>
      <c r="I208" s="49"/>
      <c r="J208" s="49"/>
      <c r="K208" s="50"/>
      <c r="L208" s="50"/>
      <c r="M208" s="50"/>
      <c r="N208" s="50"/>
      <c r="O208" s="50"/>
      <c r="P208" s="50"/>
      <c r="Q208" s="50"/>
    </row>
    <row r="209" spans="1:17" x14ac:dyDescent="0.25">
      <c r="A209" s="97"/>
      <c r="B209" s="140"/>
      <c r="C209" s="140"/>
      <c r="D209" s="140"/>
      <c r="E209" s="50"/>
      <c r="F209" s="49"/>
      <c r="G209" s="49"/>
      <c r="H209" s="50"/>
      <c r="I209" s="49"/>
      <c r="J209" s="49"/>
      <c r="K209" s="50"/>
      <c r="L209" s="50"/>
      <c r="M209" s="50"/>
      <c r="N209" s="50"/>
      <c r="O209" s="50"/>
      <c r="P209" s="50"/>
      <c r="Q209" s="50"/>
    </row>
    <row r="210" spans="1:17" x14ac:dyDescent="0.25">
      <c r="A210" s="97"/>
      <c r="B210" s="140"/>
      <c r="C210" s="140"/>
      <c r="D210" s="140"/>
      <c r="E210" s="50"/>
      <c r="F210" s="49"/>
      <c r="G210" s="49"/>
      <c r="H210" s="50"/>
      <c r="I210" s="49"/>
      <c r="J210" s="49"/>
      <c r="K210" s="50"/>
      <c r="L210" s="50"/>
      <c r="M210" s="50"/>
      <c r="N210" s="50"/>
      <c r="O210" s="50"/>
      <c r="P210" s="50"/>
      <c r="Q210" s="50"/>
    </row>
    <row r="211" spans="1:17" x14ac:dyDescent="0.25">
      <c r="A211" s="97"/>
      <c r="B211" s="140"/>
      <c r="C211" s="140"/>
      <c r="D211" s="140"/>
      <c r="E211" s="50"/>
      <c r="F211" s="49"/>
      <c r="G211" s="49"/>
      <c r="H211" s="50"/>
      <c r="I211" s="49"/>
      <c r="J211" s="49"/>
      <c r="K211" s="50"/>
      <c r="L211" s="50"/>
      <c r="M211" s="50"/>
      <c r="N211" s="50"/>
      <c r="O211" s="50"/>
      <c r="P211" s="50"/>
      <c r="Q211" s="50"/>
    </row>
    <row r="212" spans="1:17" x14ac:dyDescent="0.25">
      <c r="A212" s="97"/>
      <c r="B212" s="140"/>
      <c r="C212" s="140"/>
      <c r="D212" s="140"/>
      <c r="E212" s="50"/>
      <c r="F212" s="49"/>
      <c r="G212" s="49"/>
      <c r="H212" s="50"/>
      <c r="I212" s="49"/>
      <c r="J212" s="49"/>
      <c r="K212" s="50"/>
      <c r="L212" s="50"/>
      <c r="M212" s="50"/>
      <c r="N212" s="50"/>
      <c r="O212" s="50"/>
      <c r="P212" s="50"/>
      <c r="Q212" s="50"/>
    </row>
    <row r="213" spans="1:17" x14ac:dyDescent="0.25">
      <c r="A213" s="97"/>
      <c r="B213" s="140"/>
      <c r="C213" s="140"/>
      <c r="D213" s="140"/>
      <c r="E213" s="50"/>
      <c r="F213" s="49"/>
      <c r="G213" s="49"/>
      <c r="H213" s="50"/>
      <c r="I213" s="49"/>
      <c r="J213" s="49"/>
      <c r="K213" s="50"/>
      <c r="L213" s="50"/>
      <c r="M213" s="50"/>
      <c r="N213" s="50"/>
      <c r="O213" s="50"/>
      <c r="P213" s="50"/>
      <c r="Q213" s="50"/>
    </row>
    <row r="214" spans="1:17" x14ac:dyDescent="0.25">
      <c r="A214" s="97"/>
      <c r="B214" s="140"/>
      <c r="C214" s="140"/>
      <c r="D214" s="140"/>
      <c r="E214" s="50"/>
      <c r="F214" s="49"/>
      <c r="G214" s="49"/>
      <c r="H214" s="50"/>
      <c r="I214" s="49"/>
      <c r="J214" s="49"/>
      <c r="K214" s="50"/>
      <c r="L214" s="50"/>
      <c r="M214" s="50"/>
      <c r="N214" s="50"/>
      <c r="O214" s="50"/>
      <c r="P214" s="50"/>
      <c r="Q214" s="50"/>
    </row>
    <row r="215" spans="1:17" x14ac:dyDescent="0.25">
      <c r="A215" s="97"/>
      <c r="B215" s="140"/>
      <c r="C215" s="140"/>
      <c r="D215" s="140"/>
      <c r="E215" s="50"/>
      <c r="F215" s="49"/>
      <c r="G215" s="49"/>
      <c r="H215" s="50"/>
      <c r="I215" s="49"/>
      <c r="J215" s="49"/>
      <c r="K215" s="50"/>
      <c r="L215" s="50"/>
      <c r="M215" s="50"/>
      <c r="N215" s="50"/>
      <c r="O215" s="50"/>
      <c r="P215" s="50"/>
      <c r="Q215" s="50"/>
    </row>
    <row r="216" spans="1:17" x14ac:dyDescent="0.25">
      <c r="A216" s="97"/>
      <c r="B216" s="140"/>
      <c r="C216" s="140"/>
      <c r="D216" s="140"/>
      <c r="E216" s="50"/>
      <c r="F216" s="49"/>
      <c r="G216" s="49"/>
      <c r="H216" s="50"/>
      <c r="I216" s="49"/>
      <c r="J216" s="49"/>
      <c r="K216" s="50"/>
      <c r="L216" s="50"/>
      <c r="M216" s="50"/>
      <c r="N216" s="50"/>
      <c r="O216" s="50"/>
      <c r="P216" s="50"/>
      <c r="Q216" s="50"/>
    </row>
    <row r="217" spans="1:17" x14ac:dyDescent="0.25">
      <c r="A217" s="97"/>
      <c r="B217" s="140"/>
      <c r="C217" s="140"/>
      <c r="D217" s="140"/>
      <c r="E217" s="50"/>
      <c r="F217" s="49"/>
      <c r="G217" s="49"/>
      <c r="H217" s="50"/>
      <c r="I217" s="49"/>
      <c r="J217" s="49"/>
      <c r="K217" s="50"/>
      <c r="L217" s="50"/>
      <c r="M217" s="50"/>
      <c r="N217" s="50"/>
      <c r="O217" s="50"/>
      <c r="P217" s="50"/>
      <c r="Q217" s="50"/>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63" t="s">
        <v>391</v>
      </c>
      <c r="B231" s="263"/>
      <c r="C231" s="263"/>
      <c r="D231" s="263"/>
      <c r="E231" s="263"/>
      <c r="F231" s="113">
        <f>SUM(F7:F172)</f>
        <v>21358945610</v>
      </c>
      <c r="G231" s="113">
        <f>SUM(G7:G172)</f>
        <v>20217564312</v>
      </c>
      <c r="H231" s="114">
        <f>(F231-G231)/G231*100</f>
        <v>5.6454935935212571</v>
      </c>
      <c r="I231" s="113">
        <f>SUM(I7:I172)</f>
        <v>14123668452</v>
      </c>
      <c r="J231" s="113">
        <f>SUM(J7:J172)</f>
        <v>18986291865</v>
      </c>
      <c r="K231" s="114">
        <f>(I231-J231)/J231*100</f>
        <v>-25.611232817735889</v>
      </c>
      <c r="L231" s="113"/>
      <c r="M231" s="113"/>
      <c r="N231" s="113"/>
      <c r="O231" s="113"/>
      <c r="P231" s="263"/>
      <c r="Q231" s="263"/>
    </row>
    <row r="232" spans="1:17" s="64" customFormat="1" x14ac:dyDescent="0.25">
      <c r="A232" s="263" t="s">
        <v>398</v>
      </c>
      <c r="B232" s="263"/>
      <c r="C232" s="263"/>
      <c r="D232" s="263"/>
      <c r="E232" s="263"/>
      <c r="F232" s="113">
        <f>F231/10000000</f>
        <v>2135.8945610000001</v>
      </c>
      <c r="G232" s="113">
        <f>G231/10000000</f>
        <v>2021.7564312</v>
      </c>
      <c r="H232" s="114">
        <f>(F232-G232)/G232*100</f>
        <v>5.6454935935212625</v>
      </c>
      <c r="I232" s="113">
        <f>I231/10000000</f>
        <v>1412.3668451999999</v>
      </c>
      <c r="J232" s="113">
        <f>J231/10000000</f>
        <v>1898.6291865000001</v>
      </c>
      <c r="K232" s="114">
        <f>(I232-J232)/J232*100</f>
        <v>-25.611232817735896</v>
      </c>
      <c r="L232" s="113"/>
      <c r="M232" s="113"/>
      <c r="N232" s="113"/>
      <c r="O232" s="113"/>
      <c r="P232" s="263"/>
      <c r="Q232" s="263"/>
    </row>
  </sheetData>
  <mergeCells count="15">
    <mergeCell ref="A232:E232"/>
    <mergeCell ref="P231:Q231"/>
    <mergeCell ref="P232:Q232"/>
    <mergeCell ref="A231:E231"/>
    <mergeCell ref="O5:Q5"/>
    <mergeCell ref="C5:E5"/>
    <mergeCell ref="F5:H5"/>
    <mergeCell ref="I5:K5"/>
    <mergeCell ref="L5:N5"/>
    <mergeCell ref="A3:Q3"/>
    <mergeCell ref="A4:A5"/>
    <mergeCell ref="B4:E4"/>
    <mergeCell ref="F4:H4"/>
    <mergeCell ref="I4:K4"/>
    <mergeCell ref="L4:Q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K7" sqref="K7"/>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(Value)'!H150</f>
        <v>1221218</v>
      </c>
      <c r="C3" s="159">
        <f>'OI(Volume)'!G146</f>
        <v>1.1999999999999999E-3</v>
      </c>
      <c r="D3" s="153">
        <f>'Snapshot (Value)'!P146</f>
        <v>0.8</v>
      </c>
      <c r="E3" s="153">
        <f>'Snapshot (Value)'!R146</f>
        <v>0.85</v>
      </c>
      <c r="F3" s="153">
        <f>IV!E146</f>
        <v>13.9</v>
      </c>
      <c r="G3" s="153">
        <f>IV!B146</f>
        <v>8.43</v>
      </c>
      <c r="H3" s="153">
        <f>'Snapshot (Value)'!C150</f>
        <v>26146.55</v>
      </c>
      <c r="I3" s="153">
        <f>'Snapshot (Value)'!D150</f>
        <v>26290.400000000001</v>
      </c>
      <c r="J3" s="153">
        <f>'Snapshot (Value)'!E150</f>
        <v>26296.3</v>
      </c>
      <c r="K3" s="153">
        <f>(I3-H3)</f>
        <v>143.85000000000218</v>
      </c>
      <c r="L3" s="232">
        <f>'Data Vlaue (Cr)'!V141</f>
        <v>26621</v>
      </c>
    </row>
    <row r="4" spans="1:12" x14ac:dyDescent="0.25">
      <c r="A4" t="s">
        <v>464</v>
      </c>
      <c r="B4" s="154">
        <f>'Snapshot (Value)'!H37</f>
        <v>138164</v>
      </c>
      <c r="C4" s="159">
        <f>'OI(Volume)'!G33</f>
        <v>5.5199999999999999E-2</v>
      </c>
      <c r="D4" s="153">
        <f>'Snapshot (Value)'!P37</f>
        <v>1.1399999999999999</v>
      </c>
      <c r="E4" s="153">
        <f>'Snapshot (Value)'!R37</f>
        <v>0.91</v>
      </c>
      <c r="F4" s="153">
        <f>IV!E33</f>
        <v>15.68</v>
      </c>
      <c r="G4" s="153">
        <f>IV!B33</f>
        <v>10.07</v>
      </c>
      <c r="H4" s="153">
        <f>'Snapshot (Value)'!C37</f>
        <v>59711.55</v>
      </c>
      <c r="I4" s="153">
        <f>'Snapshot (Value)'!D37</f>
        <v>59955.6</v>
      </c>
      <c r="J4" s="153">
        <f>'Snapshot (Value)'!E37</f>
        <v>59883.6</v>
      </c>
      <c r="K4" s="153">
        <f>(I4-H4)</f>
        <v>244.04999999999563</v>
      </c>
      <c r="L4" s="232">
        <f>'Data Vlaue (Cr)'!V28</f>
        <v>60652.4</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N13" sqref="N13"/>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27" t="s">
        <v>393</v>
      </c>
      <c r="B1" s="329" t="s">
        <v>632</v>
      </c>
      <c r="C1" s="330"/>
      <c r="D1" s="331"/>
      <c r="E1" s="332" t="s">
        <v>633</v>
      </c>
      <c r="F1" s="333"/>
      <c r="G1" s="334"/>
      <c r="H1" s="335" t="s">
        <v>634</v>
      </c>
      <c r="I1" s="336"/>
      <c r="J1" s="337"/>
      <c r="K1" s="338" t="s">
        <v>635</v>
      </c>
      <c r="L1" s="339"/>
      <c r="M1" s="340"/>
    </row>
    <row r="2" spans="1:13" ht="26.25" thickBot="1" x14ac:dyDescent="0.25">
      <c r="A2" s="328"/>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27" t="s">
        <v>641</v>
      </c>
      <c r="B6" s="329" t="s">
        <v>632</v>
      </c>
      <c r="C6" s="330"/>
      <c r="D6" s="331"/>
      <c r="E6" s="332" t="s">
        <v>633</v>
      </c>
      <c r="F6" s="333"/>
      <c r="G6" s="334"/>
      <c r="H6" s="335" t="s">
        <v>634</v>
      </c>
      <c r="I6" s="336"/>
      <c r="J6" s="337"/>
      <c r="K6" s="338" t="s">
        <v>635</v>
      </c>
      <c r="L6" s="339"/>
      <c r="M6" s="340"/>
    </row>
    <row r="7" spans="1:13" ht="26.25" thickBot="1" x14ac:dyDescent="0.25">
      <c r="A7" s="328"/>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27" t="s">
        <v>642</v>
      </c>
      <c r="B11" s="329" t="s">
        <v>632</v>
      </c>
      <c r="C11" s="330"/>
      <c r="D11" s="331"/>
      <c r="E11" s="332" t="s">
        <v>633</v>
      </c>
      <c r="F11" s="333"/>
      <c r="G11" s="334"/>
      <c r="H11" s="335" t="s">
        <v>634</v>
      </c>
      <c r="I11" s="336"/>
      <c r="J11" s="337"/>
      <c r="K11" s="338" t="s">
        <v>635</v>
      </c>
      <c r="L11" s="339"/>
      <c r="M11" s="340"/>
    </row>
    <row r="12" spans="1:13" ht="26.25" thickBot="1" x14ac:dyDescent="0.25">
      <c r="A12" s="328"/>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27" t="s">
        <v>395</v>
      </c>
      <c r="B16" s="329" t="s">
        <v>632</v>
      </c>
      <c r="C16" s="330"/>
      <c r="D16" s="331"/>
      <c r="E16" s="332" t="s">
        <v>633</v>
      </c>
      <c r="F16" s="333"/>
      <c r="G16" s="334"/>
      <c r="H16" s="335" t="s">
        <v>634</v>
      </c>
      <c r="I16" s="336"/>
      <c r="J16" s="337"/>
      <c r="K16" s="338" t="s">
        <v>635</v>
      </c>
      <c r="L16" s="339"/>
      <c r="M16" s="340"/>
    </row>
    <row r="17" spans="1:13" ht="26.25" thickBot="1" x14ac:dyDescent="0.25">
      <c r="A17" s="328"/>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27" t="s">
        <v>643</v>
      </c>
      <c r="B21" s="329" t="s">
        <v>632</v>
      </c>
      <c r="C21" s="330"/>
      <c r="D21" s="331"/>
      <c r="E21" s="332" t="s">
        <v>633</v>
      </c>
      <c r="F21" s="333"/>
      <c r="G21" s="334"/>
      <c r="H21" s="335" t="s">
        <v>634</v>
      </c>
      <c r="I21" s="336"/>
      <c r="J21" s="337"/>
      <c r="K21" s="338" t="s">
        <v>635</v>
      </c>
      <c r="L21" s="339"/>
      <c r="M21" s="340"/>
    </row>
    <row r="22" spans="1:13" ht="26.25" thickBot="1" x14ac:dyDescent="0.25">
      <c r="A22" s="328"/>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27" t="s">
        <v>644</v>
      </c>
      <c r="B26" s="329" t="s">
        <v>632</v>
      </c>
      <c r="C26" s="330"/>
      <c r="D26" s="331"/>
      <c r="E26" s="332" t="s">
        <v>633</v>
      </c>
      <c r="F26" s="333"/>
      <c r="G26" s="334"/>
      <c r="H26" s="335" t="s">
        <v>634</v>
      </c>
      <c r="I26" s="336"/>
      <c r="J26" s="337"/>
      <c r="K26" s="338" t="s">
        <v>635</v>
      </c>
      <c r="L26" s="339"/>
      <c r="M26" s="340"/>
    </row>
    <row r="27" spans="1:13" ht="26.25" thickBot="1" x14ac:dyDescent="0.25">
      <c r="A27" s="328"/>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K11:M11"/>
    <mergeCell ref="H11:J11"/>
    <mergeCell ref="E11:G11"/>
    <mergeCell ref="B11:D11"/>
    <mergeCell ref="A11:A12"/>
    <mergeCell ref="K6:M6"/>
    <mergeCell ref="H6:J6"/>
    <mergeCell ref="E6:G6"/>
    <mergeCell ref="B6:D6"/>
    <mergeCell ref="A6:A7"/>
    <mergeCell ref="B16:D16"/>
    <mergeCell ref="A16:A17"/>
    <mergeCell ref="K21:M21"/>
    <mergeCell ref="H21:J21"/>
    <mergeCell ref="E21:G21"/>
    <mergeCell ref="B21:D21"/>
    <mergeCell ref="A21:A22"/>
    <mergeCell ref="K16:M16"/>
    <mergeCell ref="H16:J16"/>
    <mergeCell ref="E16:G16"/>
    <mergeCell ref="K26:M26"/>
    <mergeCell ref="H26:J26"/>
    <mergeCell ref="E26:G26"/>
    <mergeCell ref="B26:D26"/>
    <mergeCell ref="A26:A27"/>
    <mergeCell ref="A1:A2"/>
    <mergeCell ref="B1:D1"/>
    <mergeCell ref="E1:G1"/>
    <mergeCell ref="H1:J1"/>
    <mergeCell ref="K1:M1"/>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4140.3999999999996</v>
      </c>
      <c r="C3" s="200"/>
      <c r="D3" s="200"/>
    </row>
    <row r="4" spans="1:4" x14ac:dyDescent="0.25">
      <c r="A4" s="217" t="s">
        <v>320</v>
      </c>
      <c r="B4" s="220">
        <f>VLOOKUP($B$1,'Snapshot (Value)'!$A:$S,6,0)</f>
        <v>16.400000000000546</v>
      </c>
      <c r="C4" s="200"/>
      <c r="D4" s="200"/>
    </row>
    <row r="5" spans="1:4" x14ac:dyDescent="0.25">
      <c r="A5" s="221"/>
      <c r="B5" s="222" t="s">
        <v>649</v>
      </c>
      <c r="C5" s="222" t="s">
        <v>650</v>
      </c>
      <c r="D5" s="222" t="s">
        <v>651</v>
      </c>
    </row>
    <row r="6" spans="1:4" x14ac:dyDescent="0.25">
      <c r="A6" s="217" t="s">
        <v>652</v>
      </c>
      <c r="B6" s="219">
        <f>VLOOKUP($B$1,'Snapshot (Value)'!$A:$S,4,0)</f>
        <v>4156.8</v>
      </c>
      <c r="C6" s="219">
        <f>VLOOKUP($B$1,'Snapshot (Value)'!$A:$S,5,0)</f>
        <v>4107.5</v>
      </c>
      <c r="D6" s="219">
        <f>+(B6/C6-1)*100</f>
        <v>1.2002434570906884</v>
      </c>
    </row>
    <row r="7" spans="1:4" x14ac:dyDescent="0.25">
      <c r="A7" s="217" t="s">
        <v>316</v>
      </c>
      <c r="B7" s="219">
        <f>VLOOKUP($B$1,'Snapshot (Volume)'!$A:$S,12,0)</f>
        <v>0.71</v>
      </c>
      <c r="C7" s="219">
        <f>VLOOKUP($B$1,'Snapshot (Volume)'!$A:$S,13,0)</f>
        <v>0.73</v>
      </c>
      <c r="D7" s="219">
        <f>+(B7/C7-1)*100</f>
        <v>-2.7397260273972601</v>
      </c>
    </row>
    <row r="8" spans="1:4" x14ac:dyDescent="0.25">
      <c r="A8" s="217" t="s">
        <v>653</v>
      </c>
      <c r="B8" s="219">
        <f>VLOOKUP($B$1,'Snapshot (Volume)'!$A:$S,15,0)</f>
        <v>0.46</v>
      </c>
      <c r="C8" s="219">
        <f>VLOOKUP($B$1,'Snapshot (Volume)'!$A:$S,16,0)</f>
        <v>0.55000000000000004</v>
      </c>
      <c r="D8" s="219">
        <f>+(B8/C8-1)*100</f>
        <v>-16.36363636363637</v>
      </c>
    </row>
    <row r="9" spans="1:4" x14ac:dyDescent="0.25">
      <c r="A9" s="215" t="s">
        <v>654</v>
      </c>
      <c r="B9" s="222" t="s">
        <v>655</v>
      </c>
      <c r="C9" s="222" t="s">
        <v>369</v>
      </c>
      <c r="D9" s="222" t="s">
        <v>651</v>
      </c>
    </row>
    <row r="10" spans="1:4" x14ac:dyDescent="0.25">
      <c r="A10" s="217" t="s">
        <v>656</v>
      </c>
      <c r="B10" s="219">
        <f>VLOOKUP($B$1,'OI(Value)'!$A:$O,5,0)</f>
        <v>5679</v>
      </c>
      <c r="C10" s="219">
        <f>VLOOKUP($B$1,'OI(Value)'!$A:$O,6,0)</f>
        <v>-82</v>
      </c>
      <c r="D10" s="219">
        <f>VLOOKUP($B$1,'OI(Value)'!$A:$O,7,0)*100</f>
        <v>-1.43</v>
      </c>
    </row>
    <row r="11" spans="1:4" x14ac:dyDescent="0.25">
      <c r="A11" s="217" t="s">
        <v>657</v>
      </c>
      <c r="B11" s="219">
        <f>VLOOKUP($B$1,'OI(Value)'!$A:$O,8,0)</f>
        <v>1145</v>
      </c>
      <c r="C11" s="219">
        <f>VLOOKUP($B$1,'OI(Value)'!$A:$O,9,0)</f>
        <v>282</v>
      </c>
      <c r="D11" s="219">
        <f>VLOOKUP($B$1,'OI(Value)'!$A:$O,10,0)*100</f>
        <v>32.67</v>
      </c>
    </row>
    <row r="12" spans="1:4" x14ac:dyDescent="0.25">
      <c r="A12" s="217" t="s">
        <v>658</v>
      </c>
      <c r="B12" s="219">
        <f>VLOOKUP($B$1,'OI(Value)'!$A:$O,11,0)</f>
        <v>812</v>
      </c>
      <c r="C12" s="219">
        <f>VLOOKUP($B$1,'OI(Value)'!$A:$O,12,0)</f>
        <v>180</v>
      </c>
      <c r="D12" s="219">
        <f>VLOOKUP($B$1,'OI(Value)'!$A:$O,13,0)*100</f>
        <v>28.46</v>
      </c>
    </row>
    <row r="13" spans="1:4" x14ac:dyDescent="0.25">
      <c r="A13" s="215" t="s">
        <v>659</v>
      </c>
      <c r="B13" s="223">
        <f>VLOOKUP($B$1,'OI(Value)'!$A:$O,2,0)</f>
        <v>7636</v>
      </c>
      <c r="C13" s="223">
        <f>VLOOKUP($B$1,'OI(Value)'!$A:$O,3,0)</f>
        <v>379</v>
      </c>
      <c r="D13" s="223">
        <f>VLOOKUP($B$1,'OI(Value)'!$A:$O,4,0)*100</f>
        <v>5.2299999999999995</v>
      </c>
    </row>
    <row r="14" spans="1:4" x14ac:dyDescent="0.25">
      <c r="A14" s="215" t="s">
        <v>660</v>
      </c>
      <c r="B14" s="222" t="s">
        <v>661</v>
      </c>
      <c r="C14" s="222" t="s">
        <v>369</v>
      </c>
      <c r="D14" s="222" t="s">
        <v>651</v>
      </c>
    </row>
    <row r="15" spans="1:4" x14ac:dyDescent="0.25">
      <c r="A15" s="217" t="s">
        <v>656</v>
      </c>
      <c r="B15" s="219">
        <f>VLOOKUP($B$1,'OI(Volume)'!$A:$O,5,0)/10^5</f>
        <v>136.61725000000001</v>
      </c>
      <c r="C15" s="219">
        <f>VLOOKUP($B$1,'OI(Volume)'!$A:$O,6,0)/10^5</f>
        <v>-1.9844999999999999</v>
      </c>
      <c r="D15" s="219">
        <f>(VLOOKUP($B$1,'OI(Volume)'!$A:$O,7,0))*100</f>
        <v>-1.43</v>
      </c>
    </row>
    <row r="16" spans="1:4" x14ac:dyDescent="0.25">
      <c r="A16" s="217" t="s">
        <v>657</v>
      </c>
      <c r="B16" s="219">
        <f>VLOOKUP($B$1,'OI(Volume)'!$A:$O,8,0)/10^5</f>
        <v>27.546749999999999</v>
      </c>
      <c r="C16" s="219">
        <f>VLOOKUP($B$1,'OI(Volume)'!$A:$O,9,0)/10^5</f>
        <v>6.7830000000000004</v>
      </c>
      <c r="D16" s="219">
        <f>(VLOOKUP($B$1,'OI(Volume)'!$A:$O,10,0))*100</f>
        <v>32.67</v>
      </c>
    </row>
    <row r="17" spans="1:4" x14ac:dyDescent="0.25">
      <c r="A17" s="217" t="s">
        <v>658</v>
      </c>
      <c r="B17" s="219">
        <f>VLOOKUP($B$1,'OI(Volume)'!$A:$O,11,0)/10^5</f>
        <v>19.535250000000001</v>
      </c>
      <c r="C17" s="219">
        <f>VLOOKUP($B$1,'OI(Volume)'!$A:$O,12,0)/10^5</f>
        <v>4.32775</v>
      </c>
      <c r="D17" s="219">
        <f>(VLOOKUP($B$1,'OI(Volume)'!$A:$O,13,0))*100</f>
        <v>28.46</v>
      </c>
    </row>
    <row r="18" spans="1:4" x14ac:dyDescent="0.25">
      <c r="A18" s="215" t="s">
        <v>662</v>
      </c>
      <c r="B18" s="223">
        <f>VLOOKUP($B$1,'OI(Volume)'!$A:$O,2,0)/10^5</f>
        <v>183.69925000000001</v>
      </c>
      <c r="C18" s="223">
        <f>VLOOKUP($B$1,'OI(Volume)'!$A:$O,3,0)/10^5</f>
        <v>9.1262500000000006</v>
      </c>
      <c r="D18" s="223">
        <f>(VLOOKUP($B$1,'OI(Volume)'!$A:$O,4,0))*100</f>
        <v>5.2299999999999995</v>
      </c>
    </row>
    <row r="20" spans="1:4" x14ac:dyDescent="0.25">
      <c r="A20" s="17" t="s">
        <v>417</v>
      </c>
      <c r="B20" s="224">
        <f>VLOOKUP($B$1,'Open Interest Position'!$A:$F,2,0)/10^5</f>
        <v>1361.09374</v>
      </c>
    </row>
    <row r="21" spans="1:4" x14ac:dyDescent="0.25">
      <c r="A21" s="17" t="s">
        <v>412</v>
      </c>
      <c r="B21" s="224">
        <f>VLOOKUP($B$1,'Open Interest Position'!$A:$F,3,0)/10^5</f>
        <v>180.02074999999999</v>
      </c>
    </row>
    <row r="22" spans="1:4" x14ac:dyDescent="0.25">
      <c r="A22" s="17" t="s">
        <v>418</v>
      </c>
      <c r="B22" s="224">
        <f>VLOOKUP($B$1,'Open Interest Position'!$A:$F,4,0)/10^5</f>
        <v>141.56140025487198</v>
      </c>
    </row>
    <row r="23" spans="1:4" x14ac:dyDescent="0.25">
      <c r="A23" s="17" t="s">
        <v>419</v>
      </c>
      <c r="B23" s="225">
        <f>VLOOKUP($B$1,'Open Interest Position'!$A:$F,6,0)</f>
        <v>0.13226183084201093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5" t="s">
        <v>329</v>
      </c>
      <c r="B3" s="266"/>
      <c r="C3" s="266"/>
      <c r="D3" s="266"/>
      <c r="E3" s="266"/>
      <c r="F3" s="266"/>
      <c r="G3" s="266"/>
      <c r="H3" s="266"/>
      <c r="I3" s="267"/>
      <c r="J3" s="267"/>
      <c r="K3" s="267"/>
      <c r="L3" s="267"/>
      <c r="M3" s="267"/>
      <c r="N3" s="267"/>
      <c r="O3" s="267"/>
      <c r="P3" s="268"/>
    </row>
    <row r="4" spans="1:36" x14ac:dyDescent="0.25">
      <c r="A4" s="269" t="s">
        <v>330</v>
      </c>
      <c r="B4" s="269"/>
      <c r="C4" s="77" t="s">
        <v>308</v>
      </c>
      <c r="D4" s="271" t="s">
        <v>326</v>
      </c>
      <c r="E4" s="271"/>
      <c r="F4" s="271"/>
      <c r="G4" s="271"/>
      <c r="H4" s="271" t="s">
        <v>457</v>
      </c>
      <c r="I4" s="271"/>
      <c r="J4" s="271"/>
      <c r="K4" s="269" t="s">
        <v>309</v>
      </c>
      <c r="L4" s="269"/>
      <c r="M4" s="269"/>
      <c r="N4" s="269" t="s">
        <v>331</v>
      </c>
      <c r="O4" s="269"/>
      <c r="P4" s="269"/>
    </row>
    <row r="5" spans="1:36" x14ac:dyDescent="0.25">
      <c r="A5" s="270"/>
      <c r="B5" s="270"/>
      <c r="C5" s="65" t="s">
        <v>312</v>
      </c>
      <c r="D5" s="272" t="s">
        <v>314</v>
      </c>
      <c r="E5" s="272"/>
      <c r="F5" s="272"/>
      <c r="G5" s="272"/>
      <c r="H5" s="272" t="s">
        <v>315</v>
      </c>
      <c r="I5" s="272"/>
      <c r="J5" s="272"/>
      <c r="K5" s="270" t="s">
        <v>314</v>
      </c>
      <c r="L5" s="270"/>
      <c r="M5" s="270"/>
      <c r="N5" s="270" t="s">
        <v>315</v>
      </c>
      <c r="O5" s="270"/>
      <c r="P5" s="270"/>
    </row>
    <row r="6" spans="1:36" x14ac:dyDescent="0.25">
      <c r="A6" s="78" t="s">
        <v>332</v>
      </c>
      <c r="B6" s="78" t="s">
        <v>318</v>
      </c>
      <c r="C6" s="65" t="s">
        <v>328</v>
      </c>
      <c r="D6" s="66">
        <f>'Snapshot (Volume)'!B6</f>
        <v>46023</v>
      </c>
      <c r="E6" s="66" t="s">
        <v>368</v>
      </c>
      <c r="F6" s="71" t="s">
        <v>333</v>
      </c>
      <c r="G6" s="71" t="s">
        <v>328</v>
      </c>
      <c r="H6" s="66">
        <f>D6</f>
        <v>46023</v>
      </c>
      <c r="I6" s="71" t="s">
        <v>322</v>
      </c>
      <c r="J6" s="71" t="s">
        <v>328</v>
      </c>
      <c r="K6" s="66">
        <f>D6</f>
        <v>46023</v>
      </c>
      <c r="L6" s="78" t="s">
        <v>333</v>
      </c>
      <c r="M6" s="78" t="s">
        <v>328</v>
      </c>
      <c r="N6" s="66">
        <f>D6</f>
        <v>46023</v>
      </c>
      <c r="O6" s="78" t="s">
        <v>322</v>
      </c>
      <c r="P6" s="78" t="s">
        <v>328</v>
      </c>
    </row>
    <row r="7" spans="1:36" x14ac:dyDescent="0.25">
      <c r="A7" s="79" t="str">
        <f>'Data shares'!B2</f>
        <v>Finance</v>
      </c>
      <c r="B7" s="79" t="str">
        <f>'Data shares'!C2</f>
        <v>360ONE</v>
      </c>
      <c r="C7" s="79">
        <f>VLOOKUP($B7,'Data shares'!$C:$FB,7)</f>
        <v>1179.7</v>
      </c>
      <c r="D7" s="165">
        <f>VLOOKUP($B7,'Data shares'!$C:$FB,98)</f>
        <v>2926000</v>
      </c>
      <c r="E7" s="165">
        <f>VLOOKUP(B7,'Snapshot (Volume)'!$A$7:$G$168,7,0)</f>
        <v>2867500</v>
      </c>
      <c r="F7" s="165">
        <f>D7-E7</f>
        <v>58500</v>
      </c>
      <c r="G7" s="166">
        <f>F7/E7</f>
        <v>2.040104620749782E-2</v>
      </c>
      <c r="H7" s="165">
        <f>VLOOKUP($B7,'Data shares'!$C:$FB,66)</f>
        <v>446000</v>
      </c>
      <c r="I7" s="165">
        <f>VLOOKUP($B7,'Data shares'!$C:$FB,67)</f>
        <v>1256500</v>
      </c>
      <c r="J7" s="81">
        <f>(H7-I7)/I7*100</f>
        <v>-64.504576203740555</v>
      </c>
      <c r="K7" s="81">
        <f>VLOOKUP($B7,'Data Vlaue (Cr)'!$C:$FB,99)</f>
        <v>346</v>
      </c>
      <c r="L7" s="81">
        <f>VLOOKUP(B7,'OI(Value)'!$A$7:$C$209,3,0)</f>
        <v>7</v>
      </c>
      <c r="M7" s="81">
        <f t="shared" ref="M7:M36" si="0">L7/K7*100</f>
        <v>2.0231213872832372</v>
      </c>
      <c r="N7" s="81">
        <f>VLOOKUP($B7,'Data Vlaue (Cr)'!$C:$FB,67)</f>
        <v>53</v>
      </c>
      <c r="O7" s="81">
        <f>VLOOKUP($B7,'Data Vlaue (Cr)'!$C:$FB,68)</f>
        <v>149</v>
      </c>
      <c r="P7" s="81">
        <f t="shared" ref="P7:P23" si="1">(N7-O7)/N7*100</f>
        <v>-181.13207547169813</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5176.5</v>
      </c>
      <c r="D8" s="165">
        <f>VLOOKUP($B8,'Data shares'!$C:$FB,98)</f>
        <v>3058625</v>
      </c>
      <c r="E8" s="165">
        <f>VLOOKUP(B8,'Snapshot (Volume)'!$A$7:$G$168,7,0)</f>
        <v>3020375</v>
      </c>
      <c r="F8" s="165">
        <f t="shared" ref="F8:F23" si="2">D8-E8</f>
        <v>38250</v>
      </c>
      <c r="G8" s="166">
        <f t="shared" ref="G8:G23" si="3">F8/E8</f>
        <v>1.2663990398543228E-2</v>
      </c>
      <c r="H8" s="165">
        <f>VLOOKUP($B8,'Data shares'!$C:$FB,66)</f>
        <v>460875</v>
      </c>
      <c r="I8" s="165">
        <f>VLOOKUP($B8,'Data shares'!$C:$FB,67)</f>
        <v>714000</v>
      </c>
      <c r="J8" s="81">
        <f t="shared" ref="J8:J22" si="4">(H8-I8)/I8*100</f>
        <v>-35.451680672268907</v>
      </c>
      <c r="K8" s="81">
        <f>VLOOKUP($B8,'Data Vlaue (Cr)'!$C:$FB,99)</f>
        <v>1593</v>
      </c>
      <c r="L8" s="81">
        <f>VLOOKUP(B8,'OI(Value)'!$A$7:$C$209,3,0)</f>
        <v>20</v>
      </c>
      <c r="M8" s="81">
        <f t="shared" si="0"/>
        <v>1.2554927809165097</v>
      </c>
      <c r="N8" s="81">
        <f>VLOOKUP($B8,'Data Vlaue (Cr)'!$C:$FB,67)</f>
        <v>240</v>
      </c>
      <c r="O8" s="81">
        <f>VLOOKUP($B8,'Data Vlaue (Cr)'!$C:$FB,68)</f>
        <v>372</v>
      </c>
      <c r="P8" s="81">
        <f t="shared" si="1"/>
        <v>-55.000000000000007</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361.95</v>
      </c>
      <c r="D9" s="165">
        <f>VLOOKUP($B9,'Data shares'!$C:$FB,98)</f>
        <v>106723700</v>
      </c>
      <c r="E9" s="165">
        <f>VLOOKUP(B9,'Snapshot (Volume)'!$A$7:$G$168,7,0)</f>
        <v>99751800</v>
      </c>
      <c r="F9" s="165">
        <f t="shared" si="2"/>
        <v>6971900</v>
      </c>
      <c r="G9" s="166">
        <f t="shared" si="3"/>
        <v>6.9892473118279563E-2</v>
      </c>
      <c r="H9" s="165">
        <f>VLOOKUP($B9,'Data shares'!$C:$FB,66)</f>
        <v>65248800</v>
      </c>
      <c r="I9" s="165">
        <f>VLOOKUP($B9,'Data shares'!$C:$FB,67)</f>
        <v>69455500</v>
      </c>
      <c r="J9" s="81">
        <f t="shared" si="4"/>
        <v>-6.0566837759428696</v>
      </c>
      <c r="K9" s="81">
        <f>VLOOKUP($B9,'Data Vlaue (Cr)'!$C:$FB,99)</f>
        <v>3889</v>
      </c>
      <c r="L9" s="81">
        <f>VLOOKUP(B9,'OI(Value)'!$A$7:$C$209,3,0)</f>
        <v>254</v>
      </c>
      <c r="M9" s="81">
        <f t="shared" si="0"/>
        <v>6.5312419645152993</v>
      </c>
      <c r="N9" s="81">
        <f>VLOOKUP($B9,'Data Vlaue (Cr)'!$C:$FB,67)</f>
        <v>2378</v>
      </c>
      <c r="O9" s="81">
        <f>VLOOKUP($B9,'Data Vlaue (Cr)'!$C:$FB,68)</f>
        <v>2531</v>
      </c>
      <c r="P9" s="81">
        <f t="shared" si="1"/>
        <v>-6.4339781328847767</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1046.4000000000001</v>
      </c>
      <c r="D10" s="82">
        <f>VLOOKUP($B10,'Data shares'!$C:$FB,98)</f>
        <v>22275675</v>
      </c>
      <c r="E10" s="165">
        <f>VLOOKUP(B10,'Snapshot (Volume)'!$A$7:$G$168,7,0)</f>
        <v>20361375</v>
      </c>
      <c r="F10" s="165">
        <f t="shared" si="2"/>
        <v>1914300</v>
      </c>
      <c r="G10" s="166">
        <f t="shared" si="3"/>
        <v>9.4016243991380741E-2</v>
      </c>
      <c r="H10" s="165">
        <f>VLOOKUP($B10,'Data shares'!$C:$FB,66)</f>
        <v>24291225</v>
      </c>
      <c r="I10" s="165">
        <f>VLOOKUP($B10,'Data shares'!$C:$FB,67)</f>
        <v>4690575</v>
      </c>
      <c r="J10" s="81">
        <f t="shared" si="4"/>
        <v>417.87307526262776</v>
      </c>
      <c r="K10" s="5">
        <f>VLOOKUP($B10,'Data Vlaue (Cr)'!$C:$FB,99)</f>
        <v>2347</v>
      </c>
      <c r="L10" s="81">
        <f>VLOOKUP(B10,'OI(Value)'!$A$7:$C$209,3,0)</f>
        <v>202</v>
      </c>
      <c r="M10" s="33">
        <f t="shared" si="0"/>
        <v>8.6067319982956967</v>
      </c>
      <c r="N10" s="5">
        <f>VLOOKUP($B10,'Data Vlaue (Cr)'!$C:$FB,67)</f>
        <v>2559</v>
      </c>
      <c r="O10" s="5">
        <f>VLOOKUP($B10,'Data Vlaue (Cr)'!$C:$FB,68)</f>
        <v>494</v>
      </c>
      <c r="P10" s="5">
        <f t="shared" si="1"/>
        <v>80.695584212583043</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2260</v>
      </c>
      <c r="D11" s="82">
        <f>VLOOKUP($B11,'Data shares'!$C:$FB,98)</f>
        <v>33055275</v>
      </c>
      <c r="E11" s="165">
        <f>VLOOKUP(B11,'Snapshot (Volume)'!$A$7:$G$168,7,0)</f>
        <v>32231172</v>
      </c>
      <c r="F11" s="165">
        <f t="shared" si="2"/>
        <v>824103</v>
      </c>
      <c r="G11" s="166">
        <f t="shared" si="3"/>
        <v>2.5568508647467118E-2</v>
      </c>
      <c r="H11" s="165">
        <f>VLOOKUP($B11,'Data shares'!$C:$FB,66)</f>
        <v>17289477</v>
      </c>
      <c r="I11" s="165">
        <f>VLOOKUP($B11,'Data shares'!$C:$FB,67)</f>
        <v>10013145</v>
      </c>
      <c r="J11" s="81">
        <f t="shared" si="4"/>
        <v>72.667798179293314</v>
      </c>
      <c r="K11" s="5">
        <f>VLOOKUP($B11,'Data Vlaue (Cr)'!$C:$FB,99)</f>
        <v>7510</v>
      </c>
      <c r="L11" s="81">
        <f>VLOOKUP(B11,'OI(Value)'!$A$7:$C$209,3,0)</f>
        <v>187</v>
      </c>
      <c r="M11" s="33">
        <f t="shared" si="0"/>
        <v>2.4900133155792274</v>
      </c>
      <c r="N11" s="5">
        <f>VLOOKUP($B11,'Data Vlaue (Cr)'!$C:$FB,67)</f>
        <v>3928</v>
      </c>
      <c r="O11" s="5">
        <f>VLOOKUP($B11,'Data Vlaue (Cr)'!$C:$FB,68)</f>
        <v>2275</v>
      </c>
      <c r="P11" s="5">
        <f t="shared" si="1"/>
        <v>42.082484725050918</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1025.9000000000001</v>
      </c>
      <c r="D12" s="82">
        <f>VLOOKUP($B12,'Data shares'!$C:$FB,98)</f>
        <v>34424400</v>
      </c>
      <c r="E12" s="165">
        <f>VLOOKUP(B12,'Snapshot (Volume)'!$A$7:$G$168,7,0)</f>
        <v>32063400</v>
      </c>
      <c r="F12" s="165">
        <f t="shared" si="2"/>
        <v>2361000</v>
      </c>
      <c r="G12" s="166">
        <f t="shared" si="3"/>
        <v>7.363535994311271E-2</v>
      </c>
      <c r="H12" s="165">
        <f>VLOOKUP($B12,'Data shares'!$C:$FB,66)</f>
        <v>22438200</v>
      </c>
      <c r="I12" s="165">
        <f>VLOOKUP($B12,'Data shares'!$C:$FB,67)</f>
        <v>5914200</v>
      </c>
      <c r="J12" s="81">
        <f t="shared" si="4"/>
        <v>279.3953535558486</v>
      </c>
      <c r="K12" s="5">
        <f>VLOOKUP($B12,'Data Vlaue (Cr)'!$C:$FB,99)</f>
        <v>3555</v>
      </c>
      <c r="L12" s="81">
        <f>VLOOKUP(B12,'OI(Value)'!$A$7:$C$209,3,0)</f>
        <v>244</v>
      </c>
      <c r="M12" s="33">
        <f t="shared" si="0"/>
        <v>6.8635724331926866</v>
      </c>
      <c r="N12" s="5">
        <f>VLOOKUP($B12,'Data Vlaue (Cr)'!$C:$FB,67)</f>
        <v>2317</v>
      </c>
      <c r="O12" s="5">
        <f>VLOOKUP($B12,'Data Vlaue (Cr)'!$C:$FB,68)</f>
        <v>611</v>
      </c>
      <c r="P12" s="5">
        <f t="shared" si="1"/>
        <v>73.6296935692706</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1481.1</v>
      </c>
      <c r="D13" s="82">
        <f>VLOOKUP($B13,'Data shares'!$C:$FB,98)</f>
        <v>34128275</v>
      </c>
      <c r="E13" s="165">
        <f>VLOOKUP(B13,'Snapshot (Volume)'!$A$7:$G$168,7,0)</f>
        <v>33376350</v>
      </c>
      <c r="F13" s="165">
        <f t="shared" si="2"/>
        <v>751925</v>
      </c>
      <c r="G13" s="166">
        <f t="shared" si="3"/>
        <v>2.2528676742663591E-2</v>
      </c>
      <c r="H13" s="165">
        <f>VLOOKUP($B13,'Data shares'!$C:$FB,66)</f>
        <v>11915375</v>
      </c>
      <c r="I13" s="165">
        <f>VLOOKUP($B13,'Data shares'!$C:$FB,67)</f>
        <v>10770625</v>
      </c>
      <c r="J13" s="81">
        <f t="shared" si="4"/>
        <v>10.628445424476297</v>
      </c>
      <c r="K13" s="5">
        <f>VLOOKUP($B13,'Data Vlaue (Cr)'!$C:$FB,99)</f>
        <v>5080</v>
      </c>
      <c r="L13" s="81">
        <f>VLOOKUP(B13,'OI(Value)'!$A$7:$C$209,3,0)</f>
        <v>112</v>
      </c>
      <c r="M13" s="33">
        <f t="shared" si="0"/>
        <v>2.204724409448819</v>
      </c>
      <c r="N13" s="5">
        <f>VLOOKUP($B13,'Data Vlaue (Cr)'!$C:$FB,67)</f>
        <v>1774</v>
      </c>
      <c r="O13" s="5">
        <f>VLOOKUP($B13,'Data Vlaue (Cr)'!$C:$FB,68)</f>
        <v>1603</v>
      </c>
      <c r="P13" s="5">
        <f t="shared" si="1"/>
        <v>9.6392333709131908</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5463.5</v>
      </c>
      <c r="D14" s="82">
        <f>VLOOKUP($B14,'Data shares'!$C:$FB,98)</f>
        <v>1703000</v>
      </c>
      <c r="E14" s="165">
        <f>VLOOKUP(B14,'Snapshot (Volume)'!$A$7:$G$168,7,0)</f>
        <v>1636375</v>
      </c>
      <c r="F14" s="165">
        <f t="shared" si="2"/>
        <v>66625</v>
      </c>
      <c r="G14" s="166">
        <f t="shared" si="3"/>
        <v>4.0714995034756701E-2</v>
      </c>
      <c r="H14" s="165">
        <f>VLOOKUP($B14,'Data shares'!$C:$FB,66)</f>
        <v>621125</v>
      </c>
      <c r="I14" s="165">
        <f>VLOOKUP($B14,'Data shares'!$C:$FB,67)</f>
        <v>243500</v>
      </c>
      <c r="J14" s="81">
        <f t="shared" si="4"/>
        <v>155.08213552361397</v>
      </c>
      <c r="K14" s="5">
        <f>VLOOKUP($B14,'Data Vlaue (Cr)'!$C:$FB,99)</f>
        <v>934</v>
      </c>
      <c r="L14" s="81">
        <f>VLOOKUP(B14,'OI(Value)'!$A$7:$C$209,3,0)</f>
        <v>37</v>
      </c>
      <c r="M14" s="33">
        <f t="shared" si="0"/>
        <v>3.9614561027837261</v>
      </c>
      <c r="N14" s="5">
        <f>VLOOKUP($B14,'Data Vlaue (Cr)'!$C:$FB,67)</f>
        <v>341</v>
      </c>
      <c r="O14" s="5">
        <f>VLOOKUP($B14,'Data Vlaue (Cr)'!$C:$FB,68)</f>
        <v>134</v>
      </c>
      <c r="P14" s="5">
        <f t="shared" si="1"/>
        <v>60.703812316715542</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6447.5</v>
      </c>
      <c r="D15" s="82">
        <f>VLOOKUP($B15,'Data shares'!$C:$FB,98)</f>
        <v>1510400</v>
      </c>
      <c r="E15" s="165">
        <f>VLOOKUP(B15,'Snapshot (Volume)'!$A$7:$G$168,7,0)</f>
        <v>1471500</v>
      </c>
      <c r="F15" s="165">
        <f t="shared" si="2"/>
        <v>38900</v>
      </c>
      <c r="G15" s="166">
        <f t="shared" si="3"/>
        <v>2.6435609921848454E-2</v>
      </c>
      <c r="H15" s="165">
        <f>VLOOKUP($B15,'Data shares'!$C:$FB,66)</f>
        <v>494100</v>
      </c>
      <c r="I15" s="165">
        <f>VLOOKUP($B15,'Data shares'!$C:$FB,67)</f>
        <v>1196000</v>
      </c>
      <c r="J15" s="81">
        <f t="shared" si="4"/>
        <v>-58.687290969899664</v>
      </c>
      <c r="K15" s="5">
        <f>VLOOKUP($B15,'Data Vlaue (Cr)'!$C:$FB,99)</f>
        <v>973</v>
      </c>
      <c r="L15" s="81">
        <f>VLOOKUP(B15,'OI(Value)'!$A$7:$C$209,3,0)</f>
        <v>25</v>
      </c>
      <c r="M15" s="33">
        <f t="shared" si="0"/>
        <v>2.5693730729701953</v>
      </c>
      <c r="N15" s="5">
        <f>VLOOKUP($B15,'Data Vlaue (Cr)'!$C:$FB,67)</f>
        <v>318</v>
      </c>
      <c r="O15" s="5">
        <f>VLOOKUP($B15,'Data Vlaue (Cr)'!$C:$FB,68)</f>
        <v>771</v>
      </c>
      <c r="P15" s="5">
        <f t="shared" si="1"/>
        <v>-142.45283018867926</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559.65</v>
      </c>
      <c r="D16" s="82">
        <f>VLOOKUP($B16,'Data shares'!$C:$FB,98)</f>
        <v>71451450</v>
      </c>
      <c r="E16" s="165">
        <f>VLOOKUP(B16,'Snapshot (Volume)'!$A$7:$G$168,7,0)</f>
        <v>70132650</v>
      </c>
      <c r="F16" s="165">
        <f t="shared" si="2"/>
        <v>1318800</v>
      </c>
      <c r="G16" s="166">
        <f t="shared" si="3"/>
        <v>1.8804365726947436E-2</v>
      </c>
      <c r="H16" s="165">
        <f>VLOOKUP($B16,'Data shares'!$C:$FB,66)</f>
        <v>15740550</v>
      </c>
      <c r="I16" s="165">
        <f>VLOOKUP($B16,'Data shares'!$C:$FB,67)</f>
        <v>12795300</v>
      </c>
      <c r="J16" s="81">
        <f t="shared" si="4"/>
        <v>23.018217626784836</v>
      </c>
      <c r="K16" s="5">
        <f>VLOOKUP($B16,'Data Vlaue (Cr)'!$C:$FB,99)</f>
        <v>4025</v>
      </c>
      <c r="L16" s="81">
        <f>VLOOKUP(B16,'OI(Value)'!$A$7:$C$209,3,0)</f>
        <v>74</v>
      </c>
      <c r="M16" s="33">
        <f t="shared" si="0"/>
        <v>1.8385093167701865</v>
      </c>
      <c r="N16" s="5">
        <f>VLOOKUP($B16,'Data Vlaue (Cr)'!$C:$FB,67)</f>
        <v>887</v>
      </c>
      <c r="O16" s="5">
        <f>VLOOKUP($B16,'Data Vlaue (Cr)'!$C:$FB,68)</f>
        <v>721</v>
      </c>
      <c r="P16" s="5">
        <f t="shared" si="1"/>
        <v>18.714768883878243</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2362.8000000000002</v>
      </c>
      <c r="D17" s="82">
        <f>VLOOKUP($B17,'Data shares'!$C:$FB,98)</f>
        <v>7425750</v>
      </c>
      <c r="E17" s="165">
        <f>VLOOKUP(B17,'Snapshot (Volume)'!$A$7:$G$168,7,0)</f>
        <v>7167250</v>
      </c>
      <c r="F17" s="165">
        <f t="shared" si="2"/>
        <v>258500</v>
      </c>
      <c r="G17" s="166">
        <f t="shared" si="3"/>
        <v>3.6066831769507132E-2</v>
      </c>
      <c r="H17" s="165">
        <f>VLOOKUP($B17,'Data shares'!$C:$FB,66)</f>
        <v>3850000</v>
      </c>
      <c r="I17" s="165">
        <f>VLOOKUP($B17,'Data shares'!$C:$FB,67)</f>
        <v>6007500</v>
      </c>
      <c r="J17" s="81">
        <f t="shared" si="4"/>
        <v>-35.91344153141906</v>
      </c>
      <c r="K17" s="5">
        <f>VLOOKUP($B17,'Data Vlaue (Cr)'!$C:$FB,99)</f>
        <v>1757</v>
      </c>
      <c r="L17" s="81">
        <f>VLOOKUP(B17,'OI(Value)'!$A$7:$C$209,3,0)</f>
        <v>61</v>
      </c>
      <c r="M17" s="33">
        <f t="shared" si="0"/>
        <v>3.4718269778030733</v>
      </c>
      <c r="N17" s="5">
        <f>VLOOKUP($B17,'Data Vlaue (Cr)'!$C:$FB,67)</f>
        <v>911</v>
      </c>
      <c r="O17" s="5">
        <f>VLOOKUP($B17,'Data Vlaue (Cr)'!$C:$FB,68)</f>
        <v>1422</v>
      </c>
      <c r="P17" s="5">
        <f t="shared" si="1"/>
        <v>-56.09220636663008</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1970</v>
      </c>
      <c r="D18" s="82">
        <f>VLOOKUP($B18,'Data shares'!$C:$FB,98)</f>
        <v>11552450</v>
      </c>
      <c r="E18" s="165">
        <f>VLOOKUP(B18,'Snapshot (Volume)'!$A$7:$G$168,7,0)</f>
        <v>9942450</v>
      </c>
      <c r="F18" s="165">
        <f t="shared" si="2"/>
        <v>1610000</v>
      </c>
      <c r="G18" s="166">
        <f t="shared" si="3"/>
        <v>0.16193191818917874</v>
      </c>
      <c r="H18" s="165">
        <f>VLOOKUP($B18,'Data shares'!$C:$FB,66)</f>
        <v>12068350</v>
      </c>
      <c r="I18" s="165">
        <f>VLOOKUP($B18,'Data shares'!$C:$FB,67)</f>
        <v>2722300</v>
      </c>
      <c r="J18" s="81">
        <f t="shared" si="4"/>
        <v>343.31447672923628</v>
      </c>
      <c r="K18" s="5">
        <f>VLOOKUP($B18,'Data Vlaue (Cr)'!$C:$FB,99)</f>
        <v>2291</v>
      </c>
      <c r="L18" s="81">
        <f>VLOOKUP(B18,'OI(Value)'!$A$7:$C$209,3,0)</f>
        <v>319</v>
      </c>
      <c r="M18" s="33">
        <f t="shared" si="0"/>
        <v>13.924050632911392</v>
      </c>
      <c r="N18" s="5">
        <f>VLOOKUP($B18,'Data Vlaue (Cr)'!$C:$FB,67)</f>
        <v>2393</v>
      </c>
      <c r="O18" s="5">
        <f>VLOOKUP($B18,'Data Vlaue (Cr)'!$C:$FB,68)</f>
        <v>540</v>
      </c>
      <c r="P18" s="5">
        <f t="shared" si="1"/>
        <v>77.434183033848726</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7111.5</v>
      </c>
      <c r="D19" s="82">
        <f>VLOOKUP($B19,'Data shares'!$C:$FB,98)</f>
        <v>4625375</v>
      </c>
      <c r="E19" s="165">
        <f>VLOOKUP(B19,'Snapshot (Volume)'!$A$7:$G$168,7,0)</f>
        <v>4522250</v>
      </c>
      <c r="F19" s="165">
        <f t="shared" si="2"/>
        <v>103125</v>
      </c>
      <c r="G19" s="166">
        <f t="shared" si="3"/>
        <v>2.2803913980872354E-2</v>
      </c>
      <c r="H19" s="165">
        <f>VLOOKUP($B19,'Data shares'!$C:$FB,66)</f>
        <v>1872250</v>
      </c>
      <c r="I19" s="165">
        <f>VLOOKUP($B19,'Data shares'!$C:$FB,67)</f>
        <v>2342250</v>
      </c>
      <c r="J19" s="81">
        <f t="shared" si="4"/>
        <v>-20.06617568577223</v>
      </c>
      <c r="K19" s="5">
        <f>VLOOKUP($B19,'Data Vlaue (Cr)'!$C:$FB,99)</f>
        <v>3303</v>
      </c>
      <c r="L19" s="81">
        <f>VLOOKUP(B19,'OI(Value)'!$A$7:$C$209,3,0)</f>
        <v>74</v>
      </c>
      <c r="M19" s="33">
        <f t="shared" si="0"/>
        <v>2.2403875264910686</v>
      </c>
      <c r="N19" s="5">
        <f>VLOOKUP($B19,'Data Vlaue (Cr)'!$C:$FB,67)</f>
        <v>1337</v>
      </c>
      <c r="O19" s="5">
        <f>VLOOKUP($B19,'Data Vlaue (Cr)'!$C:$FB,68)</f>
        <v>1672</v>
      </c>
      <c r="P19" s="5">
        <f t="shared" si="1"/>
        <v>-25.056095736724011</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184.88</v>
      </c>
      <c r="D20" s="82">
        <f>VLOOKUP($B20,'Data shares'!$C:$FB,98)</f>
        <v>269345000</v>
      </c>
      <c r="E20" s="165">
        <f>VLOOKUP(B20,'Snapshot (Volume)'!$A$7:$G$168,7,0)</f>
        <v>232545000</v>
      </c>
      <c r="F20" s="165">
        <f t="shared" si="2"/>
        <v>36800000</v>
      </c>
      <c r="G20" s="166">
        <f t="shared" si="3"/>
        <v>0.15824894106517018</v>
      </c>
      <c r="H20" s="165">
        <f>VLOOKUP($B20,'Data shares'!$C:$FB,66)</f>
        <v>364775000</v>
      </c>
      <c r="I20" s="165">
        <f>VLOOKUP($B20,'Data shares'!$C:$FB,67)</f>
        <v>111615000</v>
      </c>
      <c r="J20" s="81">
        <f t="shared" si="4"/>
        <v>226.81539219638935</v>
      </c>
      <c r="K20" s="5">
        <f>VLOOKUP($B20,'Data Vlaue (Cr)'!$C:$FB,99)</f>
        <v>4903</v>
      </c>
      <c r="L20" s="81">
        <f>VLOOKUP(B20,'OI(Value)'!$A$7:$C$209,3,0)</f>
        <v>670</v>
      </c>
      <c r="M20" s="33">
        <f t="shared" si="0"/>
        <v>13.665102998164388</v>
      </c>
      <c r="N20" s="5">
        <f>VLOOKUP($B20,'Data Vlaue (Cr)'!$C:$FB,67)</f>
        <v>6640</v>
      </c>
      <c r="O20" s="5">
        <f>VLOOKUP($B20,'Data Vlaue (Cr)'!$C:$FB,68)</f>
        <v>2032</v>
      </c>
      <c r="P20" s="5">
        <f t="shared" si="1"/>
        <v>69.397590361445779</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2752</v>
      </c>
      <c r="D21" s="82">
        <f>VLOOKUP($B21,'Data shares'!$C:$FB,98)</f>
        <v>18974000</v>
      </c>
      <c r="E21" s="165">
        <f>VLOOKUP(B21,'Snapshot (Volume)'!$A$7:$G$168,7,0)</f>
        <v>18263500</v>
      </c>
      <c r="F21" s="165">
        <f t="shared" si="2"/>
        <v>710500</v>
      </c>
      <c r="G21" s="166">
        <f t="shared" si="3"/>
        <v>3.8902729487776164E-2</v>
      </c>
      <c r="H21" s="165">
        <f>VLOOKUP($B21,'Data shares'!$C:$FB,66)</f>
        <v>4260750</v>
      </c>
      <c r="I21" s="165">
        <f>VLOOKUP($B21,'Data shares'!$C:$FB,67)</f>
        <v>8232000</v>
      </c>
      <c r="J21" s="81">
        <f t="shared" si="4"/>
        <v>-48.241618075801753</v>
      </c>
      <c r="K21" s="5">
        <f>VLOOKUP($B21,'Data Vlaue (Cr)'!$C:$FB,99)</f>
        <v>5249</v>
      </c>
      <c r="L21" s="81">
        <f>VLOOKUP(B21,'OI(Value)'!$A$7:$C$209,3,0)</f>
        <v>197</v>
      </c>
      <c r="M21" s="33">
        <f t="shared" si="0"/>
        <v>3.7530958277767192</v>
      </c>
      <c r="N21" s="5">
        <f>VLOOKUP($B21,'Data Vlaue (Cr)'!$C:$FB,67)</f>
        <v>1179</v>
      </c>
      <c r="O21" s="5">
        <f>VLOOKUP($B21,'Data Vlaue (Cr)'!$C:$FB,68)</f>
        <v>2277</v>
      </c>
      <c r="P21" s="5">
        <f t="shared" si="1"/>
        <v>-93.129770992366417</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1434.9</v>
      </c>
      <c r="D22" s="82">
        <f>VLOOKUP($B22,'Data shares'!$C:$FB,98)</f>
        <v>11277375</v>
      </c>
      <c r="E22" s="165">
        <f>VLOOKUP(B22,'Snapshot (Volume)'!$A$7:$G$168,7,0)</f>
        <v>11160925</v>
      </c>
      <c r="F22" s="165">
        <f t="shared" si="2"/>
        <v>116450</v>
      </c>
      <c r="G22" s="166">
        <f t="shared" si="3"/>
        <v>1.0433723011309546E-2</v>
      </c>
      <c r="H22" s="165">
        <f>VLOOKUP($B22,'Data shares'!$C:$FB,66)</f>
        <v>10045725</v>
      </c>
      <c r="I22" s="165">
        <f>VLOOKUP($B22,'Data shares'!$C:$FB,67)</f>
        <v>5779575</v>
      </c>
      <c r="J22" s="81">
        <f t="shared" si="4"/>
        <v>73.814251047871167</v>
      </c>
      <c r="K22" s="5">
        <f>VLOOKUP($B22,'Data Vlaue (Cr)'!$C:$FB,99)</f>
        <v>1627</v>
      </c>
      <c r="L22" s="81">
        <f>VLOOKUP(B22,'OI(Value)'!$A$7:$C$209,3,0)</f>
        <v>17</v>
      </c>
      <c r="M22" s="33">
        <f t="shared" si="0"/>
        <v>1.0448678549477566</v>
      </c>
      <c r="N22" s="5">
        <f>VLOOKUP($B22,'Data Vlaue (Cr)'!$C:$FB,67)</f>
        <v>1449</v>
      </c>
      <c r="O22" s="5">
        <f>VLOOKUP($B22,'Data Vlaue (Cr)'!$C:$FB,68)</f>
        <v>834</v>
      </c>
      <c r="P22" s="5">
        <f t="shared" si="1"/>
        <v>42.443064182194618</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999.45</v>
      </c>
      <c r="D23" s="82">
        <f>VLOOKUP($B23,'Data shares'!$C:$FB,98)</f>
        <v>27608000</v>
      </c>
      <c r="E23" s="165">
        <f>VLOOKUP(B23,'Snapshot (Volume)'!$A$7:$G$168,7,0)</f>
        <v>26942000</v>
      </c>
      <c r="F23" s="165">
        <f t="shared" si="2"/>
        <v>666000</v>
      </c>
      <c r="G23" s="166">
        <f t="shared" si="3"/>
        <v>2.4719768391359215E-2</v>
      </c>
      <c r="H23" s="165">
        <f>VLOOKUP($B23,'Data shares'!$C:$FB,66)</f>
        <v>5837000</v>
      </c>
      <c r="I23" s="165">
        <f>VLOOKUP($B23,'Data shares'!$C:$FB,67)</f>
        <v>12277000</v>
      </c>
      <c r="J23" s="81">
        <f>(H23-I23)/I23*100</f>
        <v>-52.455811680377941</v>
      </c>
      <c r="K23" s="5">
        <f>VLOOKUP($B23,'Data Vlaue (Cr)'!$C:$FB,99)</f>
        <v>2769</v>
      </c>
      <c r="L23" s="81">
        <f>VLOOKUP(B23,'OI(Value)'!$A$7:$C$209,3,0)</f>
        <v>67</v>
      </c>
      <c r="M23" s="33">
        <f t="shared" si="0"/>
        <v>2.4196460816179126</v>
      </c>
      <c r="N23" s="5">
        <f>VLOOKUP($B23,'Data Vlaue (Cr)'!$C:$FB,67)</f>
        <v>585</v>
      </c>
      <c r="O23" s="5">
        <f>VLOOKUP($B23,'Data Vlaue (Cr)'!$C:$FB,68)</f>
        <v>1231</v>
      </c>
      <c r="P23" s="5">
        <f t="shared" si="1"/>
        <v>-110.42735042735043</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1193</v>
      </c>
      <c r="D24" s="80">
        <f>VLOOKUP($B24,'Data shares'!$C:$FB,98)</f>
        <v>26674450</v>
      </c>
      <c r="E24" s="165">
        <f>VLOOKUP(B24,'Snapshot (Volume)'!$A$7:$G$168,7,0)</f>
        <v>26024350</v>
      </c>
      <c r="F24" s="165">
        <f t="shared" ref="F24:F36" si="5">D24-E24</f>
        <v>650100</v>
      </c>
      <c r="G24" s="166">
        <f t="shared" ref="G24:G36" si="6">F24/E24</f>
        <v>2.4980451000697422E-2</v>
      </c>
      <c r="H24" s="165">
        <f>VLOOKUP($B24,'Data shares'!$C:$FB,66)</f>
        <v>6114900</v>
      </c>
      <c r="I24" s="165">
        <f>VLOOKUP($B24,'Data shares'!$C:$FB,67)</f>
        <v>7237450</v>
      </c>
      <c r="J24" s="81">
        <f t="shared" ref="J24:J36" si="7">(H24-I24)/I24*100</f>
        <v>-15.510297135040657</v>
      </c>
      <c r="K24" s="81">
        <f>VLOOKUP($B24,'Data Vlaue (Cr)'!$C:$FB,99)</f>
        <v>3200</v>
      </c>
      <c r="L24" s="81">
        <f>VLOOKUP(B24,'OI(Value)'!$A$7:$C$209,3,0)</f>
        <v>78</v>
      </c>
      <c r="M24" s="81">
        <f t="shared" si="0"/>
        <v>2.4375</v>
      </c>
      <c r="N24" s="81">
        <f>VLOOKUP($B24,'Data Vlaue (Cr)'!$C:$FB,67)</f>
        <v>734</v>
      </c>
      <c r="O24" s="81">
        <f>VLOOKUP($B24,'Data Vlaue (Cr)'!$C:$FB,68)</f>
        <v>868</v>
      </c>
      <c r="P24" s="81">
        <f t="shared" ref="P24:P36" si="8">(N24-O24)/N24*100</f>
        <v>-18.256130790190735</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1274.4000000000001</v>
      </c>
      <c r="D25" s="82">
        <f>VLOOKUP($B25,'Data shares'!$C:$FB,98)</f>
        <v>98046875</v>
      </c>
      <c r="E25" s="165">
        <f>VLOOKUP(B25,'Snapshot (Volume)'!$A$7:$G$168,7,0)</f>
        <v>95950625</v>
      </c>
      <c r="F25" s="165">
        <f t="shared" si="5"/>
        <v>2096250</v>
      </c>
      <c r="G25" s="166">
        <f t="shared" si="6"/>
        <v>2.1847174002253764E-2</v>
      </c>
      <c r="H25" s="165">
        <f>VLOOKUP($B25,'Data shares'!$C:$FB,66)</f>
        <v>23614375</v>
      </c>
      <c r="I25" s="165">
        <f>VLOOKUP($B25,'Data shares'!$C:$FB,67)</f>
        <v>50955625</v>
      </c>
      <c r="J25" s="81">
        <f t="shared" si="7"/>
        <v>-53.656980951563249</v>
      </c>
      <c r="K25" s="5">
        <f>VLOOKUP($B25,'Data Vlaue (Cr)'!$C:$FB,99)</f>
        <v>12541</v>
      </c>
      <c r="L25" s="81">
        <f>VLOOKUP(B25,'OI(Value)'!$A$7:$C$209,3,0)</f>
        <v>268</v>
      </c>
      <c r="M25" s="33">
        <f t="shared" si="0"/>
        <v>2.1369906706004302</v>
      </c>
      <c r="N25" s="5">
        <f>VLOOKUP($B25,'Data Vlaue (Cr)'!$C:$FB,67)</f>
        <v>3021</v>
      </c>
      <c r="O25" s="5">
        <f>VLOOKUP($B25,'Data Vlaue (Cr)'!$C:$FB,68)</f>
        <v>6518</v>
      </c>
      <c r="P25" s="5">
        <f t="shared" si="8"/>
        <v>-115.75637206223104</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9558</v>
      </c>
      <c r="D26" s="82">
        <f>VLOOKUP($B26,'Data shares'!$C:$FB,98)</f>
        <v>5102400</v>
      </c>
      <c r="E26" s="165">
        <f>VLOOKUP(B26,'Snapshot (Volume)'!$A$7:$G$168,7,0)</f>
        <v>4612050</v>
      </c>
      <c r="F26" s="165">
        <f t="shared" si="5"/>
        <v>490350</v>
      </c>
      <c r="G26" s="166">
        <f t="shared" si="6"/>
        <v>0.1063193157055973</v>
      </c>
      <c r="H26" s="165">
        <f>VLOOKUP($B26,'Data shares'!$C:$FB,66)</f>
        <v>6875100</v>
      </c>
      <c r="I26" s="165">
        <f>VLOOKUP($B26,'Data shares'!$C:$FB,67)</f>
        <v>5355825</v>
      </c>
      <c r="J26" s="81">
        <f t="shared" si="7"/>
        <v>28.366778227443952</v>
      </c>
      <c r="K26" s="5">
        <f>VLOOKUP($B26,'Data Vlaue (Cr)'!$C:$FB,99)</f>
        <v>4904</v>
      </c>
      <c r="L26" s="81">
        <f>VLOOKUP(B26,'OI(Value)'!$A$7:$C$209,3,0)</f>
        <v>471</v>
      </c>
      <c r="M26" s="33">
        <f t="shared" si="0"/>
        <v>9.6044045676998362</v>
      </c>
      <c r="N26" s="5">
        <f>VLOOKUP($B26,'Data Vlaue (Cr)'!$C:$FB,67)</f>
        <v>6608</v>
      </c>
      <c r="O26" s="5">
        <f>VLOOKUP($B26,'Data Vlaue (Cr)'!$C:$FB,68)</f>
        <v>5147</v>
      </c>
      <c r="P26" s="5">
        <f t="shared" si="8"/>
        <v>22.109564164648909</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2037</v>
      </c>
      <c r="D27" s="82">
        <f>VLOOKUP($B27,'Data shares'!$C:$FB,98)</f>
        <v>23363000</v>
      </c>
      <c r="E27" s="165">
        <f>VLOOKUP(B27,'Snapshot (Volume)'!$A$7:$G$168,7,0)</f>
        <v>22793000</v>
      </c>
      <c r="F27" s="165">
        <f t="shared" si="5"/>
        <v>570000</v>
      </c>
      <c r="G27" s="166">
        <f t="shared" si="6"/>
        <v>2.5007677795814504E-2</v>
      </c>
      <c r="H27" s="165">
        <f>VLOOKUP($B27,'Data shares'!$C:$FB,66)</f>
        <v>3476000</v>
      </c>
      <c r="I27" s="165">
        <f>VLOOKUP($B27,'Data shares'!$C:$FB,67)</f>
        <v>7206250</v>
      </c>
      <c r="J27" s="81">
        <f t="shared" si="7"/>
        <v>-51.764093668690371</v>
      </c>
      <c r="K27" s="5">
        <f>VLOOKUP($B27,'Data Vlaue (Cr)'!$C:$FB,99)</f>
        <v>4777</v>
      </c>
      <c r="L27" s="81">
        <f>VLOOKUP(B27,'OI(Value)'!$A$7:$C$209,3,0)</f>
        <v>117</v>
      </c>
      <c r="M27" s="33">
        <f t="shared" si="0"/>
        <v>2.4492359221268578</v>
      </c>
      <c r="N27" s="5">
        <f>VLOOKUP($B27,'Data Vlaue (Cr)'!$C:$FB,67)</f>
        <v>711</v>
      </c>
      <c r="O27" s="5">
        <f>VLOOKUP($B27,'Data Vlaue (Cr)'!$C:$FB,68)</f>
        <v>1473</v>
      </c>
      <c r="P27" s="5">
        <f t="shared" si="8"/>
        <v>-107.17299578059072</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Others</v>
      </c>
      <c r="B28" s="79" t="str">
        <f>'Data shares'!C23</f>
        <v>BAJAJHLDNG</v>
      </c>
      <c r="C28" s="4">
        <f>VLOOKUP($B28,'Data shares'!$C:$FB,7)</f>
        <v>11342</v>
      </c>
      <c r="D28" s="82">
        <f>VLOOKUP($B28,'Data shares'!$C:$FB,98)</f>
        <v>110650</v>
      </c>
      <c r="E28" s="165">
        <f>VLOOKUP(B28,'Snapshot (Volume)'!$A$7:$G$168,7,0)</f>
        <v>86050</v>
      </c>
      <c r="F28" s="165">
        <f t="shared" si="5"/>
        <v>24600</v>
      </c>
      <c r="G28" s="166">
        <f t="shared" si="6"/>
        <v>0.28588030214991283</v>
      </c>
      <c r="H28" s="165">
        <f>VLOOKUP($B28,'Data shares'!$C:$FB,66)</f>
        <v>102750</v>
      </c>
      <c r="I28" s="165">
        <f>VLOOKUP($B28,'Data shares'!$C:$FB,67)</f>
        <v>251550</v>
      </c>
      <c r="J28" s="81">
        <f t="shared" si="7"/>
        <v>-59.153249850924269</v>
      </c>
      <c r="K28" s="5">
        <f>VLOOKUP($B28,'Data Vlaue (Cr)'!$C:$FB,99)</f>
        <v>126</v>
      </c>
      <c r="L28" s="81">
        <f>VLOOKUP(B28,'OI(Value)'!$A$7:$C$209,3,0)</f>
        <v>28</v>
      </c>
      <c r="M28" s="33">
        <f t="shared" si="0"/>
        <v>22.222222222222221</v>
      </c>
      <c r="N28" s="5">
        <f>VLOOKUP($B28,'Data Vlaue (Cr)'!$C:$FB,67)</f>
        <v>117</v>
      </c>
      <c r="O28" s="5">
        <f>VLOOKUP($B28,'Data Vlaue (Cr)'!$C:$FB,68)</f>
        <v>287</v>
      </c>
      <c r="P28" s="5">
        <f t="shared" si="8"/>
        <v>-145.29914529914529</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Finance</v>
      </c>
      <c r="B29" s="79" t="str">
        <f>'Data shares'!C24</f>
        <v>BAJFINANCE</v>
      </c>
      <c r="C29" s="4">
        <f>VLOOKUP($B29,'Data shares'!$C:$FB,7)</f>
        <v>973.1</v>
      </c>
      <c r="D29" s="82">
        <f>VLOOKUP($B29,'Data shares'!$C:$FB,98)</f>
        <v>133674000</v>
      </c>
      <c r="E29" s="165">
        <f>VLOOKUP(B29,'Snapshot (Volume)'!$A$7:$G$168,7,0)</f>
        <v>125130750</v>
      </c>
      <c r="F29" s="165">
        <f t="shared" si="5"/>
        <v>8543250</v>
      </c>
      <c r="G29" s="166">
        <f t="shared" si="6"/>
        <v>6.8274584784315612E-2</v>
      </c>
      <c r="H29" s="165">
        <f>VLOOKUP($B29,'Data shares'!$C:$FB,66)</f>
        <v>37766250</v>
      </c>
      <c r="I29" s="165">
        <f>VLOOKUP($B29,'Data shares'!$C:$FB,67)</f>
        <v>53538750</v>
      </c>
      <c r="J29" s="81">
        <f t="shared" si="7"/>
        <v>-29.459970582055057</v>
      </c>
      <c r="K29" s="5">
        <f>VLOOKUP($B29,'Data Vlaue (Cr)'!$C:$FB,99)</f>
        <v>13099</v>
      </c>
      <c r="L29" s="81">
        <f>VLOOKUP(B29,'OI(Value)'!$A$7:$C$209,3,0)</f>
        <v>837</v>
      </c>
      <c r="M29" s="33">
        <f t="shared" si="0"/>
        <v>6.3898007481487138</v>
      </c>
      <c r="N29" s="5">
        <f>VLOOKUP($B29,'Data Vlaue (Cr)'!$C:$FB,67)</f>
        <v>3701</v>
      </c>
      <c r="O29" s="5">
        <f>VLOOKUP($B29,'Data Vlaue (Cr)'!$C:$FB,68)</f>
        <v>5246</v>
      </c>
      <c r="P29" s="5">
        <f t="shared" si="8"/>
        <v>-41.745474196163201</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BANDHANBNK</v>
      </c>
      <c r="C30" s="4">
        <f>VLOOKUP($B30,'Data shares'!$C:$FB,7)</f>
        <v>144.18</v>
      </c>
      <c r="D30" s="82">
        <f>VLOOKUP($B30,'Data shares'!$C:$FB,98)</f>
        <v>167720400</v>
      </c>
      <c r="E30" s="165">
        <f>VLOOKUP(B30,'Snapshot (Volume)'!$A$7:$G$168,7,0)</f>
        <v>163008000</v>
      </c>
      <c r="F30" s="165">
        <f t="shared" si="5"/>
        <v>4712400</v>
      </c>
      <c r="G30" s="166">
        <f t="shared" si="6"/>
        <v>2.8909010600706712E-2</v>
      </c>
      <c r="H30" s="165">
        <f>VLOOKUP($B30,'Data shares'!$C:$FB,66)</f>
        <v>27399600</v>
      </c>
      <c r="I30" s="165">
        <f>VLOOKUP($B30,'Data shares'!$C:$FB,67)</f>
        <v>32414400</v>
      </c>
      <c r="J30" s="81">
        <f t="shared" si="7"/>
        <v>-15.470901821412705</v>
      </c>
      <c r="K30" s="5">
        <f>VLOOKUP($B30,'Data Vlaue (Cr)'!$C:$FB,99)</f>
        <v>2434</v>
      </c>
      <c r="L30" s="81">
        <f>VLOOKUP(B30,'OI(Value)'!$A$7:$C$209,3,0)</f>
        <v>68</v>
      </c>
      <c r="M30" s="33">
        <f t="shared" si="0"/>
        <v>2.7937551355792936</v>
      </c>
      <c r="N30" s="5">
        <f>VLOOKUP($B30,'Data Vlaue (Cr)'!$C:$FB,67)</f>
        <v>398</v>
      </c>
      <c r="O30" s="5">
        <f>VLOOKUP($B30,'Data Vlaue (Cr)'!$C:$FB,68)</f>
        <v>470</v>
      </c>
      <c r="P30" s="5">
        <f t="shared" si="8"/>
        <v>-18.090452261306535</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BANKBARODA</v>
      </c>
      <c r="C31" s="4">
        <f>VLOOKUP($B31,'Data shares'!$C:$FB,7)</f>
        <v>300.75</v>
      </c>
      <c r="D31" s="82">
        <f>VLOOKUP($B31,'Data shares'!$C:$FB,98)</f>
        <v>134745975</v>
      </c>
      <c r="E31" s="165">
        <f>VLOOKUP(B31,'Snapshot (Volume)'!$A$7:$G$168,7,0)</f>
        <v>122914350</v>
      </c>
      <c r="F31" s="165">
        <f t="shared" si="5"/>
        <v>11831625</v>
      </c>
      <c r="G31" s="166">
        <f t="shared" si="6"/>
        <v>9.6259102374946462E-2</v>
      </c>
      <c r="H31" s="165">
        <f>VLOOKUP($B31,'Data shares'!$C:$FB,66)</f>
        <v>120744000</v>
      </c>
      <c r="I31" s="165">
        <f>VLOOKUP($B31,'Data shares'!$C:$FB,67)</f>
        <v>105063075</v>
      </c>
      <c r="J31" s="81">
        <f t="shared" si="7"/>
        <v>14.925248475737074</v>
      </c>
      <c r="K31" s="5">
        <f>VLOOKUP($B31,'Data Vlaue (Cr)'!$C:$FB,99)</f>
        <v>4081</v>
      </c>
      <c r="L31" s="81">
        <f>VLOOKUP(B31,'OI(Value)'!$A$7:$C$209,3,0)</f>
        <v>358</v>
      </c>
      <c r="M31" s="33">
        <f t="shared" si="0"/>
        <v>8.7723597157559432</v>
      </c>
      <c r="N31" s="5">
        <f>VLOOKUP($B31,'Data Vlaue (Cr)'!$C:$FB,67)</f>
        <v>3657</v>
      </c>
      <c r="O31" s="5">
        <f>VLOOKUP($B31,'Data Vlaue (Cr)'!$C:$FB,68)</f>
        <v>3182</v>
      </c>
      <c r="P31" s="5">
        <f t="shared" si="8"/>
        <v>12.988788624555648</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Banking</v>
      </c>
      <c r="B32" s="79" t="str">
        <f>'Data shares'!C27</f>
        <v>BANKINDIA</v>
      </c>
      <c r="C32" s="4">
        <f>VLOOKUP($B32,'Data shares'!$C:$FB,7)</f>
        <v>146.99</v>
      </c>
      <c r="D32" s="82">
        <f>VLOOKUP($B32,'Data shares'!$C:$FB,98)</f>
        <v>71957600</v>
      </c>
      <c r="E32" s="165">
        <f>VLOOKUP(B32,'Snapshot (Volume)'!$A$7:$G$168,7,0)</f>
        <v>71141200</v>
      </c>
      <c r="F32" s="165">
        <f t="shared" si="5"/>
        <v>816400</v>
      </c>
      <c r="G32" s="166">
        <f t="shared" si="6"/>
        <v>1.1475769315108545E-2</v>
      </c>
      <c r="H32" s="165">
        <f>VLOOKUP($B32,'Data shares'!$C:$FB,66)</f>
        <v>32448000</v>
      </c>
      <c r="I32" s="165">
        <f>VLOOKUP($B32,'Data shares'!$C:$FB,67)</f>
        <v>38079600</v>
      </c>
      <c r="J32" s="81">
        <f t="shared" si="7"/>
        <v>-14.789020893076607</v>
      </c>
      <c r="K32" s="5">
        <f>VLOOKUP($B32,'Data Vlaue (Cr)'!$C:$FB,99)</f>
        <v>1065</v>
      </c>
      <c r="L32" s="81">
        <f>VLOOKUP(B32,'OI(Value)'!$A$7:$C$209,3,0)</f>
        <v>12</v>
      </c>
      <c r="M32" s="33">
        <f t="shared" si="0"/>
        <v>1.1267605633802817</v>
      </c>
      <c r="N32" s="5">
        <f>VLOOKUP($B32,'Data Vlaue (Cr)'!$C:$FB,67)</f>
        <v>480</v>
      </c>
      <c r="O32" s="5">
        <f>VLOOKUP($B32,'Data Vlaue (Cr)'!$C:$FB,68)</f>
        <v>564</v>
      </c>
      <c r="P32" s="5">
        <f t="shared" si="8"/>
        <v>-17.5</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Index</v>
      </c>
      <c r="B33" s="79" t="str">
        <f>'Data shares'!C28</f>
        <v>BANKNIFTY</v>
      </c>
      <c r="C33" s="4">
        <f>VLOOKUP($B33,'Data shares'!$C:$FB,7)</f>
        <v>59711.55</v>
      </c>
      <c r="D33" s="82">
        <f>VLOOKUP($B33,'Data shares'!$C:$FB,98)</f>
        <v>23044375</v>
      </c>
      <c r="E33" s="165">
        <f>VLOOKUP(B33,'Snapshot (Volume)'!$A$7:$G$168,7,0)</f>
        <v>21315325</v>
      </c>
      <c r="F33" s="165">
        <f t="shared" si="5"/>
        <v>1729050</v>
      </c>
      <c r="G33" s="166">
        <f t="shared" si="6"/>
        <v>8.1117693490481618E-2</v>
      </c>
      <c r="H33" s="165">
        <f>VLOOKUP($B33,'Data shares'!$C:$FB,66)</f>
        <v>32022390</v>
      </c>
      <c r="I33" s="165">
        <f>VLOOKUP($B33,'Data shares'!$C:$FB,67)</f>
        <v>60525180</v>
      </c>
      <c r="J33" s="81">
        <f t="shared" si="7"/>
        <v>-47.09244978701426</v>
      </c>
      <c r="K33" s="5">
        <f>VLOOKUP($B33,'Data Vlaue (Cr)'!$C:$FB,99)</f>
        <v>138164</v>
      </c>
      <c r="L33" s="81">
        <f>VLOOKUP(B33,'OI(Value)'!$A$7:$C$209,3,0)</f>
        <v>10367</v>
      </c>
      <c r="M33" s="33">
        <f t="shared" si="0"/>
        <v>7.5034017544367559</v>
      </c>
      <c r="N33" s="5">
        <f>VLOOKUP($B33,'Data Vlaue (Cr)'!$C:$FB,67)</f>
        <v>191992</v>
      </c>
      <c r="O33" s="5">
        <f>VLOOKUP($B33,'Data Vlaue (Cr)'!$C:$FB,68)</f>
        <v>362882</v>
      </c>
      <c r="P33" s="5">
        <f t="shared" si="8"/>
        <v>-89.008917038209916</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BDL</v>
      </c>
      <c r="C34" s="4">
        <f>VLOOKUP($B34,'Data shares'!$C:$FB,7)</f>
        <v>1481.5</v>
      </c>
      <c r="D34" s="82">
        <f>VLOOKUP($B34,'Data shares'!$C:$FB,98)</f>
        <v>10358250</v>
      </c>
      <c r="E34" s="165">
        <f>VLOOKUP(B34,'Snapshot (Volume)'!$A$7:$G$168,7,0)</f>
        <v>10261650</v>
      </c>
      <c r="F34" s="165">
        <f t="shared" si="5"/>
        <v>96600</v>
      </c>
      <c r="G34" s="166">
        <f t="shared" si="6"/>
        <v>9.4136907807223988E-3</v>
      </c>
      <c r="H34" s="165">
        <f>VLOOKUP($B34,'Data shares'!$C:$FB,66)</f>
        <v>5574800</v>
      </c>
      <c r="I34" s="165">
        <f>VLOOKUP($B34,'Data shares'!$C:$FB,67)</f>
        <v>5031950</v>
      </c>
      <c r="J34" s="81">
        <f t="shared" si="7"/>
        <v>10.788064269319051</v>
      </c>
      <c r="K34" s="5">
        <f>VLOOKUP($B34,'Data Vlaue (Cr)'!$C:$FB,99)</f>
        <v>1540</v>
      </c>
      <c r="L34" s="81">
        <f>VLOOKUP(B34,'OI(Value)'!$A$7:$C$209,3,0)</f>
        <v>14</v>
      </c>
      <c r="M34" s="33">
        <f t="shared" si="0"/>
        <v>0.90909090909090906</v>
      </c>
      <c r="N34" s="5">
        <f>VLOOKUP($B34,'Data Vlaue (Cr)'!$C:$FB,67)</f>
        <v>829</v>
      </c>
      <c r="O34" s="5">
        <f>VLOOKUP($B34,'Data Vlaue (Cr)'!$C:$FB,68)</f>
        <v>748</v>
      </c>
      <c r="P34" s="5">
        <f t="shared" si="8"/>
        <v>9.7708082026538001</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Capital_Goods</v>
      </c>
      <c r="B35" s="79" t="str">
        <f>'Data shares'!C30</f>
        <v>BEL</v>
      </c>
      <c r="C35" s="4">
        <f>VLOOKUP($B35,'Data shares'!$C:$FB,7)</f>
        <v>397.7</v>
      </c>
      <c r="D35" s="82">
        <f>VLOOKUP($B35,'Data shares'!$C:$FB,98)</f>
        <v>194035125</v>
      </c>
      <c r="E35" s="165">
        <f>VLOOKUP(B35,'Snapshot (Volume)'!$A$7:$G$168,7,0)</f>
        <v>191406000</v>
      </c>
      <c r="F35" s="165">
        <f t="shared" si="5"/>
        <v>2629125</v>
      </c>
      <c r="G35" s="166">
        <f t="shared" si="6"/>
        <v>1.3735854675402025E-2</v>
      </c>
      <c r="H35" s="165">
        <f>VLOOKUP($B35,'Data shares'!$C:$FB,66)</f>
        <v>55290000</v>
      </c>
      <c r="I35" s="165">
        <f>VLOOKUP($B35,'Data shares'!$C:$FB,67)</f>
        <v>87683100</v>
      </c>
      <c r="J35" s="81">
        <f t="shared" si="7"/>
        <v>-36.943379054800758</v>
      </c>
      <c r="K35" s="5">
        <f>VLOOKUP($B35,'Data Vlaue (Cr)'!$C:$FB,99)</f>
        <v>7767</v>
      </c>
      <c r="L35" s="81">
        <f>VLOOKUP(B35,'OI(Value)'!$A$7:$C$209,3,0)</f>
        <v>105</v>
      </c>
      <c r="M35" s="33">
        <f t="shared" si="0"/>
        <v>1.3518733101583624</v>
      </c>
      <c r="N35" s="5">
        <f>VLOOKUP($B35,'Data Vlaue (Cr)'!$C:$FB,67)</f>
        <v>2213</v>
      </c>
      <c r="O35" s="5">
        <f>VLOOKUP($B35,'Data Vlaue (Cr)'!$C:$FB,68)</f>
        <v>3510</v>
      </c>
      <c r="P35" s="5">
        <f t="shared" si="8"/>
        <v>-58.608224130140087</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Automobile</v>
      </c>
      <c r="B36" s="79" t="str">
        <f>'Data shares'!C31</f>
        <v>BHARATFORG</v>
      </c>
      <c r="C36" s="4">
        <f>VLOOKUP($B36,'Data shares'!$C:$FB,7)</f>
        <v>1464.4</v>
      </c>
      <c r="D36" s="82">
        <f>VLOOKUP($B36,'Data shares'!$C:$FB,98)</f>
        <v>12681000</v>
      </c>
      <c r="E36" s="165">
        <f>VLOOKUP(B36,'Snapshot (Volume)'!$A$7:$G$168,7,0)</f>
        <v>12284000</v>
      </c>
      <c r="F36" s="165">
        <f t="shared" si="5"/>
        <v>397000</v>
      </c>
      <c r="G36" s="166">
        <f t="shared" si="6"/>
        <v>3.2318463041354606E-2</v>
      </c>
      <c r="H36" s="165">
        <f>VLOOKUP($B36,'Data shares'!$C:$FB,66)</f>
        <v>6094500</v>
      </c>
      <c r="I36" s="165">
        <f>VLOOKUP($B36,'Data shares'!$C:$FB,67)</f>
        <v>18629500</v>
      </c>
      <c r="J36" s="81">
        <f t="shared" si="7"/>
        <v>-67.285756461526063</v>
      </c>
      <c r="K36" s="5">
        <f>VLOOKUP($B36,'Data Vlaue (Cr)'!$C:$FB,99)</f>
        <v>1869</v>
      </c>
      <c r="L36" s="81">
        <f>VLOOKUP(B36,'OI(Value)'!$A$7:$C$209,3,0)</f>
        <v>59</v>
      </c>
      <c r="M36" s="33">
        <f t="shared" si="0"/>
        <v>3.1567683253076511</v>
      </c>
      <c r="N36" s="5">
        <f>VLOOKUP($B36,'Data Vlaue (Cr)'!$C:$FB,67)</f>
        <v>898</v>
      </c>
      <c r="O36" s="5">
        <f>VLOOKUP($B36,'Data Vlaue (Cr)'!$C:$FB,68)</f>
        <v>2746</v>
      </c>
      <c r="P36" s="5">
        <f t="shared" si="8"/>
        <v>-205.79064587973272</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Telecom</v>
      </c>
      <c r="B37" s="79" t="str">
        <f>'Data shares'!C32</f>
        <v>BHARTIARTL</v>
      </c>
      <c r="C37" s="4">
        <f>VLOOKUP($B37,'Data shares'!$C:$FB,7)</f>
        <v>2110.4</v>
      </c>
      <c r="D37" s="82">
        <f>VLOOKUP($B37,'Data shares'!$C:$FB,98)</f>
        <v>59259575</v>
      </c>
      <c r="E37" s="165">
        <f>VLOOKUP(B37,'Snapshot (Volume)'!$A$7:$G$168,7,0)</f>
        <v>57945250</v>
      </c>
      <c r="F37" s="165">
        <f t="shared" ref="F37:F43" si="9">D37-E37</f>
        <v>1314325</v>
      </c>
      <c r="G37" s="166">
        <f t="shared" ref="G37:G43" si="10">F37/E37</f>
        <v>2.2682187064513484E-2</v>
      </c>
      <c r="H37" s="165">
        <f>VLOOKUP($B37,'Data shares'!$C:$FB,66)</f>
        <v>16394625</v>
      </c>
      <c r="I37" s="165">
        <f>VLOOKUP($B37,'Data shares'!$C:$FB,67)</f>
        <v>31395125</v>
      </c>
      <c r="J37" s="81">
        <f t="shared" ref="J37:J43" si="11">(H37-I37)/I37*100</f>
        <v>-47.779711022013764</v>
      </c>
      <c r="K37" s="5">
        <f>VLOOKUP($B37,'Data Vlaue (Cr)'!$C:$FB,99)</f>
        <v>12584</v>
      </c>
      <c r="L37" s="81">
        <f>VLOOKUP(B37,'OI(Value)'!$A$7:$C$209,3,0)</f>
        <v>279</v>
      </c>
      <c r="M37" s="33">
        <f t="shared" ref="M37:M65" si="12">L37/K37*100</f>
        <v>2.2171010807374443</v>
      </c>
      <c r="N37" s="5">
        <f>VLOOKUP($B37,'Data Vlaue (Cr)'!$C:$FB,67)</f>
        <v>3482</v>
      </c>
      <c r="O37" s="5">
        <f>VLOOKUP($B37,'Data Vlaue (Cr)'!$C:$FB,68)</f>
        <v>6667</v>
      </c>
      <c r="P37" s="5">
        <f t="shared" ref="P37:P43" si="13">(N37-O37)/N37*100</f>
        <v>-91.470419299253308</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Capital_Goods</v>
      </c>
      <c r="B38" s="79" t="str">
        <f>'Data shares'!C33</f>
        <v>BHEL</v>
      </c>
      <c r="C38" s="4">
        <f>VLOOKUP($B38,'Data shares'!$C:$FB,7)</f>
        <v>291.45</v>
      </c>
      <c r="D38" s="82">
        <f>VLOOKUP($B38,'Data shares'!$C:$FB,98)</f>
        <v>115683750</v>
      </c>
      <c r="E38" s="165">
        <f>VLOOKUP(B38,'Snapshot (Volume)'!$A$7:$G$168,7,0)</f>
        <v>109683000</v>
      </c>
      <c r="F38" s="165">
        <f t="shared" si="9"/>
        <v>6000750</v>
      </c>
      <c r="G38" s="166">
        <f t="shared" si="10"/>
        <v>5.4709936817920732E-2</v>
      </c>
      <c r="H38" s="165">
        <f>VLOOKUP($B38,'Data shares'!$C:$FB,66)</f>
        <v>90050625</v>
      </c>
      <c r="I38" s="165">
        <f>VLOOKUP($B38,'Data shares'!$C:$FB,67)</f>
        <v>115857000</v>
      </c>
      <c r="J38" s="81">
        <f t="shared" si="11"/>
        <v>-22.274333877107125</v>
      </c>
      <c r="K38" s="5">
        <f>VLOOKUP($B38,'Data Vlaue (Cr)'!$C:$FB,99)</f>
        <v>3394</v>
      </c>
      <c r="L38" s="81">
        <f>VLOOKUP(B38,'OI(Value)'!$A$7:$C$209,3,0)</f>
        <v>176</v>
      </c>
      <c r="M38" s="33">
        <f t="shared" si="12"/>
        <v>5.1856216853270478</v>
      </c>
      <c r="N38" s="5">
        <f>VLOOKUP($B38,'Data Vlaue (Cr)'!$C:$FB,67)</f>
        <v>2642</v>
      </c>
      <c r="O38" s="5">
        <f>VLOOKUP($B38,'Data Vlaue (Cr)'!$C:$FB,68)</f>
        <v>3399</v>
      </c>
      <c r="P38" s="5">
        <f t="shared" si="13"/>
        <v>-28.652535957607871</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Pharma</v>
      </c>
      <c r="B39" s="79" t="str">
        <f>'Data shares'!C34</f>
        <v>BIOCON</v>
      </c>
      <c r="C39" s="4">
        <f>VLOOKUP($B39,'Data shares'!$C:$FB,7)</f>
        <v>387.75</v>
      </c>
      <c r="D39" s="82">
        <f>VLOOKUP($B39,'Data shares'!$C:$FB,98)</f>
        <v>65297500</v>
      </c>
      <c r="E39" s="165">
        <f>VLOOKUP(B39,'Snapshot (Volume)'!$A$7:$G$168,7,0)</f>
        <v>63202500</v>
      </c>
      <c r="F39" s="165">
        <f t="shared" si="9"/>
        <v>2095000</v>
      </c>
      <c r="G39" s="166">
        <f t="shared" si="10"/>
        <v>3.314742296586369E-2</v>
      </c>
      <c r="H39" s="165">
        <f>VLOOKUP($B39,'Data shares'!$C:$FB,66)</f>
        <v>20385000</v>
      </c>
      <c r="I39" s="165">
        <f>VLOOKUP($B39,'Data shares'!$C:$FB,67)</f>
        <v>21180000</v>
      </c>
      <c r="J39" s="81">
        <f t="shared" si="11"/>
        <v>-3.7535410764872523</v>
      </c>
      <c r="K39" s="5">
        <f>VLOOKUP($B39,'Data Vlaue (Cr)'!$C:$FB,99)</f>
        <v>2549</v>
      </c>
      <c r="L39" s="81">
        <f>VLOOKUP(B39,'OI(Value)'!$A$7:$C$209,3,0)</f>
        <v>82</v>
      </c>
      <c r="M39" s="33">
        <f t="shared" si="12"/>
        <v>3.216947822675559</v>
      </c>
      <c r="N39" s="5">
        <f>VLOOKUP($B39,'Data Vlaue (Cr)'!$C:$FB,67)</f>
        <v>796</v>
      </c>
      <c r="O39" s="5">
        <f>VLOOKUP($B39,'Data Vlaue (Cr)'!$C:$FB,68)</f>
        <v>827</v>
      </c>
      <c r="P39" s="5">
        <f t="shared" si="13"/>
        <v>-3.8944723618090453</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Capital_Goods</v>
      </c>
      <c r="B40" s="79" t="str">
        <f>'Data shares'!C35</f>
        <v>BLUESTARCO</v>
      </c>
      <c r="C40" s="4">
        <f>VLOOKUP($B40,'Data shares'!$C:$FB,7)</f>
        <v>1772.2</v>
      </c>
      <c r="D40" s="82">
        <f>VLOOKUP($B40,'Data shares'!$C:$FB,98)</f>
        <v>2826525</v>
      </c>
      <c r="E40" s="165">
        <f>VLOOKUP(B40,'Snapshot (Volume)'!$A$7:$G$168,7,0)</f>
        <v>2634450</v>
      </c>
      <c r="F40" s="165">
        <f t="shared" si="9"/>
        <v>192075</v>
      </c>
      <c r="G40" s="166">
        <f t="shared" si="10"/>
        <v>7.2908956328645441E-2</v>
      </c>
      <c r="H40" s="165">
        <f>VLOOKUP($B40,'Data shares'!$C:$FB,66)</f>
        <v>1791075</v>
      </c>
      <c r="I40" s="165">
        <f>VLOOKUP($B40,'Data shares'!$C:$FB,67)</f>
        <v>1265875</v>
      </c>
      <c r="J40" s="81">
        <f t="shared" si="11"/>
        <v>41.489088575096275</v>
      </c>
      <c r="K40" s="5">
        <f>VLOOKUP($B40,'Data Vlaue (Cr)'!$C:$FB,99)</f>
        <v>503</v>
      </c>
      <c r="L40" s="81">
        <f>VLOOKUP(B40,'OI(Value)'!$A$7:$C$209,3,0)</f>
        <v>34</v>
      </c>
      <c r="M40" s="33">
        <f t="shared" si="12"/>
        <v>6.7594433399602387</v>
      </c>
      <c r="N40" s="5">
        <f>VLOOKUP($B40,'Data Vlaue (Cr)'!$C:$FB,67)</f>
        <v>319</v>
      </c>
      <c r="O40" s="5">
        <f>VLOOKUP($B40,'Data Vlaue (Cr)'!$C:$FB,68)</f>
        <v>225</v>
      </c>
      <c r="P40" s="5">
        <f t="shared" si="13"/>
        <v>29.467084639498431</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Automobile</v>
      </c>
      <c r="B41" s="79" t="str">
        <f>'Data shares'!C36</f>
        <v>BOSCHLTD</v>
      </c>
      <c r="C41" s="4">
        <f>VLOOKUP($B41,'Data shares'!$C:$FB,7)</f>
        <v>36140</v>
      </c>
      <c r="D41" s="82">
        <f>VLOOKUP($B41,'Data shares'!$C:$FB,98)</f>
        <v>257825</v>
      </c>
      <c r="E41" s="165">
        <f>VLOOKUP(B41,'Snapshot (Volume)'!$A$7:$G$168,7,0)</f>
        <v>243575</v>
      </c>
      <c r="F41" s="165">
        <f t="shared" si="9"/>
        <v>14250</v>
      </c>
      <c r="G41" s="166">
        <f t="shared" si="10"/>
        <v>5.85035410037976E-2</v>
      </c>
      <c r="H41" s="165">
        <f>VLOOKUP($B41,'Data shares'!$C:$FB,66)</f>
        <v>72625</v>
      </c>
      <c r="I41" s="165">
        <f>VLOOKUP($B41,'Data shares'!$C:$FB,67)</f>
        <v>159225</v>
      </c>
      <c r="J41" s="81">
        <f t="shared" si="11"/>
        <v>-54.388444025749727</v>
      </c>
      <c r="K41" s="5">
        <f>VLOOKUP($B41,'Data Vlaue (Cr)'!$C:$FB,99)</f>
        <v>937</v>
      </c>
      <c r="L41" s="81">
        <f>VLOOKUP(B41,'OI(Value)'!$A$7:$C$209,3,0)</f>
        <v>52</v>
      </c>
      <c r="M41" s="33">
        <f t="shared" si="12"/>
        <v>5.5496264674493059</v>
      </c>
      <c r="N41" s="5">
        <f>VLOOKUP($B41,'Data Vlaue (Cr)'!$C:$FB,67)</f>
        <v>264</v>
      </c>
      <c r="O41" s="5">
        <f>VLOOKUP($B41,'Data Vlaue (Cr)'!$C:$FB,68)</f>
        <v>578</v>
      </c>
      <c r="P41" s="5">
        <f t="shared" si="13"/>
        <v>-118.93939393939394</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Oil_Gas</v>
      </c>
      <c r="B42" s="79" t="str">
        <f>'Data shares'!C37</f>
        <v>BPCL</v>
      </c>
      <c r="C42" s="4">
        <f>VLOOKUP($B42,'Data shares'!$C:$FB,7)</f>
        <v>381.5</v>
      </c>
      <c r="D42" s="82">
        <f>VLOOKUP($B42,'Data shares'!$C:$FB,98)</f>
        <v>45107025</v>
      </c>
      <c r="E42" s="165">
        <f>VLOOKUP(B42,'Snapshot (Volume)'!$A$7:$G$168,7,0)</f>
        <v>42632350</v>
      </c>
      <c r="F42" s="165">
        <f t="shared" si="9"/>
        <v>2474675</v>
      </c>
      <c r="G42" s="166">
        <f t="shared" si="10"/>
        <v>5.8046882238487911E-2</v>
      </c>
      <c r="H42" s="165">
        <f>VLOOKUP($B42,'Data shares'!$C:$FB,66)</f>
        <v>38326850</v>
      </c>
      <c r="I42" s="165">
        <f>VLOOKUP($B42,'Data shares'!$C:$FB,67)</f>
        <v>73734650</v>
      </c>
      <c r="J42" s="81">
        <f t="shared" si="11"/>
        <v>-48.020571061231045</v>
      </c>
      <c r="K42" s="5">
        <f>VLOOKUP($B42,'Data Vlaue (Cr)'!$C:$FB,99)</f>
        <v>1730</v>
      </c>
      <c r="L42" s="81">
        <f>VLOOKUP(B42,'OI(Value)'!$A$7:$C$209,3,0)</f>
        <v>95</v>
      </c>
      <c r="M42" s="33">
        <f t="shared" si="12"/>
        <v>5.4913294797687859</v>
      </c>
      <c r="N42" s="5">
        <f>VLOOKUP($B42,'Data Vlaue (Cr)'!$C:$FB,67)</f>
        <v>1470</v>
      </c>
      <c r="O42" s="5">
        <f>VLOOKUP($B42,'Data Vlaue (Cr)'!$C:$FB,68)</f>
        <v>2828</v>
      </c>
      <c r="P42" s="5">
        <f t="shared" si="13"/>
        <v>-92.38095238095238</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FMCG</v>
      </c>
      <c r="B43" s="79" t="str">
        <f>'Data shares'!C38</f>
        <v>BRITANNIA</v>
      </c>
      <c r="C43" s="4">
        <f>VLOOKUP($B43,'Data shares'!$C:$FB,7)</f>
        <v>6009.5</v>
      </c>
      <c r="D43" s="82">
        <f>VLOOKUP($B43,'Data shares'!$C:$FB,98)</f>
        <v>3503125</v>
      </c>
      <c r="E43" s="165">
        <f>VLOOKUP(B43,'Snapshot (Volume)'!$A$7:$G$168,7,0)</f>
        <v>3283500</v>
      </c>
      <c r="F43" s="165">
        <f t="shared" si="9"/>
        <v>219625</v>
      </c>
      <c r="G43" s="166">
        <f t="shared" si="10"/>
        <v>6.6887467641236487E-2</v>
      </c>
      <c r="H43" s="165">
        <f>VLOOKUP($B43,'Data shares'!$C:$FB,66)</f>
        <v>933125</v>
      </c>
      <c r="I43" s="165">
        <f>VLOOKUP($B43,'Data shares'!$C:$FB,67)</f>
        <v>848000</v>
      </c>
      <c r="J43" s="81">
        <f t="shared" si="11"/>
        <v>10.038325471698114</v>
      </c>
      <c r="K43" s="5">
        <f>VLOOKUP($B43,'Data Vlaue (Cr)'!$C:$FB,99)</f>
        <v>2119</v>
      </c>
      <c r="L43" s="81">
        <f>VLOOKUP(B43,'OI(Value)'!$A$7:$C$209,3,0)</f>
        <v>133</v>
      </c>
      <c r="M43" s="33">
        <f t="shared" si="12"/>
        <v>6.276545540349221</v>
      </c>
      <c r="N43" s="5">
        <f>VLOOKUP($B43,'Data Vlaue (Cr)'!$C:$FB,67)</f>
        <v>565</v>
      </c>
      <c r="O43" s="5">
        <f>VLOOKUP($B43,'Data Vlaue (Cr)'!$C:$FB,68)</f>
        <v>513</v>
      </c>
      <c r="P43" s="5">
        <f t="shared" si="13"/>
        <v>9.2035398230088497</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BSE</v>
      </c>
      <c r="C44" s="79">
        <f>VLOOKUP($B44,'Data shares'!$C:$FB,7)</f>
        <v>2628</v>
      </c>
      <c r="D44" s="165">
        <f>VLOOKUP($B44,'Data shares'!$C:$FB,98)</f>
        <v>23062125</v>
      </c>
      <c r="E44" s="165">
        <f>VLOOKUP(B44,'Snapshot (Volume)'!$A$7:$G$168,7,0)</f>
        <v>22311375</v>
      </c>
      <c r="F44" s="165">
        <f t="shared" ref="F44:F49" si="14">D44-E44</f>
        <v>750750</v>
      </c>
      <c r="G44" s="166">
        <f t="shared" ref="G44:G49" si="15">F44/E44</f>
        <v>3.3648755399431907E-2</v>
      </c>
      <c r="H44" s="165">
        <f>VLOOKUP($B44,'Data shares'!$C:$FB,66)</f>
        <v>10023375</v>
      </c>
      <c r="I44" s="165">
        <f>VLOOKUP($B44,'Data shares'!$C:$FB,67)</f>
        <v>17170125</v>
      </c>
      <c r="J44" s="81">
        <f t="shared" ref="J44:J49" si="16">(H44-I44)/I44*100</f>
        <v>-41.623168148164325</v>
      </c>
      <c r="K44" s="81">
        <f>VLOOKUP($B44,'Data Vlaue (Cr)'!$C:$FB,99)</f>
        <v>6099</v>
      </c>
      <c r="L44" s="81">
        <f>VLOOKUP(B44,'OI(Value)'!$A$7:$C$209,3,0)</f>
        <v>199</v>
      </c>
      <c r="M44" s="81">
        <f t="shared" si="12"/>
        <v>3.2628299721265783</v>
      </c>
      <c r="N44" s="81">
        <f>VLOOKUP($B44,'Data Vlaue (Cr)'!$C:$FB,67)</f>
        <v>2651</v>
      </c>
      <c r="O44" s="81">
        <f>VLOOKUP($B44,'Data Vlaue (Cr)'!$C:$FB,68)</f>
        <v>4541</v>
      </c>
      <c r="P44" s="81">
        <f t="shared" ref="P44:P49" si="17">(N44-O44)/N44*100</f>
        <v>-71.29385137683893</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Finance</v>
      </c>
      <c r="B45" s="79" t="str">
        <f>'Data shares'!C40</f>
        <v>CAMS</v>
      </c>
      <c r="C45" s="4">
        <f>VLOOKUP($B45,'Data shares'!$C:$FB,7)</f>
        <v>735.1</v>
      </c>
      <c r="D45" s="82">
        <f>VLOOKUP($B45,'Data shares'!$C:$FB,98)</f>
        <v>12054000</v>
      </c>
      <c r="E45" s="165">
        <f>VLOOKUP(B45,'Snapshot (Volume)'!$A$7:$G$168,7,0)</f>
        <v>11873250</v>
      </c>
      <c r="F45" s="165">
        <f t="shared" si="14"/>
        <v>180750</v>
      </c>
      <c r="G45" s="166">
        <f t="shared" si="15"/>
        <v>1.5223296064683216E-2</v>
      </c>
      <c r="H45" s="165">
        <f>VLOOKUP($B45,'Data shares'!$C:$FB,66)</f>
        <v>2118000</v>
      </c>
      <c r="I45" s="165">
        <f>VLOOKUP($B45,'Data shares'!$C:$FB,67)</f>
        <v>3634500</v>
      </c>
      <c r="J45" s="81">
        <f t="shared" si="16"/>
        <v>-41.725134131242264</v>
      </c>
      <c r="K45" s="5">
        <f>VLOOKUP($B45,'Data Vlaue (Cr)'!$C:$FB,99)</f>
        <v>892</v>
      </c>
      <c r="L45" s="81">
        <f>VLOOKUP(B45,'OI(Value)'!$A$7:$C$209,3,0)</f>
        <v>13</v>
      </c>
      <c r="M45" s="33">
        <f t="shared" si="12"/>
        <v>1.4573991031390134</v>
      </c>
      <c r="N45" s="5">
        <f>VLOOKUP($B45,'Data Vlaue (Cr)'!$C:$FB,67)</f>
        <v>157</v>
      </c>
      <c r="O45" s="5">
        <f>VLOOKUP($B45,'Data Vlaue (Cr)'!$C:$FB,68)</f>
        <v>269</v>
      </c>
      <c r="P45" s="5">
        <f t="shared" si="17"/>
        <v>-71.337579617834393</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Banking</v>
      </c>
      <c r="B46" s="79" t="str">
        <f>'Data shares'!C41</f>
        <v>CANBK</v>
      </c>
      <c r="C46" s="4">
        <f>VLOOKUP($B46,'Data shares'!$C:$FB,7)</f>
        <v>154.24</v>
      </c>
      <c r="D46" s="82">
        <f>VLOOKUP($B46,'Data shares'!$C:$FB,98)</f>
        <v>273489750</v>
      </c>
      <c r="E46" s="165">
        <f>VLOOKUP(B46,'Snapshot (Volume)'!$A$7:$G$168,7,0)</f>
        <v>254576250</v>
      </c>
      <c r="F46" s="165">
        <f t="shared" si="14"/>
        <v>18913500</v>
      </c>
      <c r="G46" s="166">
        <f t="shared" si="15"/>
        <v>7.4294047461222326E-2</v>
      </c>
      <c r="H46" s="165">
        <f>VLOOKUP($B46,'Data shares'!$C:$FB,66)</f>
        <v>160400250</v>
      </c>
      <c r="I46" s="165">
        <f>VLOOKUP($B46,'Data shares'!$C:$FB,67)</f>
        <v>317121750</v>
      </c>
      <c r="J46" s="81">
        <f t="shared" si="16"/>
        <v>-49.419978289095589</v>
      </c>
      <c r="K46" s="5">
        <f>VLOOKUP($B46,'Data Vlaue (Cr)'!$C:$FB,99)</f>
        <v>4240</v>
      </c>
      <c r="L46" s="81">
        <f>VLOOKUP(B46,'OI(Value)'!$A$7:$C$209,3,0)</f>
        <v>293</v>
      </c>
      <c r="M46" s="33">
        <f t="shared" si="12"/>
        <v>6.9103773584905657</v>
      </c>
      <c r="N46" s="5">
        <f>VLOOKUP($B46,'Data Vlaue (Cr)'!$C:$FB,67)</f>
        <v>2487</v>
      </c>
      <c r="O46" s="5">
        <f>VLOOKUP($B46,'Data Vlaue (Cr)'!$C:$FB,68)</f>
        <v>4916</v>
      </c>
      <c r="P46" s="5">
        <f t="shared" si="17"/>
        <v>-97.66787293928428</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Finance</v>
      </c>
      <c r="B47" s="79" t="str">
        <f>'Data shares'!C42</f>
        <v>CDSL</v>
      </c>
      <c r="C47" s="4">
        <f>VLOOKUP($B47,'Data shares'!$C:$FB,7)</f>
        <v>1446.2</v>
      </c>
      <c r="D47" s="82">
        <f>VLOOKUP($B47,'Data shares'!$C:$FB,98)</f>
        <v>19568575</v>
      </c>
      <c r="E47" s="165">
        <f>VLOOKUP(B47,'Snapshot (Volume)'!$A$7:$G$168,7,0)</f>
        <v>19105925</v>
      </c>
      <c r="F47" s="165">
        <f t="shared" si="14"/>
        <v>462650</v>
      </c>
      <c r="G47" s="166">
        <f t="shared" si="15"/>
        <v>2.4215001367376875E-2</v>
      </c>
      <c r="H47" s="165">
        <f>VLOOKUP($B47,'Data shares'!$C:$FB,66)</f>
        <v>3961500</v>
      </c>
      <c r="I47" s="165">
        <f>VLOOKUP($B47,'Data shares'!$C:$FB,67)</f>
        <v>7670300</v>
      </c>
      <c r="J47" s="81">
        <f t="shared" si="16"/>
        <v>-48.352737181075057</v>
      </c>
      <c r="K47" s="5">
        <f>VLOOKUP($B47,'Data Vlaue (Cr)'!$C:$FB,99)</f>
        <v>2848</v>
      </c>
      <c r="L47" s="81">
        <f>VLOOKUP(B47,'OI(Value)'!$A$7:$C$209,3,0)</f>
        <v>67</v>
      </c>
      <c r="M47" s="33">
        <f t="shared" si="12"/>
        <v>2.3525280898876404</v>
      </c>
      <c r="N47" s="5">
        <f>VLOOKUP($B47,'Data Vlaue (Cr)'!$C:$FB,67)</f>
        <v>576</v>
      </c>
      <c r="O47" s="5">
        <f>VLOOKUP($B47,'Data Vlaue (Cr)'!$C:$FB,68)</f>
        <v>1116</v>
      </c>
      <c r="P47" s="5">
        <f t="shared" si="17"/>
        <v>-93.75</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Power</v>
      </c>
      <c r="B48" s="79" t="str">
        <f>'Data shares'!C43</f>
        <v>CGPOWER</v>
      </c>
      <c r="C48" s="4">
        <f>VLOOKUP($B48,'Data shares'!$C:$FB,7)</f>
        <v>637.9</v>
      </c>
      <c r="D48" s="82">
        <f>VLOOKUP($B48,'Data shares'!$C:$FB,98)</f>
        <v>20749350</v>
      </c>
      <c r="E48" s="165">
        <f>VLOOKUP(B48,'Snapshot (Volume)'!$A$7:$G$168,7,0)</f>
        <v>19552550</v>
      </c>
      <c r="F48" s="165">
        <f t="shared" si="14"/>
        <v>1196800</v>
      </c>
      <c r="G48" s="166">
        <f t="shared" si="15"/>
        <v>6.1209407468591055E-2</v>
      </c>
      <c r="H48" s="165">
        <f>VLOOKUP($B48,'Data shares'!$C:$FB,66)</f>
        <v>6371600</v>
      </c>
      <c r="I48" s="165">
        <f>VLOOKUP($B48,'Data shares'!$C:$FB,67)</f>
        <v>8046950</v>
      </c>
      <c r="J48" s="81">
        <f t="shared" si="16"/>
        <v>-20.819689447554662</v>
      </c>
      <c r="K48" s="5">
        <f>VLOOKUP($B48,'Data Vlaue (Cr)'!$C:$FB,99)</f>
        <v>1332</v>
      </c>
      <c r="L48" s="81">
        <f>VLOOKUP(B48,'OI(Value)'!$A$7:$C$209,3,0)</f>
        <v>77</v>
      </c>
      <c r="M48" s="33">
        <f t="shared" si="12"/>
        <v>5.7807807807807805</v>
      </c>
      <c r="N48" s="5">
        <f>VLOOKUP($B48,'Data Vlaue (Cr)'!$C:$FB,67)</f>
        <v>409</v>
      </c>
      <c r="O48" s="5">
        <f>VLOOKUP($B48,'Data Vlaue (Cr)'!$C:$FB,68)</f>
        <v>516</v>
      </c>
      <c r="P48" s="5">
        <f t="shared" si="17"/>
        <v>-26.161369193154034</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Finance</v>
      </c>
      <c r="B49" s="79" t="str">
        <f>'Data shares'!C44</f>
        <v>CHOLAFIN</v>
      </c>
      <c r="C49" s="4">
        <f>VLOOKUP($B49,'Data shares'!$C:$FB,7)</f>
        <v>1724</v>
      </c>
      <c r="D49" s="82">
        <f>VLOOKUP($B49,'Data shares'!$C:$FB,98)</f>
        <v>18989375</v>
      </c>
      <c r="E49" s="165">
        <f>VLOOKUP(B49,'Snapshot (Volume)'!$A$7:$G$168,7,0)</f>
        <v>18649375</v>
      </c>
      <c r="F49" s="165">
        <f t="shared" si="14"/>
        <v>340000</v>
      </c>
      <c r="G49" s="166">
        <f t="shared" si="15"/>
        <v>1.8231173966955998E-2</v>
      </c>
      <c r="H49" s="165">
        <f>VLOOKUP($B49,'Data shares'!$C:$FB,66)</f>
        <v>8852500</v>
      </c>
      <c r="I49" s="165">
        <f>VLOOKUP($B49,'Data shares'!$C:$FB,67)</f>
        <v>6572500</v>
      </c>
      <c r="J49" s="81">
        <f t="shared" si="16"/>
        <v>34.689996196272347</v>
      </c>
      <c r="K49" s="5">
        <f>VLOOKUP($B49,'Data Vlaue (Cr)'!$C:$FB,99)</f>
        <v>3295</v>
      </c>
      <c r="L49" s="81">
        <f>VLOOKUP(B49,'OI(Value)'!$A$7:$C$209,3,0)</f>
        <v>59</v>
      </c>
      <c r="M49" s="33">
        <f t="shared" si="12"/>
        <v>1.7905918057663128</v>
      </c>
      <c r="N49" s="5">
        <f>VLOOKUP($B49,'Data Vlaue (Cr)'!$C:$FB,67)</f>
        <v>1536</v>
      </c>
      <c r="O49" s="5">
        <f>VLOOKUP($B49,'Data Vlaue (Cr)'!$C:$FB,68)</f>
        <v>1140</v>
      </c>
      <c r="P49" s="5">
        <f t="shared" si="17"/>
        <v>25.78125</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Pharma</v>
      </c>
      <c r="B50" s="79" t="str">
        <f>'Data shares'!C45</f>
        <v>CIPLA</v>
      </c>
      <c r="C50" s="4">
        <f>VLOOKUP($B50,'Data shares'!$C:$FB,7)</f>
        <v>1500.9</v>
      </c>
      <c r="D50" s="82">
        <f>VLOOKUP($B50,'Data shares'!$C:$FB,98)</f>
        <v>17350125</v>
      </c>
      <c r="E50" s="165">
        <f>VLOOKUP(B50,'Snapshot (Volume)'!$A$7:$G$168,7,0)</f>
        <v>16910625</v>
      </c>
      <c r="F50" s="165">
        <f>D50-E50</f>
        <v>439500</v>
      </c>
      <c r="G50" s="166">
        <f>F50/E50</f>
        <v>2.5989577558487638E-2</v>
      </c>
      <c r="H50" s="165">
        <f>VLOOKUP($B50,'Data shares'!$C:$FB,66)</f>
        <v>3487500</v>
      </c>
      <c r="I50" s="165">
        <f>VLOOKUP($B50,'Data shares'!$C:$FB,67)</f>
        <v>5670375</v>
      </c>
      <c r="J50" s="81">
        <f>(H50-I50)/I50*100</f>
        <v>-38.496131208253423</v>
      </c>
      <c r="K50" s="5">
        <f>VLOOKUP($B50,'Data Vlaue (Cr)'!$C:$FB,99)</f>
        <v>2620</v>
      </c>
      <c r="L50" s="81">
        <f>VLOOKUP(B50,'OI(Value)'!$A$7:$C$209,3,0)</f>
        <v>66</v>
      </c>
      <c r="M50" s="33">
        <f t="shared" si="12"/>
        <v>2.5190839694656488</v>
      </c>
      <c r="N50" s="5">
        <f>VLOOKUP($B50,'Data Vlaue (Cr)'!$C:$FB,67)</f>
        <v>527</v>
      </c>
      <c r="O50" s="5">
        <f>VLOOKUP($B50,'Data Vlaue (Cr)'!$C:$FB,68)</f>
        <v>856</v>
      </c>
      <c r="P50" s="5">
        <f>(N50-O50)/N50*100</f>
        <v>-62.428842504743834</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Metals</v>
      </c>
      <c r="B51" s="79" t="str">
        <f>'Data shares'!C46</f>
        <v>COALINDIA</v>
      </c>
      <c r="C51" s="4">
        <f>VLOOKUP($B51,'Data shares'!$C:$FB,7)</f>
        <v>400.45</v>
      </c>
      <c r="D51" s="82">
        <f>VLOOKUP($B51,'Data shares'!$C:$FB,98)</f>
        <v>108673650</v>
      </c>
      <c r="E51" s="165">
        <f>VLOOKUP(B51,'Snapshot (Volume)'!$A$7:$G$168,7,0)</f>
        <v>106272000</v>
      </c>
      <c r="F51" s="165">
        <f>D51-E51</f>
        <v>2401650</v>
      </c>
      <c r="G51" s="166">
        <f>F51/E51</f>
        <v>2.2599085365853658E-2</v>
      </c>
      <c r="H51" s="165">
        <f>VLOOKUP($B51,'Data shares'!$C:$FB,66)</f>
        <v>34635600</v>
      </c>
      <c r="I51" s="165">
        <f>VLOOKUP($B51,'Data shares'!$C:$FB,67)</f>
        <v>64978200</v>
      </c>
      <c r="J51" s="81">
        <f>(H51-I51)/I51*100</f>
        <v>-46.696584392919469</v>
      </c>
      <c r="K51" s="5">
        <f>VLOOKUP($B51,'Data Vlaue (Cr)'!$C:$FB,99)</f>
        <v>4373</v>
      </c>
      <c r="L51" s="81">
        <f>VLOOKUP(B51,'OI(Value)'!$A$7:$C$209,3,0)</f>
        <v>97</v>
      </c>
      <c r="M51" s="33">
        <f t="shared" si="12"/>
        <v>2.2181568717127833</v>
      </c>
      <c r="N51" s="5">
        <f>VLOOKUP($B51,'Data Vlaue (Cr)'!$C:$FB,67)</f>
        <v>1394</v>
      </c>
      <c r="O51" s="5">
        <f>VLOOKUP($B51,'Data Vlaue (Cr)'!$C:$FB,68)</f>
        <v>2615</v>
      </c>
      <c r="P51" s="5">
        <f>(N51-O51)/N51*100</f>
        <v>-87.589670014347192</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Technology</v>
      </c>
      <c r="B52" s="79" t="str">
        <f>'Data shares'!C47</f>
        <v>COFORGE</v>
      </c>
      <c r="C52" s="79">
        <f>VLOOKUP($B52,'Data shares'!$C:$FB,7)</f>
        <v>1655.8</v>
      </c>
      <c r="D52" s="80">
        <f>VLOOKUP($B52,'Data shares'!$C:$FB,98)</f>
        <v>32110875</v>
      </c>
      <c r="E52" s="165">
        <f>VLOOKUP(B52,'Snapshot (Volume)'!$A$7:$G$168,7,0)</f>
        <v>31625250</v>
      </c>
      <c r="F52" s="165">
        <f t="shared" ref="F52:F68" si="18">D52-E52</f>
        <v>485625</v>
      </c>
      <c r="G52" s="166">
        <f t="shared" ref="G52:G68" si="19">F52/E52</f>
        <v>1.5355609837076387E-2</v>
      </c>
      <c r="H52" s="165">
        <f>VLOOKUP($B52,'Data shares'!$C:$FB,66)</f>
        <v>7496250</v>
      </c>
      <c r="I52" s="165">
        <f>VLOOKUP($B52,'Data shares'!$C:$FB,67)</f>
        <v>14614500</v>
      </c>
      <c r="J52" s="81">
        <f t="shared" ref="J52:J68" si="20">(H52-I52)/I52*100</f>
        <v>-48.70676383044237</v>
      </c>
      <c r="K52" s="81">
        <f>VLOOKUP($B52,'Data Vlaue (Cr)'!$C:$FB,99)</f>
        <v>5354</v>
      </c>
      <c r="L52" s="81">
        <f>VLOOKUP(B52,'OI(Value)'!$A$7:$C$209,3,0)</f>
        <v>81</v>
      </c>
      <c r="M52" s="81">
        <f t="shared" si="12"/>
        <v>1.5128875607022787</v>
      </c>
      <c r="N52" s="81">
        <f>VLOOKUP($B52,'Data Vlaue (Cr)'!$C:$FB,67)</f>
        <v>1250</v>
      </c>
      <c r="O52" s="81">
        <f>VLOOKUP($B52,'Data Vlaue (Cr)'!$C:$FB,68)</f>
        <v>2437</v>
      </c>
      <c r="P52" s="81">
        <f t="shared" ref="P52:P68" si="21">(N52-O52)/N52*100</f>
        <v>-94.96</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FMCG</v>
      </c>
      <c r="B53" s="79" t="str">
        <f>'Data shares'!C48</f>
        <v>COLPAL</v>
      </c>
      <c r="C53" s="4">
        <f>VLOOKUP($B53,'Data shares'!$C:$FB,7)</f>
        <v>2093.8000000000002</v>
      </c>
      <c r="D53" s="82">
        <f>VLOOKUP($B53,'Data shares'!$C:$FB,98)</f>
        <v>9200025</v>
      </c>
      <c r="E53" s="165">
        <f>VLOOKUP(B53,'Snapshot (Volume)'!$A$7:$G$168,7,0)</f>
        <v>9041625</v>
      </c>
      <c r="F53" s="165">
        <f t="shared" si="18"/>
        <v>158400</v>
      </c>
      <c r="G53" s="166">
        <f t="shared" si="19"/>
        <v>1.7518974741819088E-2</v>
      </c>
      <c r="H53" s="165">
        <f>VLOOKUP($B53,'Data shares'!$C:$FB,66)</f>
        <v>1922175</v>
      </c>
      <c r="I53" s="165">
        <f>VLOOKUP($B53,'Data shares'!$C:$FB,67)</f>
        <v>2385450</v>
      </c>
      <c r="J53" s="81">
        <f t="shared" si="20"/>
        <v>-19.420863987926808</v>
      </c>
      <c r="K53" s="5">
        <f>VLOOKUP($B53,'Data Vlaue (Cr)'!$C:$FB,99)</f>
        <v>1931</v>
      </c>
      <c r="L53" s="81">
        <f>VLOOKUP(B53,'OI(Value)'!$A$7:$C$209,3,0)</f>
        <v>33</v>
      </c>
      <c r="M53" s="33">
        <f t="shared" si="12"/>
        <v>1.7089590885551527</v>
      </c>
      <c r="N53" s="5">
        <f>VLOOKUP($B53,'Data Vlaue (Cr)'!$C:$FB,67)</f>
        <v>403</v>
      </c>
      <c r="O53" s="5">
        <f>VLOOKUP($B53,'Data Vlaue (Cr)'!$C:$FB,68)</f>
        <v>501</v>
      </c>
      <c r="P53" s="5">
        <f t="shared" si="21"/>
        <v>-24.317617866004962</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Infrastructure</v>
      </c>
      <c r="B54" s="79" t="str">
        <f>'Data shares'!C49</f>
        <v>CONCOR</v>
      </c>
      <c r="C54" s="4">
        <f>VLOOKUP($B54,'Data shares'!$C:$FB,7)</f>
        <v>524.25</v>
      </c>
      <c r="D54" s="82">
        <f>VLOOKUP($B54,'Data shares'!$C:$FB,98)</f>
        <v>55700000</v>
      </c>
      <c r="E54" s="165">
        <f>VLOOKUP(B54,'Snapshot (Volume)'!$A$7:$G$168,7,0)</f>
        <v>55068750</v>
      </c>
      <c r="F54" s="165">
        <f t="shared" si="18"/>
        <v>631250</v>
      </c>
      <c r="G54" s="166">
        <f t="shared" si="19"/>
        <v>1.146294404721371E-2</v>
      </c>
      <c r="H54" s="165">
        <f>VLOOKUP($B54,'Data shares'!$C:$FB,66)</f>
        <v>8643750</v>
      </c>
      <c r="I54" s="165">
        <f>VLOOKUP($B54,'Data shares'!$C:$FB,67)</f>
        <v>20785000</v>
      </c>
      <c r="J54" s="81">
        <f t="shared" si="20"/>
        <v>-58.413519364926628</v>
      </c>
      <c r="K54" s="5">
        <f>VLOOKUP($B54,'Data Vlaue (Cr)'!$C:$FB,99)</f>
        <v>2935</v>
      </c>
      <c r="L54" s="81">
        <f>VLOOKUP(B54,'OI(Value)'!$A$7:$C$209,3,0)</f>
        <v>33</v>
      </c>
      <c r="M54" s="33">
        <f t="shared" si="12"/>
        <v>1.1243611584327087</v>
      </c>
      <c r="N54" s="5">
        <f>VLOOKUP($B54,'Data Vlaue (Cr)'!$C:$FB,67)</f>
        <v>456</v>
      </c>
      <c r="O54" s="5">
        <f>VLOOKUP($B54,'Data Vlaue (Cr)'!$C:$FB,68)</f>
        <v>1095</v>
      </c>
      <c r="P54" s="5">
        <f t="shared" si="21"/>
        <v>-140.13157894736844</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CROMPTON</v>
      </c>
      <c r="C55" s="4">
        <f>VLOOKUP($B55,'Data shares'!$C:$FB,7)</f>
        <v>249.25</v>
      </c>
      <c r="D55" s="82">
        <f>VLOOKUP($B55,'Data shares'!$C:$FB,98)</f>
        <v>77038200</v>
      </c>
      <c r="E55" s="165">
        <f>VLOOKUP(B55,'Snapshot (Volume)'!$A$7:$G$168,7,0)</f>
        <v>76302000</v>
      </c>
      <c r="F55" s="165">
        <f t="shared" si="18"/>
        <v>736200</v>
      </c>
      <c r="G55" s="166">
        <f t="shared" si="19"/>
        <v>9.6485020051899038E-3</v>
      </c>
      <c r="H55" s="165">
        <f>VLOOKUP($B55,'Data shares'!$C:$FB,66)</f>
        <v>8616600</v>
      </c>
      <c r="I55" s="165">
        <f>VLOOKUP($B55,'Data shares'!$C:$FB,67)</f>
        <v>27480600</v>
      </c>
      <c r="J55" s="81">
        <f t="shared" si="20"/>
        <v>-68.644789415078279</v>
      </c>
      <c r="K55" s="5">
        <f>VLOOKUP($B55,'Data Vlaue (Cr)'!$C:$FB,99)</f>
        <v>1933</v>
      </c>
      <c r="L55" s="81">
        <f>VLOOKUP(B55,'OI(Value)'!$A$7:$C$209,3,0)</f>
        <v>18</v>
      </c>
      <c r="M55" s="33">
        <f t="shared" si="12"/>
        <v>0.93119503362648726</v>
      </c>
      <c r="N55" s="5">
        <f>VLOOKUP($B55,'Data Vlaue (Cr)'!$C:$FB,67)</f>
        <v>216</v>
      </c>
      <c r="O55" s="5">
        <f>VLOOKUP($B55,'Data Vlaue (Cr)'!$C:$FB,68)</f>
        <v>689</v>
      </c>
      <c r="P55" s="5">
        <f t="shared" si="21"/>
        <v>-218.9814814814815</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Capital_Goods</v>
      </c>
      <c r="B56" s="79" t="str">
        <f>'Data shares'!C51</f>
        <v>CUMMINSIND</v>
      </c>
      <c r="C56" s="4">
        <f>VLOOKUP($B56,'Data shares'!$C:$FB,7)</f>
        <v>4470.6000000000004</v>
      </c>
      <c r="D56" s="82">
        <f>VLOOKUP($B56,'Data shares'!$C:$FB,98)</f>
        <v>4276200</v>
      </c>
      <c r="E56" s="165">
        <f>VLOOKUP(B56,'Snapshot (Volume)'!$A$7:$G$168,7,0)</f>
        <v>4133200</v>
      </c>
      <c r="F56" s="165">
        <f t="shared" si="18"/>
        <v>143000</v>
      </c>
      <c r="G56" s="166">
        <f t="shared" si="19"/>
        <v>3.4597890254524338E-2</v>
      </c>
      <c r="H56" s="165">
        <f>VLOOKUP($B56,'Data shares'!$C:$FB,66)</f>
        <v>2237400</v>
      </c>
      <c r="I56" s="165">
        <f>VLOOKUP($B56,'Data shares'!$C:$FB,67)</f>
        <v>2304400</v>
      </c>
      <c r="J56" s="81">
        <f t="shared" si="20"/>
        <v>-2.9074813400451309</v>
      </c>
      <c r="K56" s="5">
        <f>VLOOKUP($B56,'Data Vlaue (Cr)'!$C:$FB,99)</f>
        <v>1922</v>
      </c>
      <c r="L56" s="81">
        <f>VLOOKUP(B56,'OI(Value)'!$A$7:$C$209,3,0)</f>
        <v>64</v>
      </c>
      <c r="M56" s="33">
        <f t="shared" si="12"/>
        <v>3.3298647242455779</v>
      </c>
      <c r="N56" s="5">
        <f>VLOOKUP($B56,'Data Vlaue (Cr)'!$C:$FB,67)</f>
        <v>1006</v>
      </c>
      <c r="O56" s="5">
        <f>VLOOKUP($B56,'Data Vlaue (Cr)'!$C:$FB,68)</f>
        <v>1036</v>
      </c>
      <c r="P56" s="5">
        <f t="shared" si="21"/>
        <v>-2.982107355864811</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499.95</v>
      </c>
      <c r="D57" s="82">
        <f>VLOOKUP($B57,'Data shares'!$C:$FB,98)</f>
        <v>36821250</v>
      </c>
      <c r="E57" s="165">
        <f>VLOOKUP(B57,'Snapshot (Volume)'!$A$7:$G$168,7,0)</f>
        <v>35078750</v>
      </c>
      <c r="F57" s="165">
        <f t="shared" si="18"/>
        <v>1742500</v>
      </c>
      <c r="G57" s="166">
        <f t="shared" si="19"/>
        <v>4.967394790293269E-2</v>
      </c>
      <c r="H57" s="165">
        <f>VLOOKUP($B57,'Data shares'!$C:$FB,66)</f>
        <v>10576250</v>
      </c>
      <c r="I57" s="165">
        <f>VLOOKUP($B57,'Data shares'!$C:$FB,67)</f>
        <v>45187500</v>
      </c>
      <c r="J57" s="81">
        <f t="shared" si="20"/>
        <v>-76.594744121715081</v>
      </c>
      <c r="K57" s="5">
        <f>VLOOKUP($B57,'Data Vlaue (Cr)'!$C:$FB,99)</f>
        <v>1853</v>
      </c>
      <c r="L57" s="81">
        <f>VLOOKUP(B57,'OI(Value)'!$A$7:$C$209,3,0)</f>
        <v>88</v>
      </c>
      <c r="M57" s="33">
        <f t="shared" si="12"/>
        <v>4.7490555855369667</v>
      </c>
      <c r="N57" s="5">
        <f>VLOOKUP($B57,'Data Vlaue (Cr)'!$C:$FB,67)</f>
        <v>532</v>
      </c>
      <c r="O57" s="5">
        <f>VLOOKUP($B57,'Data Vlaue (Cr)'!$C:$FB,68)</f>
        <v>2274</v>
      </c>
      <c r="P57" s="5">
        <f t="shared" si="21"/>
        <v>-327.44360902255642</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2136.1999999999998</v>
      </c>
      <c r="D58" s="82">
        <f>VLOOKUP($B58,'Data shares'!$C:$FB,98)</f>
        <v>3839550</v>
      </c>
      <c r="E58" s="165">
        <f>VLOOKUP(B58,'Snapshot (Volume)'!$A$7:$G$168,7,0)</f>
        <v>3756675</v>
      </c>
      <c r="F58" s="165">
        <f t="shared" si="18"/>
        <v>82875</v>
      </c>
      <c r="G58" s="166">
        <f t="shared" si="19"/>
        <v>2.2060731897222942E-2</v>
      </c>
      <c r="H58" s="165">
        <f>VLOOKUP($B58,'Data shares'!$C:$FB,66)</f>
        <v>1115725</v>
      </c>
      <c r="I58" s="165">
        <f>VLOOKUP($B58,'Data shares'!$C:$FB,67)</f>
        <v>938925</v>
      </c>
      <c r="J58" s="81">
        <f t="shared" si="20"/>
        <v>18.830044998269297</v>
      </c>
      <c r="K58" s="5">
        <f>VLOOKUP($B58,'Data Vlaue (Cr)'!$C:$FB,99)</f>
        <v>826</v>
      </c>
      <c r="L58" s="81">
        <f>VLOOKUP(B58,'OI(Value)'!$A$7:$C$209,3,0)</f>
        <v>18</v>
      </c>
      <c r="M58" s="33">
        <f t="shared" si="12"/>
        <v>2.1791767554479415</v>
      </c>
      <c r="N58" s="5">
        <f>VLOOKUP($B58,'Data Vlaue (Cr)'!$C:$FB,67)</f>
        <v>240</v>
      </c>
      <c r="O58" s="5">
        <f>VLOOKUP($B58,'Data Vlaue (Cr)'!$C:$FB,68)</f>
        <v>202</v>
      </c>
      <c r="P58" s="5">
        <f t="shared" si="21"/>
        <v>15.833333333333332</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400.6</v>
      </c>
      <c r="D59" s="82">
        <f>VLOOKUP($B59,'Data shares'!$C:$FB,98)</f>
        <v>23080225</v>
      </c>
      <c r="E59" s="165">
        <f>VLOOKUP(B59,'Snapshot (Volume)'!$A$7:$G$168,7,0)</f>
        <v>22484700</v>
      </c>
      <c r="F59" s="165">
        <f t="shared" si="18"/>
        <v>595525</v>
      </c>
      <c r="G59" s="166">
        <f t="shared" si="19"/>
        <v>2.6485788113695091E-2</v>
      </c>
      <c r="H59" s="165">
        <f>VLOOKUP($B59,'Data shares'!$C:$FB,66)</f>
        <v>4473700</v>
      </c>
      <c r="I59" s="165">
        <f>VLOOKUP($B59,'Data shares'!$C:$FB,67)</f>
        <v>8246050</v>
      </c>
      <c r="J59" s="81">
        <f t="shared" si="20"/>
        <v>-45.747357825868143</v>
      </c>
      <c r="K59" s="5">
        <f>VLOOKUP($B59,'Data Vlaue (Cr)'!$C:$FB,99)</f>
        <v>931</v>
      </c>
      <c r="L59" s="81">
        <f>VLOOKUP(B59,'OI(Value)'!$A$7:$C$209,3,0)</f>
        <v>24</v>
      </c>
      <c r="M59" s="33">
        <f t="shared" si="12"/>
        <v>2.5778732545649841</v>
      </c>
      <c r="N59" s="5">
        <f>VLOOKUP($B59,'Data Vlaue (Cr)'!$C:$FB,67)</f>
        <v>180</v>
      </c>
      <c r="O59" s="5">
        <f>VLOOKUP($B59,'Data Vlaue (Cr)'!$C:$FB,68)</f>
        <v>333</v>
      </c>
      <c r="P59" s="5">
        <f t="shared" si="21"/>
        <v>-85</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6344</v>
      </c>
      <c r="D60" s="82">
        <f>VLOOKUP($B60,'Data shares'!$C:$FB,98)</f>
        <v>4223100</v>
      </c>
      <c r="E60" s="165">
        <f>VLOOKUP(B60,'Snapshot (Volume)'!$A$7:$G$168,7,0)</f>
        <v>4045400</v>
      </c>
      <c r="F60" s="165">
        <f t="shared" si="18"/>
        <v>177700</v>
      </c>
      <c r="G60" s="166">
        <f t="shared" si="19"/>
        <v>4.3926434963168046E-2</v>
      </c>
      <c r="H60" s="165">
        <f>VLOOKUP($B60,'Data shares'!$C:$FB,66)</f>
        <v>1037700</v>
      </c>
      <c r="I60" s="165">
        <f>VLOOKUP($B60,'Data shares'!$C:$FB,67)</f>
        <v>1681900</v>
      </c>
      <c r="J60" s="81">
        <f t="shared" si="20"/>
        <v>-38.301920447113389</v>
      </c>
      <c r="K60" s="5">
        <f>VLOOKUP($B60,'Data Vlaue (Cr)'!$C:$FB,99)</f>
        <v>2696</v>
      </c>
      <c r="L60" s="81">
        <f>VLOOKUP(B60,'OI(Value)'!$A$7:$C$209,3,0)</f>
        <v>113</v>
      </c>
      <c r="M60" s="33">
        <f t="shared" si="12"/>
        <v>4.1913946587537092</v>
      </c>
      <c r="N60" s="5">
        <f>VLOOKUP($B60,'Data Vlaue (Cr)'!$C:$FB,67)</f>
        <v>663</v>
      </c>
      <c r="O60" s="5">
        <f>VLOOKUP($B60,'Data Vlaue (Cr)'!$C:$FB,68)</f>
        <v>1074</v>
      </c>
      <c r="P60" s="5">
        <f t="shared" si="21"/>
        <v>-61.990950226244344</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12091</v>
      </c>
      <c r="D61" s="82">
        <f>VLOOKUP($B61,'Data shares'!$C:$FB,98)</f>
        <v>6563950</v>
      </c>
      <c r="E61" s="165">
        <f>VLOOKUP(B61,'Snapshot (Volume)'!$A$7:$G$168,7,0)</f>
        <v>6428450</v>
      </c>
      <c r="F61" s="165">
        <f t="shared" si="18"/>
        <v>135500</v>
      </c>
      <c r="G61" s="166">
        <f t="shared" si="19"/>
        <v>2.1078175921100731E-2</v>
      </c>
      <c r="H61" s="165">
        <f>VLOOKUP($B61,'Data shares'!$C:$FB,66)</f>
        <v>7052400</v>
      </c>
      <c r="I61" s="165">
        <f>VLOOKUP($B61,'Data shares'!$C:$FB,67)</f>
        <v>9622550</v>
      </c>
      <c r="J61" s="81">
        <f t="shared" si="20"/>
        <v>-26.709655964375344</v>
      </c>
      <c r="K61" s="5">
        <f>VLOOKUP($B61,'Data Vlaue (Cr)'!$C:$FB,99)</f>
        <v>7998</v>
      </c>
      <c r="L61" s="81">
        <f>VLOOKUP(B61,'OI(Value)'!$A$7:$C$209,3,0)</f>
        <v>165</v>
      </c>
      <c r="M61" s="33">
        <f t="shared" si="12"/>
        <v>2.0630157539384846</v>
      </c>
      <c r="N61" s="5">
        <f>VLOOKUP($B61,'Data Vlaue (Cr)'!$C:$FB,67)</f>
        <v>8593</v>
      </c>
      <c r="O61" s="5">
        <f>VLOOKUP($B61,'Data Vlaue (Cr)'!$C:$FB,68)</f>
        <v>11724</v>
      </c>
      <c r="P61" s="5">
        <f t="shared" si="21"/>
        <v>-36.436634469917372</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691.4</v>
      </c>
      <c r="D62" s="82">
        <f>VLOOKUP($B62,'Data shares'!$C:$FB,98)</f>
        <v>66320925</v>
      </c>
      <c r="E62" s="165">
        <f>VLOOKUP(B62,'Snapshot (Volume)'!$A$7:$G$168,7,0)</f>
        <v>65297925</v>
      </c>
      <c r="F62" s="165">
        <f t="shared" si="18"/>
        <v>1023000</v>
      </c>
      <c r="G62" s="166"/>
      <c r="H62" s="165">
        <f>VLOOKUP($B62,'Data shares'!$C:$FB,66)</f>
        <v>18671400</v>
      </c>
      <c r="I62" s="165">
        <f>VLOOKUP($B62,'Data shares'!$C:$FB,67)</f>
        <v>19975725</v>
      </c>
      <c r="J62" s="81"/>
      <c r="K62" s="5">
        <f>VLOOKUP($B62,'Data Vlaue (Cr)'!$C:$FB,99)</f>
        <v>4612</v>
      </c>
      <c r="L62" s="81">
        <f>VLOOKUP(B62,'OI(Value)'!$A$7:$C$209,3,0)</f>
        <v>71</v>
      </c>
      <c r="M62" s="33"/>
      <c r="N62" s="5">
        <f>VLOOKUP($B62,'Data Vlaue (Cr)'!$C:$FB,67)</f>
        <v>1299</v>
      </c>
      <c r="O62" s="5">
        <f>VLOOKUP($B62,'Data Vlaue (Cr)'!$C:$FB,68)</f>
        <v>1389</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3716.1</v>
      </c>
      <c r="D63" s="82">
        <f>VLOOKUP($B63,'Data shares'!$C:$FB,98)</f>
        <v>7528500</v>
      </c>
      <c r="E63" s="165">
        <f>VLOOKUP(B63,'Snapshot (Volume)'!$A$7:$G$168,7,0)</f>
        <v>6928950</v>
      </c>
      <c r="F63" s="165">
        <f t="shared" si="18"/>
        <v>599550</v>
      </c>
      <c r="G63" s="166">
        <f t="shared" si="19"/>
        <v>8.6528261857857253E-2</v>
      </c>
      <c r="H63" s="165">
        <f>VLOOKUP($B63,'Data shares'!$C:$FB,66)</f>
        <v>3236250</v>
      </c>
      <c r="I63" s="165">
        <f>VLOOKUP($B63,'Data shares'!$C:$FB,67)</f>
        <v>2754900</v>
      </c>
      <c r="J63" s="81">
        <f t="shared" si="20"/>
        <v>17.472503539148427</v>
      </c>
      <c r="K63" s="5">
        <f>VLOOKUP($B63,'Data Vlaue (Cr)'!$C:$FB,99)</f>
        <v>2796</v>
      </c>
      <c r="L63" s="81">
        <f>VLOOKUP(B63,'OI(Value)'!$A$7:$C$209,3,0)</f>
        <v>223</v>
      </c>
      <c r="M63" s="33">
        <f t="shared" si="12"/>
        <v>7.9756795422031468</v>
      </c>
      <c r="N63" s="5">
        <f>VLOOKUP($B63,'Data Vlaue (Cr)'!$C:$FB,67)</f>
        <v>1202</v>
      </c>
      <c r="O63" s="5">
        <f>VLOOKUP($B63,'Data Vlaue (Cr)'!$C:$FB,68)</f>
        <v>1023</v>
      </c>
      <c r="P63" s="5">
        <f t="shared" si="21"/>
        <v>14.891846921797006</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1253.4000000000001</v>
      </c>
      <c r="D64" s="82">
        <f>VLOOKUP($B64,'Data shares'!$C:$FB,98)</f>
        <v>18085000</v>
      </c>
      <c r="E64" s="165">
        <f>VLOOKUP(B64,'Snapshot (Volume)'!$A$7:$G$168,7,0)</f>
        <v>16027500</v>
      </c>
      <c r="F64" s="165">
        <f t="shared" si="18"/>
        <v>2057500</v>
      </c>
      <c r="G64" s="166">
        <f t="shared" si="19"/>
        <v>0.12837310871938856</v>
      </c>
      <c r="H64" s="165">
        <f>VLOOKUP($B64,'Data shares'!$C:$FB,66)</f>
        <v>9770625</v>
      </c>
      <c r="I64" s="165">
        <f>VLOOKUP($B64,'Data shares'!$C:$FB,67)</f>
        <v>5297500</v>
      </c>
      <c r="J64" s="81">
        <f t="shared" si="20"/>
        <v>84.438414346389806</v>
      </c>
      <c r="K64" s="5">
        <f>VLOOKUP($B64,'Data Vlaue (Cr)'!$C:$FB,99)</f>
        <v>2269</v>
      </c>
      <c r="L64" s="81">
        <f>VLOOKUP(B64,'OI(Value)'!$A$7:$C$209,3,0)</f>
        <v>258</v>
      </c>
      <c r="M64" s="33">
        <f t="shared" si="12"/>
        <v>11.370647862494492</v>
      </c>
      <c r="N64" s="5">
        <f>VLOOKUP($B64,'Data Vlaue (Cr)'!$C:$FB,67)</f>
        <v>1226</v>
      </c>
      <c r="O64" s="5">
        <f>VLOOKUP($B64,'Data Vlaue (Cr)'!$C:$FB,68)</f>
        <v>665</v>
      </c>
      <c r="P64" s="5">
        <f t="shared" si="21"/>
        <v>45.758564437194124</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7348</v>
      </c>
      <c r="D65" s="82">
        <f>VLOOKUP($B65,'Data shares'!$C:$FB,98)</f>
        <v>4813000</v>
      </c>
      <c r="E65" s="165">
        <f>VLOOKUP(B65,'Snapshot (Volume)'!$A$7:$G$168,7,0)</f>
        <v>4649600</v>
      </c>
      <c r="F65" s="165">
        <f t="shared" si="18"/>
        <v>163400</v>
      </c>
      <c r="G65" s="166">
        <f t="shared" si="19"/>
        <v>3.5142807983482453E-2</v>
      </c>
      <c r="H65" s="165">
        <f>VLOOKUP($B65,'Data shares'!$C:$FB,66)</f>
        <v>3473500</v>
      </c>
      <c r="I65" s="165">
        <f>VLOOKUP($B65,'Data shares'!$C:$FB,67)</f>
        <v>4121900</v>
      </c>
      <c r="J65" s="81">
        <f t="shared" si="20"/>
        <v>-15.73060967029768</v>
      </c>
      <c r="K65" s="5">
        <f>VLOOKUP($B65,'Data Vlaue (Cr)'!$C:$FB,99)</f>
        <v>3553</v>
      </c>
      <c r="L65" s="81">
        <f>VLOOKUP(B65,'OI(Value)'!$A$7:$C$209,3,0)</f>
        <v>121</v>
      </c>
      <c r="M65" s="33">
        <f t="shared" si="12"/>
        <v>3.4055727554179565</v>
      </c>
      <c r="N65" s="5">
        <f>VLOOKUP($B65,'Data Vlaue (Cr)'!$C:$FB,67)</f>
        <v>2564</v>
      </c>
      <c r="O65" s="5">
        <f>VLOOKUP($B65,'Data Vlaue (Cr)'!$C:$FB,68)</f>
        <v>3043</v>
      </c>
      <c r="P65" s="5">
        <f t="shared" si="21"/>
        <v>-18.681747269890796</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283.8</v>
      </c>
      <c r="D66" s="82">
        <f>VLOOKUP($B66,'Data shares'!$C:$FB,98)</f>
        <v>349847475</v>
      </c>
      <c r="E66" s="165">
        <f>VLOOKUP(B66,'Snapshot (Volume)'!$A$7:$G$168,7,0)</f>
        <v>347085400</v>
      </c>
      <c r="F66" s="165">
        <f t="shared" si="18"/>
        <v>2762075</v>
      </c>
      <c r="G66" s="166">
        <f t="shared" si="19"/>
        <v>7.9579117992286622E-3</v>
      </c>
      <c r="H66" s="165">
        <f>VLOOKUP($B66,'Data shares'!$C:$FB,66)</f>
        <v>82748275</v>
      </c>
      <c r="I66" s="165">
        <f>VLOOKUP($B66,'Data shares'!$C:$FB,67)</f>
        <v>88265150</v>
      </c>
      <c r="J66" s="81">
        <f t="shared" si="20"/>
        <v>-6.2503434254629369</v>
      </c>
      <c r="K66" s="5">
        <f>VLOOKUP($B66,'Data Vlaue (Cr)'!$C:$FB,99)</f>
        <v>9967</v>
      </c>
      <c r="L66" s="81">
        <f>VLOOKUP(B66,'OI(Value)'!$A$7:$C$209,3,0)</f>
        <v>79</v>
      </c>
      <c r="M66" s="33">
        <f t="shared" ref="M66:M93" si="22">L66/K66*100</f>
        <v>0.79261563158422799</v>
      </c>
      <c r="N66" s="5">
        <f>VLOOKUP($B66,'Data Vlaue (Cr)'!$C:$FB,67)</f>
        <v>2357</v>
      </c>
      <c r="O66" s="5">
        <f>VLOOKUP($B66,'Data Vlaue (Cr)'!$C:$FB,68)</f>
        <v>2515</v>
      </c>
      <c r="P66" s="5">
        <f t="shared" si="21"/>
        <v>-6.703436571913449</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363.25</v>
      </c>
      <c r="D67" s="82">
        <f>VLOOKUP($B67,'Data shares'!$C:$FB,98)</f>
        <v>47214000</v>
      </c>
      <c r="E67" s="165">
        <f>VLOOKUP(B67,'Snapshot (Volume)'!$A$7:$G$168,7,0)</f>
        <v>46128600</v>
      </c>
      <c r="F67" s="165">
        <f t="shared" si="18"/>
        <v>1085400</v>
      </c>
      <c r="G67" s="166">
        <f t="shared" si="19"/>
        <v>2.3529870839349123E-2</v>
      </c>
      <c r="H67" s="165">
        <f>VLOOKUP($B67,'Data shares'!$C:$FB,66)</f>
        <v>8852400</v>
      </c>
      <c r="I67" s="165">
        <f>VLOOKUP($B67,'Data shares'!$C:$FB,67)</f>
        <v>11876400</v>
      </c>
      <c r="J67" s="81">
        <f t="shared" si="20"/>
        <v>-25.462261291300393</v>
      </c>
      <c r="K67" s="5">
        <f>VLOOKUP($B67,'Data Vlaue (Cr)'!$C:$FB,99)</f>
        <v>1724</v>
      </c>
      <c r="L67" s="81">
        <f>VLOOKUP(B67,'OI(Value)'!$A$7:$C$209,3,0)</f>
        <v>40</v>
      </c>
      <c r="M67" s="33">
        <f t="shared" si="22"/>
        <v>2.3201856148491879</v>
      </c>
      <c r="N67" s="5">
        <f>VLOOKUP($B67,'Data Vlaue (Cr)'!$C:$FB,67)</f>
        <v>323</v>
      </c>
      <c r="O67" s="5">
        <f>VLOOKUP($B67,'Data Vlaue (Cr)'!$C:$FB,68)</f>
        <v>434</v>
      </c>
      <c r="P67" s="5">
        <f t="shared" si="21"/>
        <v>-34.365325077399383</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266.25</v>
      </c>
      <c r="D68" s="82">
        <f>VLOOKUP($B68,'Data shares'!$C:$FB,98)</f>
        <v>91655000</v>
      </c>
      <c r="E68" s="165">
        <f>VLOOKUP(B68,'Snapshot (Volume)'!$A$7:$G$168,7,0)</f>
        <v>87210000</v>
      </c>
      <c r="F68" s="165">
        <f t="shared" si="18"/>
        <v>4445000</v>
      </c>
      <c r="G68" s="166">
        <f t="shared" si="19"/>
        <v>5.0968925581928677E-2</v>
      </c>
      <c r="H68" s="165">
        <f>VLOOKUP($B68,'Data shares'!$C:$FB,66)</f>
        <v>39010000</v>
      </c>
      <c r="I68" s="165">
        <f>VLOOKUP($B68,'Data shares'!$C:$FB,67)</f>
        <v>64540000</v>
      </c>
      <c r="J68" s="81">
        <f t="shared" si="20"/>
        <v>-39.556863960334674</v>
      </c>
      <c r="K68" s="5">
        <f>VLOOKUP($B68,'Data Vlaue (Cr)'!$C:$FB,99)</f>
        <v>2446</v>
      </c>
      <c r="L68" s="81">
        <f>VLOOKUP(B68,'OI(Value)'!$A$7:$C$209,3,0)</f>
        <v>119</v>
      </c>
      <c r="M68" s="33">
        <f t="shared" si="22"/>
        <v>4.8650858544562556</v>
      </c>
      <c r="N68" s="5">
        <f>VLOOKUP($B68,'Data Vlaue (Cr)'!$C:$FB,67)</f>
        <v>1041</v>
      </c>
      <c r="O68" s="5">
        <f>VLOOKUP($B68,'Data Vlaue (Cr)'!$C:$FB,68)</f>
        <v>1722</v>
      </c>
      <c r="P68" s="5">
        <f t="shared" si="21"/>
        <v>-65.417867435158499</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27666.799999999999</v>
      </c>
      <c r="D69" s="165">
        <f>VLOOKUP($B69,'Data shares'!$C:$FB,98)</f>
        <v>348900</v>
      </c>
      <c r="E69" s="165">
        <f>VLOOKUP(B69,'Snapshot (Volume)'!$A$7:$G$168,7,0)</f>
        <v>284640</v>
      </c>
      <c r="F69" s="165">
        <f t="shared" ref="F69:F85" si="23">D69-E69</f>
        <v>64260</v>
      </c>
      <c r="G69" s="166">
        <f t="shared" ref="G69:G85" si="24">F69/E69</f>
        <v>0.22575885328836426</v>
      </c>
      <c r="H69" s="165">
        <f>VLOOKUP($B69,'Data shares'!$C:$FB,66)</f>
        <v>663360</v>
      </c>
      <c r="I69" s="165">
        <f>VLOOKUP($B69,'Data shares'!$C:$FB,67)</f>
        <v>963480</v>
      </c>
      <c r="J69" s="81">
        <f t="shared" ref="J69:J85" si="25">(H69-I69)/I69*100</f>
        <v>-31.149582762485988</v>
      </c>
      <c r="K69" s="81">
        <f>VLOOKUP($B69,'Data Vlaue (Cr)'!$C:$FB,99)</f>
        <v>970</v>
      </c>
      <c r="L69" s="81">
        <f>VLOOKUP(B69,'OI(Value)'!$A$7:$C$209,3,0)</f>
        <v>179</v>
      </c>
      <c r="M69" s="81">
        <f t="shared" si="22"/>
        <v>18.453608247422682</v>
      </c>
      <c r="N69" s="81">
        <f>VLOOKUP($B69,'Data Vlaue (Cr)'!$C:$FB,67)</f>
        <v>1844</v>
      </c>
      <c r="O69" s="81">
        <f>VLOOKUP($B69,'Data Vlaue (Cr)'!$C:$FB,68)</f>
        <v>2678</v>
      </c>
      <c r="P69" s="81">
        <f t="shared" ref="P69:P85" si="26">(N69-O69)/N69*100</f>
        <v>-45.227765726681127</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900.55</v>
      </c>
      <c r="D70" s="165">
        <f>VLOOKUP($B70,'Data shares'!$C:$FB,98)</f>
        <v>14782350</v>
      </c>
      <c r="E70" s="165">
        <f>VLOOKUP(B70,'Snapshot (Volume)'!$A$7:$G$168,7,0)</f>
        <v>14080975</v>
      </c>
      <c r="F70" s="165">
        <f t="shared" si="23"/>
        <v>701375</v>
      </c>
      <c r="G70" s="166">
        <f t="shared" si="24"/>
        <v>4.9810116131872972E-2</v>
      </c>
      <c r="H70" s="165">
        <f>VLOOKUP($B70,'Data shares'!$C:$FB,66)</f>
        <v>4813525</v>
      </c>
      <c r="I70" s="165">
        <f>VLOOKUP($B70,'Data shares'!$C:$FB,67)</f>
        <v>2223475</v>
      </c>
      <c r="J70" s="81">
        <f t="shared" si="25"/>
        <v>116.48658069013594</v>
      </c>
      <c r="K70" s="81">
        <f>VLOOKUP($B70,'Data Vlaue (Cr)'!$C:$FB,99)</f>
        <v>1338</v>
      </c>
      <c r="L70" s="81">
        <f>VLOOKUP(B70,'OI(Value)'!$A$7:$C$209,3,0)</f>
        <v>63</v>
      </c>
      <c r="M70" s="81">
        <f t="shared" si="22"/>
        <v>4.7085201793721971</v>
      </c>
      <c r="N70" s="81">
        <f>VLOOKUP($B70,'Data Vlaue (Cr)'!$C:$FB,67)</f>
        <v>436</v>
      </c>
      <c r="O70" s="81">
        <f>VLOOKUP($B70,'Data Vlaue (Cr)'!$C:$FB,68)</f>
        <v>201</v>
      </c>
      <c r="P70" s="81">
        <f t="shared" si="26"/>
        <v>53.899082568807344</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171.77</v>
      </c>
      <c r="D71" s="82">
        <f>VLOOKUP($B71,'Data shares'!$C:$FB,98)</f>
        <v>135100350</v>
      </c>
      <c r="E71" s="165">
        <f>VLOOKUP(B71,'Snapshot (Volume)'!$A$7:$G$168,7,0)</f>
        <v>132189750</v>
      </c>
      <c r="F71" s="165">
        <f t="shared" si="23"/>
        <v>2910600</v>
      </c>
      <c r="G71" s="166">
        <f t="shared" si="24"/>
        <v>2.2018348623853212E-2</v>
      </c>
      <c r="H71" s="165">
        <f>VLOOKUP($B71,'Data shares'!$C:$FB,66)</f>
        <v>19293750</v>
      </c>
      <c r="I71" s="165">
        <f>VLOOKUP($B71,'Data shares'!$C:$FB,67)</f>
        <v>41523300</v>
      </c>
      <c r="J71" s="81">
        <f t="shared" si="25"/>
        <v>-53.535123653466854</v>
      </c>
      <c r="K71" s="5">
        <f>VLOOKUP($B71,'Data Vlaue (Cr)'!$C:$FB,99)</f>
        <v>2335</v>
      </c>
      <c r="L71" s="81">
        <f>VLOOKUP(B71,'OI(Value)'!$A$7:$C$209,3,0)</f>
        <v>50</v>
      </c>
      <c r="M71" s="33">
        <f t="shared" si="22"/>
        <v>2.1413276231263381</v>
      </c>
      <c r="N71" s="5">
        <f>VLOOKUP($B71,'Data Vlaue (Cr)'!$C:$FB,67)</f>
        <v>333</v>
      </c>
      <c r="O71" s="5">
        <f>VLOOKUP($B71,'Data Vlaue (Cr)'!$C:$FB,68)</f>
        <v>718</v>
      </c>
      <c r="P71" s="5">
        <f t="shared" si="26"/>
        <v>-115.61561561561562</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2026.2</v>
      </c>
      <c r="D72" s="82">
        <f>VLOOKUP($B72,'Data shares'!$C:$FB,98)</f>
        <v>15630375</v>
      </c>
      <c r="E72" s="165">
        <f>VLOOKUP(B72,'Snapshot (Volume)'!$A$7:$G$168,7,0)</f>
        <v>15476250</v>
      </c>
      <c r="F72" s="165">
        <f t="shared" si="23"/>
        <v>154125</v>
      </c>
      <c r="G72" s="166">
        <f t="shared" si="24"/>
        <v>9.9588078507390349E-3</v>
      </c>
      <c r="H72" s="165">
        <f>VLOOKUP($B72,'Data shares'!$C:$FB,66)</f>
        <v>2244000</v>
      </c>
      <c r="I72" s="165">
        <f>VLOOKUP($B72,'Data shares'!$C:$FB,67)</f>
        <v>3938625</v>
      </c>
      <c r="J72" s="81">
        <f t="shared" si="25"/>
        <v>-43.025802151766165</v>
      </c>
      <c r="K72" s="5">
        <f>VLOOKUP($B72,'Data Vlaue (Cr)'!$C:$FB,99)</f>
        <v>3179</v>
      </c>
      <c r="L72" s="81">
        <f>VLOOKUP(B72,'OI(Value)'!$A$7:$C$209,3,0)</f>
        <v>31</v>
      </c>
      <c r="M72" s="33">
        <f t="shared" si="22"/>
        <v>0.97514941805599242</v>
      </c>
      <c r="N72" s="5">
        <f>VLOOKUP($B72,'Data Vlaue (Cr)'!$C:$FB,67)</f>
        <v>456</v>
      </c>
      <c r="O72" s="5">
        <f>VLOOKUP($B72,'Data Vlaue (Cr)'!$C:$FB,68)</f>
        <v>801</v>
      </c>
      <c r="P72" s="5">
        <f t="shared" si="26"/>
        <v>-75.657894736842096</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105.5</v>
      </c>
      <c r="D73" s="82">
        <f>VLOOKUP($B73,'Data shares'!$C:$FB,98)</f>
        <v>290997000</v>
      </c>
      <c r="E73" s="165">
        <f>VLOOKUP(B73,'Snapshot (Volume)'!$A$7:$G$168,7,0)</f>
        <v>284287050</v>
      </c>
      <c r="F73" s="165">
        <f t="shared" si="23"/>
        <v>6709950</v>
      </c>
      <c r="G73" s="166">
        <f t="shared" si="24"/>
        <v>2.3602728298738898E-2</v>
      </c>
      <c r="H73" s="165">
        <f>VLOOKUP($B73,'Data shares'!$C:$FB,66)</f>
        <v>103013775</v>
      </c>
      <c r="I73" s="165">
        <f>VLOOKUP($B73,'Data shares'!$C:$FB,67)</f>
        <v>125703450</v>
      </c>
      <c r="J73" s="81">
        <f t="shared" si="25"/>
        <v>-18.05016091443791</v>
      </c>
      <c r="K73" s="5">
        <f>VLOOKUP($B73,'Data Vlaue (Cr)'!$C:$FB,99)</f>
        <v>3090</v>
      </c>
      <c r="L73" s="81">
        <f>VLOOKUP(B73,'OI(Value)'!$A$7:$C$209,3,0)</f>
        <v>71</v>
      </c>
      <c r="M73" s="33">
        <f t="shared" si="22"/>
        <v>2.2977346278317152</v>
      </c>
      <c r="N73" s="5">
        <f>VLOOKUP($B73,'Data Vlaue (Cr)'!$C:$FB,67)</f>
        <v>1094</v>
      </c>
      <c r="O73" s="5">
        <f>VLOOKUP($B73,'Data Vlaue (Cr)'!$C:$FB,68)</f>
        <v>1335</v>
      </c>
      <c r="P73" s="5">
        <f t="shared" si="26"/>
        <v>-22.02925045703839</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1243.4000000000001</v>
      </c>
      <c r="D74" s="82">
        <f>VLOOKUP($B74,'Data shares'!$C:$FB,98)</f>
        <v>11059500</v>
      </c>
      <c r="E74" s="165">
        <f>VLOOKUP(B74,'Snapshot (Volume)'!$A$7:$G$168,7,0)</f>
        <v>11056000</v>
      </c>
      <c r="F74" s="165">
        <f t="shared" si="23"/>
        <v>3500</v>
      </c>
      <c r="G74" s="166">
        <f t="shared" si="24"/>
        <v>3.1657018813314037E-4</v>
      </c>
      <c r="H74" s="165">
        <f>VLOOKUP($B74,'Data shares'!$C:$FB,66)</f>
        <v>3615500</v>
      </c>
      <c r="I74" s="165">
        <f>VLOOKUP($B74,'Data shares'!$C:$FB,67)</f>
        <v>3741500</v>
      </c>
      <c r="J74" s="81">
        <f t="shared" si="25"/>
        <v>-3.3676333021515439</v>
      </c>
      <c r="K74" s="5">
        <f>VLOOKUP($B74,'Data Vlaue (Cr)'!$C:$FB,99)</f>
        <v>1380</v>
      </c>
      <c r="L74" s="81">
        <f>VLOOKUP(B74,'OI(Value)'!$A$7:$C$209,3,0)</f>
        <v>0</v>
      </c>
      <c r="M74" s="33">
        <f t="shared" si="22"/>
        <v>0</v>
      </c>
      <c r="N74" s="5">
        <f>VLOOKUP($B74,'Data Vlaue (Cr)'!$C:$FB,67)</f>
        <v>451</v>
      </c>
      <c r="O74" s="5">
        <f>VLOOKUP($B74,'Data Vlaue (Cr)'!$C:$FB,68)</f>
        <v>467</v>
      </c>
      <c r="P74" s="5">
        <f t="shared" si="26"/>
        <v>-3.5476718403547673</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2015.3</v>
      </c>
      <c r="D75" s="82">
        <f>VLOOKUP($B75,'Data shares'!$C:$FB,98)</f>
        <v>12066450</v>
      </c>
      <c r="E75" s="165">
        <f>VLOOKUP(B75,'Snapshot (Volume)'!$A$7:$G$168,7,0)</f>
        <v>11818125</v>
      </c>
      <c r="F75" s="165">
        <f t="shared" si="23"/>
        <v>248325</v>
      </c>
      <c r="G75" s="166">
        <f t="shared" si="24"/>
        <v>2.1012216404886562E-2</v>
      </c>
      <c r="H75" s="165">
        <f>VLOOKUP($B75,'Data shares'!$C:$FB,66)</f>
        <v>2484075</v>
      </c>
      <c r="I75" s="165">
        <f>VLOOKUP($B75,'Data shares'!$C:$FB,67)</f>
        <v>3521375</v>
      </c>
      <c r="J75" s="81">
        <f t="shared" si="25"/>
        <v>-29.457243264349863</v>
      </c>
      <c r="K75" s="5">
        <f>VLOOKUP($B75,'Data Vlaue (Cr)'!$C:$FB,99)</f>
        <v>2449</v>
      </c>
      <c r="L75" s="81">
        <f>VLOOKUP(B75,'OI(Value)'!$A$7:$C$209,3,0)</f>
        <v>50</v>
      </c>
      <c r="M75" s="33">
        <f t="shared" si="22"/>
        <v>2.0416496529195589</v>
      </c>
      <c r="N75" s="5">
        <f>VLOOKUP($B75,'Data Vlaue (Cr)'!$C:$FB,67)</f>
        <v>504</v>
      </c>
      <c r="O75" s="5">
        <f>VLOOKUP($B75,'Data Vlaue (Cr)'!$C:$FB,68)</f>
        <v>715</v>
      </c>
      <c r="P75" s="5">
        <f t="shared" si="26"/>
        <v>-41.865079365079367</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2851.7</v>
      </c>
      <c r="D76" s="82">
        <f>VLOOKUP($B76,'Data shares'!$C:$FB,98)</f>
        <v>17761000</v>
      </c>
      <c r="E76" s="165">
        <f>VLOOKUP(B76,'Snapshot (Volume)'!$A$7:$G$168,7,0)</f>
        <v>17438250</v>
      </c>
      <c r="F76" s="165">
        <f t="shared" si="23"/>
        <v>322750</v>
      </c>
      <c r="G76" s="166">
        <f t="shared" si="24"/>
        <v>1.8508164523389676E-2</v>
      </c>
      <c r="H76" s="165">
        <f>VLOOKUP($B76,'Data shares'!$C:$FB,66)</f>
        <v>1734000</v>
      </c>
      <c r="I76" s="165">
        <f>VLOOKUP($B76,'Data shares'!$C:$FB,67)</f>
        <v>3524250</v>
      </c>
      <c r="J76" s="81">
        <f t="shared" si="25"/>
        <v>-50.798042136624808</v>
      </c>
      <c r="K76" s="5">
        <f>VLOOKUP($B76,'Data Vlaue (Cr)'!$C:$FB,99)</f>
        <v>5099</v>
      </c>
      <c r="L76" s="81">
        <f>VLOOKUP(B76,'OI(Value)'!$A$7:$C$209,3,0)</f>
        <v>93</v>
      </c>
      <c r="M76" s="33">
        <f t="shared" si="22"/>
        <v>1.8238870366738578</v>
      </c>
      <c r="N76" s="5">
        <f>VLOOKUP($B76,'Data Vlaue (Cr)'!$C:$FB,67)</f>
        <v>498</v>
      </c>
      <c r="O76" s="5">
        <f>VLOOKUP($B76,'Data Vlaue (Cr)'!$C:$FB,68)</f>
        <v>1012</v>
      </c>
      <c r="P76" s="5">
        <f t="shared" si="26"/>
        <v>-103.21285140562249</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4397.8999999999996</v>
      </c>
      <c r="D77" s="82">
        <f>VLOOKUP($B77,'Data shares'!$C:$FB,98)</f>
        <v>15756450</v>
      </c>
      <c r="E77" s="165">
        <f>VLOOKUP(B77,'Snapshot (Volume)'!$A$7:$G$168,7,0)</f>
        <v>15440400</v>
      </c>
      <c r="F77" s="165">
        <f t="shared" si="23"/>
        <v>316050</v>
      </c>
      <c r="G77" s="166">
        <f t="shared" si="24"/>
        <v>2.0469029299759075E-2</v>
      </c>
      <c r="H77" s="165">
        <f>VLOOKUP($B77,'Data shares'!$C:$FB,66)</f>
        <v>3976200</v>
      </c>
      <c r="I77" s="165">
        <f>VLOOKUP($B77,'Data shares'!$C:$FB,67)</f>
        <v>6019950</v>
      </c>
      <c r="J77" s="81">
        <f t="shared" si="25"/>
        <v>-33.949617521740215</v>
      </c>
      <c r="K77" s="5">
        <f>VLOOKUP($B77,'Data Vlaue (Cr)'!$C:$FB,99)</f>
        <v>6960</v>
      </c>
      <c r="L77" s="81">
        <f>VLOOKUP(B77,'OI(Value)'!$A$7:$C$209,3,0)</f>
        <v>140</v>
      </c>
      <c r="M77" s="33">
        <f t="shared" si="22"/>
        <v>2.0114942528735633</v>
      </c>
      <c r="N77" s="5">
        <f>VLOOKUP($B77,'Data Vlaue (Cr)'!$C:$FB,67)</f>
        <v>1756</v>
      </c>
      <c r="O77" s="5">
        <f>VLOOKUP($B77,'Data Vlaue (Cr)'!$C:$FB,68)</f>
        <v>2659</v>
      </c>
      <c r="P77" s="5">
        <f t="shared" si="26"/>
        <v>-51.423690205011383</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1417.5</v>
      </c>
      <c r="D78" s="82">
        <f>VLOOKUP($B78,'Data shares'!$C:$FB,98)</f>
        <v>10642500</v>
      </c>
      <c r="E78" s="165">
        <f>VLOOKUP(B78,'Snapshot (Volume)'!$A$7:$G$168,7,0)</f>
        <v>10289500</v>
      </c>
      <c r="F78" s="165">
        <f t="shared" si="23"/>
        <v>353000</v>
      </c>
      <c r="G78" s="166">
        <f t="shared" si="24"/>
        <v>3.4306817629622434E-2</v>
      </c>
      <c r="H78" s="165">
        <f>VLOOKUP($B78,'Data shares'!$C:$FB,66)</f>
        <v>1928000</v>
      </c>
      <c r="I78" s="165">
        <f>VLOOKUP($B78,'Data shares'!$C:$FB,67)</f>
        <v>2515500</v>
      </c>
      <c r="J78" s="81">
        <f t="shared" si="25"/>
        <v>-23.355197773802423</v>
      </c>
      <c r="K78" s="5">
        <f>VLOOKUP($B78,'Data Vlaue (Cr)'!$C:$FB,99)</f>
        <v>1516</v>
      </c>
      <c r="L78" s="81">
        <f>VLOOKUP(B78,'OI(Value)'!$A$7:$C$209,3,0)</f>
        <v>50</v>
      </c>
      <c r="M78" s="33">
        <f t="shared" si="22"/>
        <v>3.2981530343007917</v>
      </c>
      <c r="N78" s="5">
        <f>VLOOKUP($B78,'Data Vlaue (Cr)'!$C:$FB,67)</f>
        <v>275</v>
      </c>
      <c r="O78" s="5">
        <f>VLOOKUP($B78,'Data Vlaue (Cr)'!$C:$FB,68)</f>
        <v>358</v>
      </c>
      <c r="P78" s="5">
        <f t="shared" si="26"/>
        <v>-30.181818181818183</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1634.5</v>
      </c>
      <c r="D79" s="82">
        <f>VLOOKUP($B79,'Data shares'!$C:$FB,98)</f>
        <v>21844900</v>
      </c>
      <c r="E79" s="165">
        <f>VLOOKUP(B79,'Snapshot (Volume)'!$A$7:$G$168,7,0)</f>
        <v>20809600</v>
      </c>
      <c r="F79" s="165">
        <f t="shared" si="23"/>
        <v>1035300</v>
      </c>
      <c r="G79" s="166">
        <f t="shared" si="24"/>
        <v>4.9751076426264799E-2</v>
      </c>
      <c r="H79" s="165">
        <f>VLOOKUP($B79,'Data shares'!$C:$FB,66)</f>
        <v>7588700</v>
      </c>
      <c r="I79" s="165">
        <f>VLOOKUP($B79,'Data shares'!$C:$FB,67)</f>
        <v>6860700</v>
      </c>
      <c r="J79" s="81">
        <f t="shared" si="25"/>
        <v>10.611162126313642</v>
      </c>
      <c r="K79" s="5">
        <f>VLOOKUP($B79,'Data Vlaue (Cr)'!$C:$FB,99)</f>
        <v>3557</v>
      </c>
      <c r="L79" s="81">
        <f>VLOOKUP(B79,'OI(Value)'!$A$7:$C$209,3,0)</f>
        <v>169</v>
      </c>
      <c r="M79" s="33">
        <f t="shared" si="22"/>
        <v>4.7511948271014903</v>
      </c>
      <c r="N79" s="5">
        <f>VLOOKUP($B79,'Data Vlaue (Cr)'!$C:$FB,67)</f>
        <v>1236</v>
      </c>
      <c r="O79" s="5">
        <f>VLOOKUP($B79,'Data Vlaue (Cr)'!$C:$FB,68)</f>
        <v>1117</v>
      </c>
      <c r="P79" s="5">
        <f t="shared" si="26"/>
        <v>9.6278317152103554</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2648.2</v>
      </c>
      <c r="D80" s="82">
        <f>VLOOKUP($B80,'Data shares'!$C:$FB,98)</f>
        <v>7870200</v>
      </c>
      <c r="E80" s="165">
        <f>VLOOKUP(B80,'Snapshot (Volume)'!$A$7:$G$168,7,0)</f>
        <v>7678500</v>
      </c>
      <c r="F80" s="165">
        <f t="shared" si="23"/>
        <v>191700</v>
      </c>
      <c r="G80" s="166">
        <f t="shared" si="24"/>
        <v>2.4965813635475679E-2</v>
      </c>
      <c r="H80" s="165">
        <f>VLOOKUP($B80,'Data shares'!$C:$FB,66)</f>
        <v>1755600</v>
      </c>
      <c r="I80" s="165">
        <f>VLOOKUP($B80,'Data shares'!$C:$FB,67)</f>
        <v>3169200</v>
      </c>
      <c r="J80" s="81">
        <f t="shared" si="25"/>
        <v>-44.60431654676259</v>
      </c>
      <c r="K80" s="5">
        <f>VLOOKUP($B80,'Data Vlaue (Cr)'!$C:$FB,99)</f>
        <v>2096</v>
      </c>
      <c r="L80" s="81">
        <f>VLOOKUP(B80,'OI(Value)'!$A$7:$C$209,3,0)</f>
        <v>51</v>
      </c>
      <c r="M80" s="33">
        <f t="shared" si="22"/>
        <v>2.4332061068702289</v>
      </c>
      <c r="N80" s="5">
        <f>VLOOKUP($B80,'Data Vlaue (Cr)'!$C:$FB,67)</f>
        <v>468</v>
      </c>
      <c r="O80" s="5">
        <f>VLOOKUP($B80,'Data Vlaue (Cr)'!$C:$FB,68)</f>
        <v>844</v>
      </c>
      <c r="P80" s="5">
        <f t="shared" si="26"/>
        <v>-80.341880341880341</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991.15</v>
      </c>
      <c r="D81" s="82">
        <f>VLOOKUP($B81,'Data shares'!$C:$FB,98)</f>
        <v>259107750</v>
      </c>
      <c r="E81" s="165">
        <f>VLOOKUP(B81,'Snapshot (Volume)'!$A$7:$G$168,7,0)</f>
        <v>255807200</v>
      </c>
      <c r="F81" s="165">
        <f t="shared" si="23"/>
        <v>3300550</v>
      </c>
      <c r="G81" s="166">
        <f t="shared" si="24"/>
        <v>1.290249062575252E-2</v>
      </c>
      <c r="H81" s="165">
        <f>VLOOKUP($B81,'Data shares'!$C:$FB,66)</f>
        <v>32320750</v>
      </c>
      <c r="I81" s="165">
        <f>VLOOKUP($B81,'Data shares'!$C:$FB,67)</f>
        <v>65264100</v>
      </c>
      <c r="J81" s="81">
        <f t="shared" si="25"/>
        <v>-50.476985049973877</v>
      </c>
      <c r="K81" s="5">
        <f>VLOOKUP($B81,'Data Vlaue (Cr)'!$C:$FB,99)</f>
        <v>25790</v>
      </c>
      <c r="L81" s="81">
        <f>VLOOKUP(B81,'OI(Value)'!$A$7:$C$209,3,0)</f>
        <v>329</v>
      </c>
      <c r="M81" s="33">
        <f t="shared" si="22"/>
        <v>1.2756882512601784</v>
      </c>
      <c r="N81" s="5">
        <f>VLOOKUP($B81,'Data Vlaue (Cr)'!$C:$FB,67)</f>
        <v>3217</v>
      </c>
      <c r="O81" s="5">
        <f>VLOOKUP($B81,'Data Vlaue (Cr)'!$C:$FB,68)</f>
        <v>6496</v>
      </c>
      <c r="P81" s="5">
        <f t="shared" si="26"/>
        <v>-101.92726142368667</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750.1</v>
      </c>
      <c r="D82" s="82">
        <f>VLOOKUP($B82,'Data shares'!$C:$FB,98)</f>
        <v>46096600</v>
      </c>
      <c r="E82" s="165">
        <f>VLOOKUP(B82,'Snapshot (Volume)'!$A$7:$G$168,7,0)</f>
        <v>44276100</v>
      </c>
      <c r="F82" s="165">
        <f t="shared" si="23"/>
        <v>1820500</v>
      </c>
      <c r="G82" s="166">
        <f t="shared" si="24"/>
        <v>4.1116990882214106E-2</v>
      </c>
      <c r="H82" s="165">
        <f>VLOOKUP($B82,'Data shares'!$C:$FB,66)</f>
        <v>7280900</v>
      </c>
      <c r="I82" s="165">
        <f>VLOOKUP($B82,'Data shares'!$C:$FB,67)</f>
        <v>13351800</v>
      </c>
      <c r="J82" s="81">
        <f t="shared" si="25"/>
        <v>-45.468775745592353</v>
      </c>
      <c r="K82" s="5">
        <f>VLOOKUP($B82,'Data Vlaue (Cr)'!$C:$FB,99)</f>
        <v>3475</v>
      </c>
      <c r="L82" s="81">
        <f>VLOOKUP(B82,'OI(Value)'!$A$7:$C$209,3,0)</f>
        <v>137</v>
      </c>
      <c r="M82" s="33">
        <f t="shared" si="22"/>
        <v>3.942446043165468</v>
      </c>
      <c r="N82" s="5">
        <f>VLOOKUP($B82,'Data Vlaue (Cr)'!$C:$FB,67)</f>
        <v>549</v>
      </c>
      <c r="O82" s="5">
        <f>VLOOKUP($B82,'Data Vlaue (Cr)'!$C:$FB,68)</f>
        <v>1007</v>
      </c>
      <c r="P82" s="5">
        <f t="shared" si="26"/>
        <v>-83.424408014571952</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5841.5</v>
      </c>
      <c r="D83" s="82">
        <f>VLOOKUP($B83,'Data shares'!$C:$FB,98)</f>
        <v>8304900</v>
      </c>
      <c r="E83" s="165">
        <f>VLOOKUP(B83,'Snapshot (Volume)'!$A$7:$G$168,7,0)</f>
        <v>8232450</v>
      </c>
      <c r="F83" s="165">
        <f t="shared" si="23"/>
        <v>72450</v>
      </c>
      <c r="G83" s="166">
        <f t="shared" si="24"/>
        <v>8.8005393291183068E-3</v>
      </c>
      <c r="H83" s="165">
        <f>VLOOKUP($B83,'Data shares'!$C:$FB,66)</f>
        <v>6150150</v>
      </c>
      <c r="I83" s="165">
        <f>VLOOKUP($B83,'Data shares'!$C:$FB,67)</f>
        <v>6885300</v>
      </c>
      <c r="J83" s="81">
        <f t="shared" si="25"/>
        <v>-10.677094679970372</v>
      </c>
      <c r="K83" s="5">
        <f>VLOOKUP($B83,'Data Vlaue (Cr)'!$C:$FB,99)</f>
        <v>4867</v>
      </c>
      <c r="L83" s="81">
        <f>VLOOKUP(B83,'OI(Value)'!$A$7:$C$209,3,0)</f>
        <v>42</v>
      </c>
      <c r="M83" s="33">
        <f t="shared" si="22"/>
        <v>0.8629545921512225</v>
      </c>
      <c r="N83" s="5">
        <f>VLOOKUP($B83,'Data Vlaue (Cr)'!$C:$FB,67)</f>
        <v>3604</v>
      </c>
      <c r="O83" s="5">
        <f>VLOOKUP($B83,'Data Vlaue (Cr)'!$C:$FB,68)</f>
        <v>4035</v>
      </c>
      <c r="P83" s="5">
        <f t="shared" si="26"/>
        <v>-11.958934517203108</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Metals</v>
      </c>
      <c r="B84" s="79" t="str">
        <f>'Data shares'!C79</f>
        <v>HINDALCO</v>
      </c>
      <c r="C84" s="4">
        <f>VLOOKUP($B84,'Data shares'!$C:$FB,7)</f>
        <v>894.95</v>
      </c>
      <c r="D84" s="82">
        <f>VLOOKUP($B84,'Data shares'!$C:$FB,98)</f>
        <v>84615300</v>
      </c>
      <c r="E84" s="165">
        <f>VLOOKUP(B84,'Snapshot (Volume)'!$A$7:$G$168,7,0)</f>
        <v>84562100</v>
      </c>
      <c r="F84" s="165">
        <f t="shared" si="23"/>
        <v>53200</v>
      </c>
      <c r="G84" s="166">
        <f t="shared" si="24"/>
        <v>6.2912344892097048E-4</v>
      </c>
      <c r="H84" s="165">
        <f>VLOOKUP($B84,'Data shares'!$C:$FB,66)</f>
        <v>25247600</v>
      </c>
      <c r="I84" s="165">
        <f>VLOOKUP($B84,'Data shares'!$C:$FB,67)</f>
        <v>40362700</v>
      </c>
      <c r="J84" s="81">
        <f t="shared" si="25"/>
        <v>-37.448188550319969</v>
      </c>
      <c r="K84" s="5">
        <f>VLOOKUP($B84,'Data Vlaue (Cr)'!$C:$FB,99)</f>
        <v>7603</v>
      </c>
      <c r="L84" s="81">
        <f>VLOOKUP(B84,'OI(Value)'!$A$7:$C$209,3,0)</f>
        <v>5</v>
      </c>
      <c r="M84" s="33">
        <f t="shared" si="22"/>
        <v>6.576351440220965E-2</v>
      </c>
      <c r="N84" s="5">
        <f>VLOOKUP($B84,'Data Vlaue (Cr)'!$C:$FB,67)</f>
        <v>2269</v>
      </c>
      <c r="O84" s="5">
        <f>VLOOKUP($B84,'Data Vlaue (Cr)'!$C:$FB,68)</f>
        <v>3627</v>
      </c>
      <c r="P84" s="5">
        <f t="shared" si="26"/>
        <v>-59.850154252974875</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Oil_Gas</v>
      </c>
      <c r="B85" s="79" t="str">
        <f>'Data shares'!C80</f>
        <v>HINDPETRO</v>
      </c>
      <c r="C85" s="4">
        <f>VLOOKUP($B85,'Data shares'!$C:$FB,7)</f>
        <v>498.6</v>
      </c>
      <c r="D85" s="82">
        <f>VLOOKUP($B85,'Data shares'!$C:$FB,98)</f>
        <v>55233900</v>
      </c>
      <c r="E85" s="165">
        <f>VLOOKUP(B85,'Snapshot (Volume)'!$A$7:$G$168,7,0)</f>
        <v>54703350</v>
      </c>
      <c r="F85" s="165">
        <f t="shared" si="23"/>
        <v>530550</v>
      </c>
      <c r="G85" s="166">
        <f t="shared" si="24"/>
        <v>9.6986747612349145E-3</v>
      </c>
      <c r="H85" s="165">
        <f>VLOOKUP($B85,'Data shares'!$C:$FB,66)</f>
        <v>39740625</v>
      </c>
      <c r="I85" s="165">
        <f>VLOOKUP($B85,'Data shares'!$C:$FB,67)</f>
        <v>97050150</v>
      </c>
      <c r="J85" s="81">
        <f t="shared" si="25"/>
        <v>-59.051454325418348</v>
      </c>
      <c r="K85" s="5">
        <f>VLOOKUP($B85,'Data Vlaue (Cr)'!$C:$FB,99)</f>
        <v>2764</v>
      </c>
      <c r="L85" s="81">
        <f>VLOOKUP(B85,'OI(Value)'!$A$7:$C$209,3,0)</f>
        <v>27</v>
      </c>
      <c r="M85" s="33">
        <f t="shared" si="22"/>
        <v>0.97684515195369026</v>
      </c>
      <c r="N85" s="5">
        <f>VLOOKUP($B85,'Data Vlaue (Cr)'!$C:$FB,67)</f>
        <v>1989</v>
      </c>
      <c r="O85" s="5">
        <f>VLOOKUP($B85,'Data Vlaue (Cr)'!$C:$FB,68)</f>
        <v>4857</v>
      </c>
      <c r="P85" s="5">
        <f t="shared" si="26"/>
        <v>-144.19306184012066</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FMCG</v>
      </c>
      <c r="B86" s="79" t="str">
        <f>'Data shares'!C81</f>
        <v>HINDUNILVR</v>
      </c>
      <c r="C86" s="4">
        <f>VLOOKUP($B86,'Data shares'!$C:$FB,7)</f>
        <v>2323</v>
      </c>
      <c r="D86" s="82">
        <f>VLOOKUP($B86,'Data shares'!$C:$FB,98)</f>
        <v>19476600</v>
      </c>
      <c r="E86" s="165">
        <f>VLOOKUP(B86,'Snapshot (Volume)'!$A$7:$G$168,7,0)</f>
        <v>18531300</v>
      </c>
      <c r="F86" s="165">
        <f t="shared" ref="F86:F96" si="27">D86-E86</f>
        <v>945300</v>
      </c>
      <c r="G86" s="166">
        <f t="shared" ref="G86:G96" si="28">F86/E86</f>
        <v>5.1010992213174469E-2</v>
      </c>
      <c r="H86" s="165">
        <f>VLOOKUP($B86,'Data shares'!$C:$FB,66)</f>
        <v>7830300</v>
      </c>
      <c r="I86" s="165">
        <f>VLOOKUP($B86,'Data shares'!$C:$FB,67)</f>
        <v>10696500</v>
      </c>
      <c r="J86" s="81">
        <f t="shared" ref="J86:J96" si="29">(H86-I86)/I86*100</f>
        <v>-26.7956808301781</v>
      </c>
      <c r="K86" s="5">
        <f>VLOOKUP($B86,'Data Vlaue (Cr)'!$C:$FB,99)</f>
        <v>4540</v>
      </c>
      <c r="L86" s="81">
        <f>VLOOKUP(B86,'OI(Value)'!$A$7:$C$209,3,0)</f>
        <v>220</v>
      </c>
      <c r="M86" s="33">
        <f t="shared" si="22"/>
        <v>4.8458149779735686</v>
      </c>
      <c r="N86" s="5">
        <f>VLOOKUP($B86,'Data Vlaue (Cr)'!$C:$FB,67)</f>
        <v>1825</v>
      </c>
      <c r="O86" s="5">
        <f>VLOOKUP($B86,'Data Vlaue (Cr)'!$C:$FB,68)</f>
        <v>2494</v>
      </c>
      <c r="P86" s="5">
        <f t="shared" ref="P86:P96" si="30">(N86-O86)/N86*100</f>
        <v>-36.657534246575338</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Metals</v>
      </c>
      <c r="B87" s="79" t="str">
        <f>'Data shares'!C82</f>
        <v>HINDZINC</v>
      </c>
      <c r="C87" s="4">
        <f>VLOOKUP($B87,'Data shares'!$C:$FB,7)</f>
        <v>611.95000000000005</v>
      </c>
      <c r="D87" s="82">
        <f>VLOOKUP($B87,'Data shares'!$C:$FB,98)</f>
        <v>92129800</v>
      </c>
      <c r="E87" s="165">
        <f>VLOOKUP(B87,'Snapshot (Volume)'!$A$7:$G$168,7,0)</f>
        <v>92327025</v>
      </c>
      <c r="F87" s="165">
        <f t="shared" si="27"/>
        <v>-197225</v>
      </c>
      <c r="G87" s="166">
        <f t="shared" si="28"/>
        <v>-2.1361567753320331E-3</v>
      </c>
      <c r="H87" s="165">
        <f>VLOOKUP($B87,'Data shares'!$C:$FB,66)</f>
        <v>41970950</v>
      </c>
      <c r="I87" s="165">
        <f>VLOOKUP($B87,'Data shares'!$C:$FB,67)</f>
        <v>91882350</v>
      </c>
      <c r="J87" s="81">
        <f t="shared" si="29"/>
        <v>-54.320987654320987</v>
      </c>
      <c r="K87" s="5">
        <f>VLOOKUP($B87,'Data Vlaue (Cr)'!$C:$FB,99)</f>
        <v>5669</v>
      </c>
      <c r="L87" s="81">
        <f>VLOOKUP(B87,'OI(Value)'!$A$7:$C$209,3,0)</f>
        <v>-12</v>
      </c>
      <c r="M87" s="33">
        <f t="shared" si="22"/>
        <v>-0.21167754454048332</v>
      </c>
      <c r="N87" s="5">
        <f>VLOOKUP($B87,'Data Vlaue (Cr)'!$C:$FB,67)</f>
        <v>2583</v>
      </c>
      <c r="O87" s="5">
        <f>VLOOKUP($B87,'Data Vlaue (Cr)'!$C:$FB,68)</f>
        <v>5654</v>
      </c>
      <c r="P87" s="5">
        <f t="shared" si="30"/>
        <v>-118.892760356175</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Realty</v>
      </c>
      <c r="B88" s="79" t="str">
        <f>'Data shares'!C83</f>
        <v>HUDCO</v>
      </c>
      <c r="C88" s="4">
        <f>VLOOKUP($B88,'Data shares'!$C:$FB,7)</f>
        <v>227.58</v>
      </c>
      <c r="D88" s="82">
        <f>VLOOKUP($B88,'Data shares'!$C:$FB,98)</f>
        <v>63689025</v>
      </c>
      <c r="E88" s="165">
        <f>VLOOKUP(B88,'Snapshot (Volume)'!$A$7:$G$168,7,0)</f>
        <v>63883275</v>
      </c>
      <c r="F88" s="165">
        <f t="shared" si="27"/>
        <v>-194250</v>
      </c>
      <c r="G88" s="166">
        <f t="shared" si="28"/>
        <v>-3.0407019677685591E-3</v>
      </c>
      <c r="H88" s="165">
        <f>VLOOKUP($B88,'Data shares'!$C:$FB,66)</f>
        <v>16769325</v>
      </c>
      <c r="I88" s="165">
        <f>VLOOKUP($B88,'Data shares'!$C:$FB,67)</f>
        <v>37004625</v>
      </c>
      <c r="J88" s="81">
        <f t="shared" si="29"/>
        <v>-54.683164604424448</v>
      </c>
      <c r="K88" s="5">
        <f>VLOOKUP($B88,'Data Vlaue (Cr)'!$C:$FB,99)</f>
        <v>1459</v>
      </c>
      <c r="L88" s="81">
        <f>VLOOKUP(B88,'OI(Value)'!$A$7:$C$209,3,0)</f>
        <v>-4</v>
      </c>
      <c r="M88" s="33">
        <f t="shared" si="22"/>
        <v>-0.27416038382453739</v>
      </c>
      <c r="N88" s="5">
        <f>VLOOKUP($B88,'Data Vlaue (Cr)'!$C:$FB,67)</f>
        <v>384</v>
      </c>
      <c r="O88" s="5">
        <f>VLOOKUP($B88,'Data Vlaue (Cr)'!$C:$FB,68)</f>
        <v>848</v>
      </c>
      <c r="P88" s="5">
        <f t="shared" si="30"/>
        <v>-120.83333333333333</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Banking</v>
      </c>
      <c r="B89" s="79" t="str">
        <f>'Data shares'!C84</f>
        <v>ICICIBANK</v>
      </c>
      <c r="C89" s="4">
        <f>VLOOKUP($B89,'Data shares'!$C:$FB,7)</f>
        <v>1338</v>
      </c>
      <c r="D89" s="82">
        <f>VLOOKUP($B89,'Data shares'!$C:$FB,98)</f>
        <v>166563600</v>
      </c>
      <c r="E89" s="165">
        <f>VLOOKUP(B89,'Snapshot (Volume)'!$A$7:$G$168,7,0)</f>
        <v>161780500</v>
      </c>
      <c r="F89" s="165">
        <f t="shared" si="27"/>
        <v>4783100</v>
      </c>
      <c r="G89" s="166">
        <f t="shared" si="28"/>
        <v>2.9565367890444151E-2</v>
      </c>
      <c r="H89" s="165">
        <f>VLOOKUP($B89,'Data shares'!$C:$FB,66)</f>
        <v>25188800</v>
      </c>
      <c r="I89" s="165">
        <f>VLOOKUP($B89,'Data shares'!$C:$FB,67)</f>
        <v>51138500</v>
      </c>
      <c r="J89" s="81">
        <f t="shared" si="29"/>
        <v>-50.743960030114302</v>
      </c>
      <c r="K89" s="5">
        <f>VLOOKUP($B89,'Data Vlaue (Cr)'!$C:$FB,99)</f>
        <v>22398</v>
      </c>
      <c r="L89" s="81">
        <f>VLOOKUP(B89,'OI(Value)'!$A$7:$C$209,3,0)</f>
        <v>643</v>
      </c>
      <c r="M89" s="33">
        <f t="shared" si="22"/>
        <v>2.8707920350031251</v>
      </c>
      <c r="N89" s="5">
        <f>VLOOKUP($B89,'Data Vlaue (Cr)'!$C:$FB,67)</f>
        <v>3387</v>
      </c>
      <c r="O89" s="5">
        <f>VLOOKUP($B89,'Data Vlaue (Cr)'!$C:$FB,68)</f>
        <v>6877</v>
      </c>
      <c r="P89" s="5">
        <f t="shared" si="30"/>
        <v>-103.04103926778861</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Finance</v>
      </c>
      <c r="B90" s="79" t="str">
        <f>'Data shares'!C85</f>
        <v>ICICIGI</v>
      </c>
      <c r="C90" s="4">
        <f>VLOOKUP($B90,'Data shares'!$C:$FB,7)</f>
        <v>1956.9</v>
      </c>
      <c r="D90" s="82">
        <f>VLOOKUP($B90,'Data shares'!$C:$FB,98)</f>
        <v>6175325</v>
      </c>
      <c r="E90" s="165">
        <f>VLOOKUP(B90,'Snapshot (Volume)'!$A$7:$G$168,7,0)</f>
        <v>5933200</v>
      </c>
      <c r="F90" s="165">
        <f t="shared" si="27"/>
        <v>242125</v>
      </c>
      <c r="G90" s="166">
        <f t="shared" si="28"/>
        <v>4.0808501314636286E-2</v>
      </c>
      <c r="H90" s="165">
        <f>VLOOKUP($B90,'Data shares'!$C:$FB,66)</f>
        <v>841100</v>
      </c>
      <c r="I90" s="165">
        <f>VLOOKUP($B90,'Data shares'!$C:$FB,67)</f>
        <v>1111500</v>
      </c>
      <c r="J90" s="81">
        <f t="shared" si="29"/>
        <v>-24.327485380116958</v>
      </c>
      <c r="K90" s="5">
        <f>VLOOKUP($B90,'Data Vlaue (Cr)'!$C:$FB,99)</f>
        <v>1211</v>
      </c>
      <c r="L90" s="81">
        <f>VLOOKUP(B90,'OI(Value)'!$A$7:$C$209,3,0)</f>
        <v>47</v>
      </c>
      <c r="M90" s="33">
        <f t="shared" si="22"/>
        <v>3.8810900082576385</v>
      </c>
      <c r="N90" s="5">
        <f>VLOOKUP($B90,'Data Vlaue (Cr)'!$C:$FB,67)</f>
        <v>165</v>
      </c>
      <c r="O90" s="5">
        <f>VLOOKUP($B90,'Data Vlaue (Cr)'!$C:$FB,68)</f>
        <v>218</v>
      </c>
      <c r="P90" s="5">
        <f t="shared" si="30"/>
        <v>-32.121212121212125</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ICICIPRULI</v>
      </c>
      <c r="C91" s="4">
        <f>VLOOKUP($B91,'Data shares'!$C:$FB,7)</f>
        <v>674.3</v>
      </c>
      <c r="D91" s="82">
        <f>VLOOKUP($B91,'Data shares'!$C:$FB,98)</f>
        <v>20621025</v>
      </c>
      <c r="E91" s="165">
        <f>VLOOKUP(B91,'Snapshot (Volume)'!$A$7:$G$168,7,0)</f>
        <v>20150200</v>
      </c>
      <c r="F91" s="165">
        <f t="shared" si="27"/>
        <v>470825</v>
      </c>
      <c r="G91" s="166">
        <f t="shared" si="28"/>
        <v>2.3365773044436284E-2</v>
      </c>
      <c r="H91" s="165">
        <f>VLOOKUP($B91,'Data shares'!$C:$FB,66)</f>
        <v>3087650</v>
      </c>
      <c r="I91" s="165">
        <f>VLOOKUP($B91,'Data shares'!$C:$FB,67)</f>
        <v>8085425</v>
      </c>
      <c r="J91" s="81">
        <f t="shared" si="29"/>
        <v>-61.812149639629332</v>
      </c>
      <c r="K91" s="5">
        <f>VLOOKUP($B91,'Data Vlaue (Cr)'!$C:$FB,99)</f>
        <v>1400</v>
      </c>
      <c r="L91" s="81">
        <f>VLOOKUP(B91,'OI(Value)'!$A$7:$C$209,3,0)</f>
        <v>32</v>
      </c>
      <c r="M91" s="33">
        <f t="shared" si="22"/>
        <v>2.2857142857142856</v>
      </c>
      <c r="N91" s="5">
        <f>VLOOKUP($B91,'Data Vlaue (Cr)'!$C:$FB,67)</f>
        <v>210</v>
      </c>
      <c r="O91" s="5">
        <f>VLOOKUP($B91,'Data Vlaue (Cr)'!$C:$FB,68)</f>
        <v>549</v>
      </c>
      <c r="P91" s="5">
        <f t="shared" si="30"/>
        <v>-161.42857142857144</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Telecom</v>
      </c>
      <c r="B92" s="79" t="str">
        <f>'Data shares'!C87</f>
        <v>IDEA</v>
      </c>
      <c r="C92" s="4">
        <f>VLOOKUP($B92,'Data shares'!$C:$FB,7)</f>
        <v>11.6</v>
      </c>
      <c r="D92" s="82">
        <f>VLOOKUP($B92,'Data shares'!$C:$FB,98)</f>
        <v>11018014200</v>
      </c>
      <c r="E92" s="165">
        <f>VLOOKUP(B92,'Snapshot (Volume)'!$A$7:$G$168,7,0)</f>
        <v>10492815900</v>
      </c>
      <c r="F92" s="165">
        <f t="shared" si="27"/>
        <v>525198300</v>
      </c>
      <c r="G92" s="166">
        <f t="shared" si="28"/>
        <v>5.0053132067246126E-2</v>
      </c>
      <c r="H92" s="165">
        <f>VLOOKUP($B92,'Data shares'!$C:$FB,66)</f>
        <v>5598200000</v>
      </c>
      <c r="I92" s="165">
        <f>VLOOKUP($B92,'Data shares'!$C:$FB,67)</f>
        <v>10032480000</v>
      </c>
      <c r="J92" s="81">
        <f t="shared" si="29"/>
        <v>-44.199240865668308</v>
      </c>
      <c r="K92" s="5">
        <f>VLOOKUP($B92,'Data Vlaue (Cr)'!$C:$FB,99)</f>
        <v>12902</v>
      </c>
      <c r="L92" s="81">
        <f>VLOOKUP(B92,'OI(Value)'!$A$7:$C$209,3,0)</f>
        <v>615</v>
      </c>
      <c r="M92" s="33">
        <f t="shared" si="22"/>
        <v>4.7667028367694932</v>
      </c>
      <c r="N92" s="5">
        <f>VLOOKUP($B92,'Data Vlaue (Cr)'!$C:$FB,67)</f>
        <v>6555</v>
      </c>
      <c r="O92" s="5">
        <f>VLOOKUP($B92,'Data Vlaue (Cr)'!$C:$FB,68)</f>
        <v>11748</v>
      </c>
      <c r="P92" s="5">
        <f t="shared" si="30"/>
        <v>-79.221967963386732</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Banking</v>
      </c>
      <c r="B93" s="79" t="str">
        <f>'Data shares'!C88</f>
        <v>IDFCFIRSTB</v>
      </c>
      <c r="C93" s="4">
        <f>VLOOKUP($B93,'Data shares'!$C:$FB,7)</f>
        <v>85.61</v>
      </c>
      <c r="D93" s="82">
        <f>VLOOKUP($B93,'Data shares'!$C:$FB,98)</f>
        <v>447676425</v>
      </c>
      <c r="E93" s="165">
        <f>VLOOKUP(B93,'Snapshot (Volume)'!$A$7:$G$168,7,0)</f>
        <v>445728675</v>
      </c>
      <c r="F93" s="165">
        <f t="shared" si="27"/>
        <v>1947750</v>
      </c>
      <c r="G93" s="166">
        <f t="shared" si="28"/>
        <v>4.3698108496160806E-3</v>
      </c>
      <c r="H93" s="165">
        <f>VLOOKUP($B93,'Data shares'!$C:$FB,66)</f>
        <v>91460775</v>
      </c>
      <c r="I93" s="165">
        <f>VLOOKUP($B93,'Data shares'!$C:$FB,67)</f>
        <v>182281575</v>
      </c>
      <c r="J93" s="81">
        <f t="shared" si="29"/>
        <v>-49.824454281789038</v>
      </c>
      <c r="K93" s="5">
        <f>VLOOKUP($B93,'Data Vlaue (Cr)'!$C:$FB,99)</f>
        <v>3857</v>
      </c>
      <c r="L93" s="81">
        <f>VLOOKUP(B93,'OI(Value)'!$A$7:$C$209,3,0)</f>
        <v>17</v>
      </c>
      <c r="M93" s="33">
        <f t="shared" si="22"/>
        <v>0.44075706507648432</v>
      </c>
      <c r="N93" s="5">
        <f>VLOOKUP($B93,'Data Vlaue (Cr)'!$C:$FB,67)</f>
        <v>788</v>
      </c>
      <c r="O93" s="5">
        <f>VLOOKUP($B93,'Data Vlaue (Cr)'!$C:$FB,68)</f>
        <v>1570</v>
      </c>
      <c r="P93" s="5">
        <f t="shared" si="30"/>
        <v>-99.238578680203048</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Power</v>
      </c>
      <c r="B94" s="79" t="str">
        <f>'Data shares'!C89</f>
        <v>IEX</v>
      </c>
      <c r="C94" s="4">
        <f>VLOOKUP($B94,'Data shares'!$C:$FB,7)</f>
        <v>133.38999999999999</v>
      </c>
      <c r="D94" s="82">
        <f>VLOOKUP($B94,'Data shares'!$C:$FB,98)</f>
        <v>118271250</v>
      </c>
      <c r="E94" s="165">
        <f>VLOOKUP(B94,'Snapshot (Volume)'!$A$7:$G$168,7,0)</f>
        <v>113955000</v>
      </c>
      <c r="F94" s="165">
        <f t="shared" si="27"/>
        <v>4316250</v>
      </c>
      <c r="G94" s="166">
        <f t="shared" si="28"/>
        <v>3.7876793471107013E-2</v>
      </c>
      <c r="H94" s="165">
        <f>VLOOKUP($B94,'Data shares'!$C:$FB,66)</f>
        <v>25856250</v>
      </c>
      <c r="I94" s="165">
        <f>VLOOKUP($B94,'Data shares'!$C:$FB,67)</f>
        <v>40845000</v>
      </c>
      <c r="J94" s="81">
        <f t="shared" si="29"/>
        <v>-36.696658097686374</v>
      </c>
      <c r="K94" s="5">
        <f>VLOOKUP($B94,'Data Vlaue (Cr)'!$C:$FB,99)</f>
        <v>1579</v>
      </c>
      <c r="L94" s="81">
        <f>VLOOKUP(B94,'OI(Value)'!$A$7:$C$209,3,0)</f>
        <v>58</v>
      </c>
      <c r="M94" s="33">
        <f t="shared" ref="M94:M122" si="31">L94/K94*100</f>
        <v>3.6732108929702343</v>
      </c>
      <c r="N94" s="5">
        <f>VLOOKUP($B94,'Data Vlaue (Cr)'!$C:$FB,67)</f>
        <v>345</v>
      </c>
      <c r="O94" s="5">
        <f>VLOOKUP($B94,'Data Vlaue (Cr)'!$C:$FB,68)</f>
        <v>545</v>
      </c>
      <c r="P94" s="5">
        <f t="shared" si="30"/>
        <v>-57.971014492753625</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Finance</v>
      </c>
      <c r="B95" s="79" t="str">
        <f>'Data shares'!C90</f>
        <v>IIFL</v>
      </c>
      <c r="C95" s="4">
        <f>VLOOKUP($B95,'Data shares'!$C:$FB,7)</f>
        <v>620.45000000000005</v>
      </c>
      <c r="D95" s="82">
        <f>VLOOKUP($B95,'Data shares'!$C:$FB,98)</f>
        <v>19611900</v>
      </c>
      <c r="E95" s="165">
        <f>VLOOKUP(B95,'Snapshot (Volume)'!$A$7:$G$168,7,0)</f>
        <v>19257150</v>
      </c>
      <c r="F95" s="165">
        <f t="shared" si="27"/>
        <v>354750</v>
      </c>
      <c r="G95" s="166">
        <f t="shared" si="28"/>
        <v>1.842172907205895E-2</v>
      </c>
      <c r="H95" s="165">
        <f>VLOOKUP($B95,'Data shares'!$C:$FB,66)</f>
        <v>11371800</v>
      </c>
      <c r="I95" s="165">
        <f>VLOOKUP($B95,'Data shares'!$C:$FB,67)</f>
        <v>13759350</v>
      </c>
      <c r="J95" s="81">
        <f t="shared" si="29"/>
        <v>-17.352200503657514</v>
      </c>
      <c r="K95" s="5">
        <f>VLOOKUP($B95,'Data Vlaue (Cr)'!$C:$FB,99)</f>
        <v>1219</v>
      </c>
      <c r="L95" s="81">
        <f>VLOOKUP(B95,'OI(Value)'!$A$7:$C$209,3,0)</f>
        <v>22</v>
      </c>
      <c r="M95" s="33">
        <f t="shared" si="31"/>
        <v>1.8047579983593112</v>
      </c>
      <c r="N95" s="5">
        <f>VLOOKUP($B95,'Data Vlaue (Cr)'!$C:$FB,67)</f>
        <v>707</v>
      </c>
      <c r="O95" s="5">
        <f>VLOOKUP($B95,'Data Vlaue (Cr)'!$C:$FB,68)</f>
        <v>855</v>
      </c>
      <c r="P95" s="5">
        <f t="shared" si="30"/>
        <v>-20.933521923620933</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Realty</v>
      </c>
      <c r="B96" s="79" t="str">
        <f>'Data shares'!C91</f>
        <v>INDHOTEL</v>
      </c>
      <c r="C96" s="4">
        <f>VLOOKUP($B96,'Data shares'!$C:$FB,7)</f>
        <v>738.6</v>
      </c>
      <c r="D96" s="82">
        <f>VLOOKUP($B96,'Data shares'!$C:$FB,98)</f>
        <v>34980000</v>
      </c>
      <c r="E96" s="165">
        <f>VLOOKUP(B96,'Snapshot (Volume)'!$A$7:$G$168,7,0)</f>
        <v>33887000</v>
      </c>
      <c r="F96" s="165">
        <f t="shared" si="27"/>
        <v>1093000</v>
      </c>
      <c r="G96" s="166">
        <f t="shared" si="28"/>
        <v>3.2254256794641015E-2</v>
      </c>
      <c r="H96" s="165">
        <f>VLOOKUP($B96,'Data shares'!$C:$FB,66)</f>
        <v>7610000</v>
      </c>
      <c r="I96" s="165">
        <f>VLOOKUP($B96,'Data shares'!$C:$FB,67)</f>
        <v>11782000</v>
      </c>
      <c r="J96" s="81">
        <f t="shared" si="29"/>
        <v>-35.409947377355287</v>
      </c>
      <c r="K96" s="5">
        <f>VLOOKUP($B96,'Data Vlaue (Cr)'!$C:$FB,99)</f>
        <v>2596</v>
      </c>
      <c r="L96" s="81">
        <f>VLOOKUP(B96,'OI(Value)'!$A$7:$C$209,3,0)</f>
        <v>81</v>
      </c>
      <c r="M96" s="33">
        <f t="shared" si="31"/>
        <v>3.1201848998459165</v>
      </c>
      <c r="N96" s="5">
        <f>VLOOKUP($B96,'Data Vlaue (Cr)'!$C:$FB,67)</f>
        <v>565</v>
      </c>
      <c r="O96" s="5">
        <f>VLOOKUP($B96,'Data Vlaue (Cr)'!$C:$FB,68)</f>
        <v>874</v>
      </c>
      <c r="P96" s="5">
        <f t="shared" si="30"/>
        <v>-54.690265486725664</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Banking</v>
      </c>
      <c r="B97" s="79" t="str">
        <f>'Data shares'!C92</f>
        <v>INDIANB</v>
      </c>
      <c r="C97" s="4">
        <f>VLOOKUP($B97,'Data shares'!$C:$FB,7)</f>
        <v>832.6</v>
      </c>
      <c r="D97" s="82">
        <f>VLOOKUP($B97,'Data shares'!$C:$FB,98)</f>
        <v>15704000</v>
      </c>
      <c r="E97" s="165">
        <f>VLOOKUP(B97,'Snapshot (Volume)'!$A$7:$G$168,7,0)</f>
        <v>15640000</v>
      </c>
      <c r="F97" s="165">
        <f t="shared" ref="F97:F105" si="32">D97-E97</f>
        <v>64000</v>
      </c>
      <c r="G97" s="166">
        <f t="shared" ref="G97:G105" si="33">F97/E97</f>
        <v>4.0920716112531966E-3</v>
      </c>
      <c r="H97" s="165">
        <f>VLOOKUP($B97,'Data shares'!$C:$FB,66)</f>
        <v>10411000</v>
      </c>
      <c r="I97" s="165">
        <f>VLOOKUP($B97,'Data shares'!$C:$FB,67)</f>
        <v>24582000</v>
      </c>
      <c r="J97" s="81">
        <f t="shared" ref="J97:J105" si="34">(H97-I97)/I97*100</f>
        <v>-57.647872426979085</v>
      </c>
      <c r="K97" s="5">
        <f>VLOOKUP($B97,'Data Vlaue (Cr)'!$C:$FB,99)</f>
        <v>1316</v>
      </c>
      <c r="L97" s="81">
        <f>VLOOKUP(B97,'OI(Value)'!$A$7:$C$209,3,0)</f>
        <v>5</v>
      </c>
      <c r="M97" s="33">
        <f t="shared" si="31"/>
        <v>0.37993920972644379</v>
      </c>
      <c r="N97" s="5">
        <f>VLOOKUP($B97,'Data Vlaue (Cr)'!$C:$FB,67)</f>
        <v>873</v>
      </c>
      <c r="O97" s="5">
        <f>VLOOKUP($B97,'Data Vlaue (Cr)'!$C:$FB,68)</f>
        <v>2060</v>
      </c>
      <c r="P97" s="5">
        <f t="shared" ref="P97:P105" si="35">(N97-O97)/N97*100</f>
        <v>-135.96792668957619</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Index</v>
      </c>
      <c r="B98" s="79" t="str">
        <f>'Data shares'!C93</f>
        <v>INDIAVIX</v>
      </c>
      <c r="C98" s="4">
        <f>VLOOKUP($B98,'Data shares'!$C:$FB,7)</f>
        <v>9.19</v>
      </c>
      <c r="D98" s="82">
        <f>VLOOKUP($B98,'Data shares'!$C:$FB,98)</f>
        <v>0</v>
      </c>
      <c r="E98" s="165">
        <f>VLOOKUP(B98,'Snapshot (Volume)'!$A$7:$G$168,7,0)</f>
        <v>0</v>
      </c>
      <c r="F98" s="165">
        <f t="shared" si="32"/>
        <v>0</v>
      </c>
      <c r="G98" s="166" t="e">
        <f t="shared" si="33"/>
        <v>#DIV/0!</v>
      </c>
      <c r="H98" s="165">
        <f>VLOOKUP($B98,'Data shares'!$C:$FB,66)</f>
        <v>0</v>
      </c>
      <c r="I98" s="165">
        <f>VLOOKUP($B98,'Data shares'!$C:$FB,67)</f>
        <v>0</v>
      </c>
      <c r="J98" s="81" t="e">
        <f t="shared" si="34"/>
        <v>#DIV/0!</v>
      </c>
      <c r="K98" s="5">
        <f>VLOOKUP($B98,'Data Vlaue (Cr)'!$C:$FB,99)</f>
        <v>0</v>
      </c>
      <c r="L98" s="81">
        <f>VLOOKUP(B98,'OI(Value)'!$A$7:$C$209,3,0)</f>
        <v>0</v>
      </c>
      <c r="M98" s="33" t="e">
        <f t="shared" si="31"/>
        <v>#DIV/0!</v>
      </c>
      <c r="N98" s="5">
        <f>VLOOKUP($B98,'Data Vlaue (Cr)'!$C:$FB,67)</f>
        <v>0</v>
      </c>
      <c r="O98" s="5">
        <f>VLOOKUP($B98,'Data Vlaue (Cr)'!$C:$FB,68)</f>
        <v>0</v>
      </c>
      <c r="P98" s="5" t="e">
        <f t="shared" si="35"/>
        <v>#DIV/0!</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Infrastructure</v>
      </c>
      <c r="B99" s="79" t="str">
        <f>'Data shares'!C94</f>
        <v>INDIGO</v>
      </c>
      <c r="C99" s="4">
        <f>VLOOKUP($B99,'Data shares'!$C:$FB,7)</f>
        <v>5110.5</v>
      </c>
      <c r="D99" s="82">
        <f>VLOOKUP($B99,'Data shares'!$C:$FB,98)</f>
        <v>15461850</v>
      </c>
      <c r="E99" s="165">
        <f>VLOOKUP(B99,'Snapshot (Volume)'!$A$7:$G$168,7,0)</f>
        <v>15096600</v>
      </c>
      <c r="F99" s="165">
        <f t="shared" si="32"/>
        <v>365250</v>
      </c>
      <c r="G99" s="166">
        <f t="shared" si="33"/>
        <v>2.4194189420134335E-2</v>
      </c>
      <c r="H99" s="165">
        <f>VLOOKUP($B99,'Data shares'!$C:$FB,66)</f>
        <v>11290350</v>
      </c>
      <c r="I99" s="165">
        <f>VLOOKUP($B99,'Data shares'!$C:$FB,67)</f>
        <v>7708500</v>
      </c>
      <c r="J99" s="81">
        <f t="shared" si="34"/>
        <v>46.466238567814749</v>
      </c>
      <c r="K99" s="5">
        <f>VLOOKUP($B99,'Data Vlaue (Cr)'!$C:$FB,99)</f>
        <v>7950</v>
      </c>
      <c r="L99" s="81">
        <f>VLOOKUP(B99,'OI(Value)'!$A$7:$C$209,3,0)</f>
        <v>188</v>
      </c>
      <c r="M99" s="33">
        <f t="shared" si="31"/>
        <v>2.3647798742138364</v>
      </c>
      <c r="N99" s="5">
        <f>VLOOKUP($B99,'Data Vlaue (Cr)'!$C:$FB,67)</f>
        <v>5805</v>
      </c>
      <c r="O99" s="5">
        <f>VLOOKUP($B99,'Data Vlaue (Cr)'!$C:$FB,68)</f>
        <v>3963</v>
      </c>
      <c r="P99" s="5">
        <f t="shared" si="35"/>
        <v>31.731266149870802</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Banking</v>
      </c>
      <c r="B100" s="79" t="str">
        <f>'Data shares'!C95</f>
        <v>INDUSINDBK</v>
      </c>
      <c r="C100" s="4">
        <f>VLOOKUP($B100,'Data shares'!$C:$FB,7)</f>
        <v>890.2</v>
      </c>
      <c r="D100" s="82">
        <f>VLOOKUP($B100,'Data shares'!$C:$FB,98)</f>
        <v>64277500</v>
      </c>
      <c r="E100" s="165">
        <f>VLOOKUP(B100,'Snapshot (Volume)'!$A$7:$G$168,7,0)</f>
        <v>60700500</v>
      </c>
      <c r="F100" s="165">
        <f t="shared" si="32"/>
        <v>3577000</v>
      </c>
      <c r="G100" s="166">
        <f t="shared" si="33"/>
        <v>5.8928674393126913E-2</v>
      </c>
      <c r="H100" s="165">
        <f>VLOOKUP($B100,'Data shares'!$C:$FB,66)</f>
        <v>40440400</v>
      </c>
      <c r="I100" s="165">
        <f>VLOOKUP($B100,'Data shares'!$C:$FB,67)</f>
        <v>44150400</v>
      </c>
      <c r="J100" s="81">
        <f t="shared" si="34"/>
        <v>-8.4030948756976152</v>
      </c>
      <c r="K100" s="5">
        <f>VLOOKUP($B100,'Data Vlaue (Cr)'!$C:$FB,99)</f>
        <v>5744</v>
      </c>
      <c r="L100" s="81">
        <f>VLOOKUP(B100,'OI(Value)'!$A$7:$C$209,3,0)</f>
        <v>320</v>
      </c>
      <c r="M100" s="33">
        <f t="shared" si="31"/>
        <v>5.5710306406685239</v>
      </c>
      <c r="N100" s="5">
        <f>VLOOKUP($B100,'Data Vlaue (Cr)'!$C:$FB,67)</f>
        <v>3614</v>
      </c>
      <c r="O100" s="5">
        <f>VLOOKUP($B100,'Data Vlaue (Cr)'!$C:$FB,68)</f>
        <v>3946</v>
      </c>
      <c r="P100" s="5">
        <f t="shared" si="35"/>
        <v>-9.1864969562811289</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Telecom</v>
      </c>
      <c r="B101" s="79" t="str">
        <f>'Data shares'!C96</f>
        <v>INDUSTOWER</v>
      </c>
      <c r="C101" s="4">
        <f>VLOOKUP($B101,'Data shares'!$C:$FB,7)</f>
        <v>435.8</v>
      </c>
      <c r="D101" s="82">
        <f>VLOOKUP($B101,'Data shares'!$C:$FB,98)</f>
        <v>126566700</v>
      </c>
      <c r="E101" s="165">
        <f>VLOOKUP(B101,'Snapshot (Volume)'!$A$7:$G$168,7,0)</f>
        <v>123788900</v>
      </c>
      <c r="F101" s="165">
        <f t="shared" si="32"/>
        <v>2777800</v>
      </c>
      <c r="G101" s="166">
        <f t="shared" si="33"/>
        <v>2.243981487839378E-2</v>
      </c>
      <c r="H101" s="165">
        <f>VLOOKUP($B101,'Data shares'!$C:$FB,66)</f>
        <v>169576700</v>
      </c>
      <c r="I101" s="165">
        <f>VLOOKUP($B101,'Data shares'!$C:$FB,67)</f>
        <v>265795000</v>
      </c>
      <c r="J101" s="81">
        <f t="shared" si="34"/>
        <v>-36.200191877198598</v>
      </c>
      <c r="K101" s="5">
        <f>VLOOKUP($B101,'Data Vlaue (Cr)'!$C:$FB,99)</f>
        <v>5554</v>
      </c>
      <c r="L101" s="81">
        <f>VLOOKUP(B101,'OI(Value)'!$A$7:$C$209,3,0)</f>
        <v>122</v>
      </c>
      <c r="M101" s="33">
        <f t="shared" si="31"/>
        <v>2.1966150522146202</v>
      </c>
      <c r="N101" s="5">
        <f>VLOOKUP($B101,'Data Vlaue (Cr)'!$C:$FB,67)</f>
        <v>7441</v>
      </c>
      <c r="O101" s="5">
        <f>VLOOKUP($B101,'Data Vlaue (Cr)'!$C:$FB,68)</f>
        <v>11663</v>
      </c>
      <c r="P101" s="5">
        <f t="shared" si="35"/>
        <v>-56.739685526138963</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Technology</v>
      </c>
      <c r="B102" s="79" t="str">
        <f>'Data shares'!C97</f>
        <v>INFY</v>
      </c>
      <c r="C102" s="4">
        <f>VLOOKUP($B102,'Data shares'!$C:$FB,7)</f>
        <v>1629.8</v>
      </c>
      <c r="D102" s="82">
        <f>VLOOKUP($B102,'Data shares'!$C:$FB,98)</f>
        <v>91691600</v>
      </c>
      <c r="E102" s="165">
        <f>VLOOKUP(B102,'Snapshot (Volume)'!$A$7:$G$168,7,0)</f>
        <v>89946400</v>
      </c>
      <c r="F102" s="165">
        <f t="shared" si="32"/>
        <v>1745200</v>
      </c>
      <c r="G102" s="166">
        <f t="shared" si="33"/>
        <v>1.9402666476924034E-2</v>
      </c>
      <c r="H102" s="165">
        <f>VLOOKUP($B102,'Data shares'!$C:$FB,66)</f>
        <v>22228800</v>
      </c>
      <c r="I102" s="165">
        <f>VLOOKUP($B102,'Data shares'!$C:$FB,67)</f>
        <v>30273200</v>
      </c>
      <c r="J102" s="81">
        <f t="shared" si="34"/>
        <v>-26.572678144365312</v>
      </c>
      <c r="K102" s="5">
        <f>VLOOKUP($B102,'Data Vlaue (Cr)'!$C:$FB,99)</f>
        <v>15013</v>
      </c>
      <c r="L102" s="81">
        <f>VLOOKUP(B102,'OI(Value)'!$A$7:$C$209,3,0)</f>
        <v>286</v>
      </c>
      <c r="M102" s="33">
        <f t="shared" si="31"/>
        <v>1.9050156531006459</v>
      </c>
      <c r="N102" s="5">
        <f>VLOOKUP($B102,'Data Vlaue (Cr)'!$C:$FB,67)</f>
        <v>3640</v>
      </c>
      <c r="O102" s="5">
        <f>VLOOKUP($B102,'Data Vlaue (Cr)'!$C:$FB,68)</f>
        <v>4957</v>
      </c>
      <c r="P102" s="5">
        <f t="shared" si="35"/>
        <v>-36.181318681318679</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Power</v>
      </c>
      <c r="B103" s="79" t="str">
        <f>'Data shares'!C98</f>
        <v>INOXWIND</v>
      </c>
      <c r="C103" s="4">
        <f>VLOOKUP($B103,'Data shares'!$C:$FB,7)</f>
        <v>122.85</v>
      </c>
      <c r="D103" s="82">
        <f>VLOOKUP($B103,'Data shares'!$C:$FB,98)</f>
        <v>123123000</v>
      </c>
      <c r="E103" s="165">
        <f>VLOOKUP(B103,'Snapshot (Volume)'!$A$7:$G$168,7,0)</f>
        <v>121138875</v>
      </c>
      <c r="F103" s="165">
        <f t="shared" si="32"/>
        <v>1984125</v>
      </c>
      <c r="G103" s="166">
        <f t="shared" si="33"/>
        <v>1.637892872952634E-2</v>
      </c>
      <c r="H103" s="165">
        <f>VLOOKUP($B103,'Data shares'!$C:$FB,66)</f>
        <v>12727000</v>
      </c>
      <c r="I103" s="165">
        <f>VLOOKUP($B103,'Data shares'!$C:$FB,67)</f>
        <v>38885275</v>
      </c>
      <c r="J103" s="81">
        <f t="shared" si="34"/>
        <v>-67.270387055254204</v>
      </c>
      <c r="K103" s="5">
        <f>VLOOKUP($B103,'Data Vlaue (Cr)'!$C:$FB,99)</f>
        <v>1523</v>
      </c>
      <c r="L103" s="81">
        <f>VLOOKUP(B103,'OI(Value)'!$A$7:$C$209,3,0)</f>
        <v>25</v>
      </c>
      <c r="M103" s="33">
        <f t="shared" si="31"/>
        <v>1.6414970453053186</v>
      </c>
      <c r="N103" s="5">
        <f>VLOOKUP($B103,'Data Vlaue (Cr)'!$C:$FB,67)</f>
        <v>157</v>
      </c>
      <c r="O103" s="5">
        <f>VLOOKUP($B103,'Data Vlaue (Cr)'!$C:$FB,68)</f>
        <v>481</v>
      </c>
      <c r="P103" s="5">
        <f t="shared" si="35"/>
        <v>-206.36942675159236</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Oil_Gas</v>
      </c>
      <c r="B104" s="79" t="str">
        <f>'Data shares'!C99</f>
        <v>IOC</v>
      </c>
      <c r="C104" s="4">
        <f>VLOOKUP($B104,'Data shares'!$C:$FB,7)</f>
        <v>165.88</v>
      </c>
      <c r="D104" s="82">
        <f>VLOOKUP($B104,'Data shares'!$C:$FB,98)</f>
        <v>163439250</v>
      </c>
      <c r="E104" s="165">
        <f>VLOOKUP(B104,'Snapshot (Volume)'!$A$7:$G$168,7,0)</f>
        <v>153304125</v>
      </c>
      <c r="F104" s="165">
        <f t="shared" si="32"/>
        <v>10135125</v>
      </c>
      <c r="G104" s="166">
        <f t="shared" si="33"/>
        <v>6.6111234775972277E-2</v>
      </c>
      <c r="H104" s="165">
        <f>VLOOKUP($B104,'Data shares'!$C:$FB,66)</f>
        <v>91615875</v>
      </c>
      <c r="I104" s="165">
        <f>VLOOKUP($B104,'Data shares'!$C:$FB,67)</f>
        <v>155814750</v>
      </c>
      <c r="J104" s="81">
        <f t="shared" si="34"/>
        <v>-41.202052437269259</v>
      </c>
      <c r="K104" s="5">
        <f>VLOOKUP($B104,'Data Vlaue (Cr)'!$C:$FB,99)</f>
        <v>2729</v>
      </c>
      <c r="L104" s="81">
        <f>VLOOKUP(B104,'OI(Value)'!$A$7:$C$209,3,0)</f>
        <v>169</v>
      </c>
      <c r="M104" s="33">
        <f t="shared" si="31"/>
        <v>6.1927445950897768</v>
      </c>
      <c r="N104" s="5">
        <f>VLOOKUP($B104,'Data Vlaue (Cr)'!$C:$FB,67)</f>
        <v>1530</v>
      </c>
      <c r="O104" s="5">
        <f>VLOOKUP($B104,'Data Vlaue (Cr)'!$C:$FB,68)</f>
        <v>2602</v>
      </c>
      <c r="P104" s="5">
        <f t="shared" si="35"/>
        <v>-70.065359477124176</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Infrastructure</v>
      </c>
      <c r="B105" s="79" t="str">
        <f>'Data shares'!C100</f>
        <v>IRCTC</v>
      </c>
      <c r="C105" s="4">
        <f>VLOOKUP($B105,'Data shares'!$C:$FB,7)</f>
        <v>685.65</v>
      </c>
      <c r="D105" s="82">
        <f>VLOOKUP($B105,'Data shares'!$C:$FB,98)</f>
        <v>44570750</v>
      </c>
      <c r="E105" s="165">
        <f>VLOOKUP(B105,'Snapshot (Volume)'!$A$7:$G$168,7,0)</f>
        <v>44233000</v>
      </c>
      <c r="F105" s="165">
        <f t="shared" si="32"/>
        <v>337750</v>
      </c>
      <c r="G105" s="166">
        <f t="shared" si="33"/>
        <v>7.6357018515587913E-3</v>
      </c>
      <c r="H105" s="165">
        <f>VLOOKUP($B105,'Data shares'!$C:$FB,66)</f>
        <v>11426625</v>
      </c>
      <c r="I105" s="165">
        <f>VLOOKUP($B105,'Data shares'!$C:$FB,67)</f>
        <v>18655000</v>
      </c>
      <c r="J105" s="81">
        <f t="shared" si="34"/>
        <v>-38.747654784240147</v>
      </c>
      <c r="K105" s="5">
        <f>VLOOKUP($B105,'Data Vlaue (Cr)'!$C:$FB,99)</f>
        <v>3070</v>
      </c>
      <c r="L105" s="81">
        <f>VLOOKUP(B105,'OI(Value)'!$A$7:$C$209,3,0)</f>
        <v>23</v>
      </c>
      <c r="M105" s="33">
        <f t="shared" si="31"/>
        <v>0.749185667752443</v>
      </c>
      <c r="N105" s="5">
        <f>VLOOKUP($B105,'Data Vlaue (Cr)'!$C:$FB,67)</f>
        <v>787</v>
      </c>
      <c r="O105" s="5">
        <f>VLOOKUP($B105,'Data Vlaue (Cr)'!$C:$FB,68)</f>
        <v>1285</v>
      </c>
      <c r="P105" s="5">
        <f t="shared" si="35"/>
        <v>-63.278271918678527</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Finance</v>
      </c>
      <c r="B106" s="79" t="str">
        <f>'Data shares'!C101</f>
        <v>IREDA</v>
      </c>
      <c r="C106" s="79">
        <f>VLOOKUP($B106,'Data shares'!$C:$FB,7)</f>
        <v>139.36000000000001</v>
      </c>
      <c r="D106" s="80">
        <f>VLOOKUP($B106,'Data shares'!$C:$FB,98)</f>
        <v>90479700</v>
      </c>
      <c r="E106" s="165">
        <f>VLOOKUP(B106,'Snapshot (Volume)'!$A$7:$G$168,7,0)</f>
        <v>85425450</v>
      </c>
      <c r="F106" s="165">
        <f t="shared" ref="F106:F114" si="36">D106-E106</f>
        <v>5054250</v>
      </c>
      <c r="G106" s="166">
        <f t="shared" ref="G106:G114" si="37">F106/E106</f>
        <v>5.916562335931505E-2</v>
      </c>
      <c r="H106" s="165">
        <f>VLOOKUP($B106,'Data shares'!$C:$FB,66)</f>
        <v>36852900</v>
      </c>
      <c r="I106" s="165">
        <f>VLOOKUP($B106,'Data shares'!$C:$FB,67)</f>
        <v>41193000</v>
      </c>
      <c r="J106" s="81">
        <f t="shared" ref="J106:J114" si="38">(H106-I106)/I106*100</f>
        <v>-10.536013400335008</v>
      </c>
      <c r="K106" s="81">
        <f>VLOOKUP($B106,'Data Vlaue (Cr)'!$C:$FB,99)</f>
        <v>1259</v>
      </c>
      <c r="L106" s="81">
        <f>VLOOKUP(B106,'OI(Value)'!$A$7:$C$209,3,0)</f>
        <v>70</v>
      </c>
      <c r="M106" s="81">
        <f t="shared" si="31"/>
        <v>5.5599682287529779</v>
      </c>
      <c r="N106" s="81">
        <f>VLOOKUP($B106,'Data Vlaue (Cr)'!$C:$FB,67)</f>
        <v>513</v>
      </c>
      <c r="O106" s="81">
        <f>VLOOKUP($B106,'Data Vlaue (Cr)'!$C:$FB,68)</f>
        <v>573</v>
      </c>
      <c r="P106" s="81">
        <f t="shared" ref="P106:P114" si="39">(N106-O106)/N106*100</f>
        <v>-11.695906432748536</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Infrastructure</v>
      </c>
      <c r="B107" s="79" t="str">
        <f>'Data shares'!C102</f>
        <v>IRFC</v>
      </c>
      <c r="C107" s="79">
        <f>VLOOKUP($B107,'Data shares'!$C:$FB,7)</f>
        <v>125.79</v>
      </c>
      <c r="D107" s="80">
        <f>VLOOKUP($B107,'Data shares'!$C:$FB,98)</f>
        <v>165673500</v>
      </c>
      <c r="E107" s="165">
        <f>VLOOKUP(B107,'Snapshot (Volume)'!$A$7:$G$168,7,0)</f>
        <v>165116750</v>
      </c>
      <c r="F107" s="165">
        <f t="shared" si="36"/>
        <v>556750</v>
      </c>
      <c r="G107" s="166">
        <f t="shared" si="37"/>
        <v>3.371856580268204E-3</v>
      </c>
      <c r="H107" s="165">
        <f>VLOOKUP($B107,'Data shares'!$C:$FB,66)</f>
        <v>65649750</v>
      </c>
      <c r="I107" s="165">
        <f>VLOOKUP($B107,'Data shares'!$C:$FB,67)</f>
        <v>110950500</v>
      </c>
      <c r="J107" s="81">
        <f t="shared" si="38"/>
        <v>-40.829694323144103</v>
      </c>
      <c r="K107" s="81">
        <f>VLOOKUP($B107,'Data Vlaue (Cr)'!$C:$FB,99)</f>
        <v>2096</v>
      </c>
      <c r="L107" s="81">
        <f>VLOOKUP(B107,'OI(Value)'!$A$7:$C$209,3,0)</f>
        <v>7</v>
      </c>
      <c r="M107" s="81">
        <f t="shared" si="31"/>
        <v>0.33396946564885494</v>
      </c>
      <c r="N107" s="81">
        <f>VLOOKUP($B107,'Data Vlaue (Cr)'!$C:$FB,67)</f>
        <v>831</v>
      </c>
      <c r="O107" s="81">
        <f>VLOOKUP($B107,'Data Vlaue (Cr)'!$C:$FB,68)</f>
        <v>1404</v>
      </c>
      <c r="P107" s="81">
        <f t="shared" si="39"/>
        <v>-68.953068592057761</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FMCG</v>
      </c>
      <c r="B108" s="79" t="str">
        <f>'Data shares'!C103</f>
        <v>ITC</v>
      </c>
      <c r="C108" s="4">
        <f>VLOOKUP($B108,'Data shares'!$C:$FB,7)</f>
        <v>363.85</v>
      </c>
      <c r="D108" s="82">
        <f>VLOOKUP($B108,'Data shares'!$C:$FB,98)</f>
        <v>493940800</v>
      </c>
      <c r="E108" s="165">
        <f>VLOOKUP(B108,'Snapshot (Volume)'!$A$7:$G$168,7,0)</f>
        <v>240584000</v>
      </c>
      <c r="F108" s="165">
        <f t="shared" si="36"/>
        <v>253356800</v>
      </c>
      <c r="G108" s="166">
        <f t="shared" si="37"/>
        <v>1.053090812356599</v>
      </c>
      <c r="H108" s="165">
        <f>VLOOKUP($B108,'Data shares'!$C:$FB,66)</f>
        <v>1695953600</v>
      </c>
      <c r="I108" s="165">
        <f>VLOOKUP($B108,'Data shares'!$C:$FB,67)</f>
        <v>72755200</v>
      </c>
      <c r="J108" s="81">
        <f t="shared" si="38"/>
        <v>2231.0410802251936</v>
      </c>
      <c r="K108" s="5">
        <f>VLOOKUP($B108,'Data Vlaue (Cr)'!$C:$FB,99)</f>
        <v>18083</v>
      </c>
      <c r="L108" s="81">
        <f>VLOOKUP(B108,'OI(Value)'!$A$7:$C$209,3,0)</f>
        <v>9275</v>
      </c>
      <c r="M108" s="33">
        <f t="shared" si="31"/>
        <v>51.291268041807228</v>
      </c>
      <c r="N108" s="5">
        <f>VLOOKUP($B108,'Data Vlaue (Cr)'!$C:$FB,67)</f>
        <v>62089</v>
      </c>
      <c r="O108" s="5">
        <f>VLOOKUP($B108,'Data Vlaue (Cr)'!$C:$FB,68)</f>
        <v>2664</v>
      </c>
      <c r="P108" s="5">
        <f t="shared" si="39"/>
        <v>95.709384915202364</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Metals</v>
      </c>
      <c r="B109" s="79" t="str">
        <f>'Data shares'!C104</f>
        <v>JINDALSTEL</v>
      </c>
      <c r="C109" s="4">
        <f>VLOOKUP($B109,'Data shares'!$C:$FB,7)</f>
        <v>1068.4000000000001</v>
      </c>
      <c r="D109" s="82">
        <f>VLOOKUP($B109,'Data shares'!$C:$FB,98)</f>
        <v>20328750</v>
      </c>
      <c r="E109" s="165">
        <f>VLOOKUP(B109,'Snapshot (Volume)'!$A$7:$G$168,7,0)</f>
        <v>20215625</v>
      </c>
      <c r="F109" s="165">
        <f t="shared" si="36"/>
        <v>113125</v>
      </c>
      <c r="G109" s="166">
        <f t="shared" si="37"/>
        <v>5.5959189982995828E-3</v>
      </c>
      <c r="H109" s="165">
        <f>VLOOKUP($B109,'Data shares'!$C:$FB,66)</f>
        <v>14579375</v>
      </c>
      <c r="I109" s="165">
        <f>VLOOKUP($B109,'Data shares'!$C:$FB,67)</f>
        <v>38732500</v>
      </c>
      <c r="J109" s="81">
        <f t="shared" si="38"/>
        <v>-62.358807203253086</v>
      </c>
      <c r="K109" s="5">
        <f>VLOOKUP($B109,'Data Vlaue (Cr)'!$C:$FB,99)</f>
        <v>2180</v>
      </c>
      <c r="L109" s="81">
        <f>VLOOKUP(B109,'OI(Value)'!$A$7:$C$209,3,0)</f>
        <v>12</v>
      </c>
      <c r="M109" s="33">
        <f t="shared" si="31"/>
        <v>0.55045871559633031</v>
      </c>
      <c r="N109" s="5">
        <f>VLOOKUP($B109,'Data Vlaue (Cr)'!$C:$FB,67)</f>
        <v>1563</v>
      </c>
      <c r="O109" s="5">
        <f>VLOOKUP($B109,'Data Vlaue (Cr)'!$C:$FB,68)</f>
        <v>4154</v>
      </c>
      <c r="P109" s="5">
        <f t="shared" si="39"/>
        <v>-165.77095329494563</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Finance</v>
      </c>
      <c r="B110" s="79" t="str">
        <f>'Data shares'!C105</f>
        <v>JIOFIN</v>
      </c>
      <c r="C110" s="4">
        <f>VLOOKUP($B110,'Data shares'!$C:$FB,7)</f>
        <v>295.7</v>
      </c>
      <c r="D110" s="82">
        <f>VLOOKUP($B110,'Data shares'!$C:$FB,98)</f>
        <v>230499750</v>
      </c>
      <c r="E110" s="165">
        <f>VLOOKUP(B110,'Snapshot (Volume)'!$A$7:$G$168,7,0)</f>
        <v>227463550</v>
      </c>
      <c r="F110" s="165">
        <f t="shared" si="36"/>
        <v>3036200</v>
      </c>
      <c r="G110" s="166">
        <f t="shared" si="37"/>
        <v>1.3348072691207009E-2</v>
      </c>
      <c r="H110" s="165">
        <f>VLOOKUP($B110,'Data shares'!$C:$FB,66)</f>
        <v>29060100</v>
      </c>
      <c r="I110" s="165">
        <f>VLOOKUP($B110,'Data shares'!$C:$FB,67)</f>
        <v>53892550</v>
      </c>
      <c r="J110" s="81">
        <f t="shared" si="38"/>
        <v>-46.077704617799675</v>
      </c>
      <c r="K110" s="5">
        <f>VLOOKUP($B110,'Data Vlaue (Cr)'!$C:$FB,99)</f>
        <v>6862</v>
      </c>
      <c r="L110" s="81">
        <f>VLOOKUP(B110,'OI(Value)'!$A$7:$C$209,3,0)</f>
        <v>90</v>
      </c>
      <c r="M110" s="33">
        <f t="shared" si="31"/>
        <v>1.3115709705625183</v>
      </c>
      <c r="N110" s="5">
        <f>VLOOKUP($B110,'Data Vlaue (Cr)'!$C:$FB,67)</f>
        <v>865</v>
      </c>
      <c r="O110" s="5">
        <f>VLOOKUP($B110,'Data Vlaue (Cr)'!$C:$FB,68)</f>
        <v>1604</v>
      </c>
      <c r="P110" s="5">
        <f t="shared" si="39"/>
        <v>-85.433526011560687</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Power</v>
      </c>
      <c r="B111" s="79" t="str">
        <f>'Data shares'!C106</f>
        <v>JSWENERGY</v>
      </c>
      <c r="C111" s="4">
        <f>VLOOKUP($B111,'Data shares'!$C:$FB,7)</f>
        <v>502</v>
      </c>
      <c r="D111" s="82">
        <f>VLOOKUP($B111,'Data shares'!$C:$FB,98)</f>
        <v>55232000</v>
      </c>
      <c r="E111" s="165">
        <f>VLOOKUP(B111,'Snapshot (Volume)'!$A$7:$G$168,7,0)</f>
        <v>52899000</v>
      </c>
      <c r="F111" s="165">
        <f t="shared" si="36"/>
        <v>2333000</v>
      </c>
      <c r="G111" s="166">
        <f t="shared" si="37"/>
        <v>4.410291309854629E-2</v>
      </c>
      <c r="H111" s="165">
        <f>VLOOKUP($B111,'Data shares'!$C:$FB,66)</f>
        <v>40440000</v>
      </c>
      <c r="I111" s="165">
        <f>VLOOKUP($B111,'Data shares'!$C:$FB,67)</f>
        <v>12289000</v>
      </c>
      <c r="J111" s="81">
        <f t="shared" si="38"/>
        <v>229.07478232565711</v>
      </c>
      <c r="K111" s="5">
        <f>VLOOKUP($B111,'Data Vlaue (Cr)'!$C:$FB,99)</f>
        <v>2789</v>
      </c>
      <c r="L111" s="81">
        <f>VLOOKUP(B111,'OI(Value)'!$A$7:$C$209,3,0)</f>
        <v>118</v>
      </c>
      <c r="M111" s="33">
        <f t="shared" si="31"/>
        <v>4.2309071351738972</v>
      </c>
      <c r="N111" s="5">
        <f>VLOOKUP($B111,'Data Vlaue (Cr)'!$C:$FB,67)</f>
        <v>2042</v>
      </c>
      <c r="O111" s="5">
        <f>VLOOKUP($B111,'Data Vlaue (Cr)'!$C:$FB,68)</f>
        <v>621</v>
      </c>
      <c r="P111" s="5">
        <f t="shared" si="39"/>
        <v>69.588638589618029</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Metals</v>
      </c>
      <c r="B112" s="79" t="str">
        <f>'Data shares'!C107</f>
        <v>JSWSTEEL</v>
      </c>
      <c r="C112" s="4">
        <f>VLOOKUP($B112,'Data shares'!$C:$FB,7)</f>
        <v>1171.5</v>
      </c>
      <c r="D112" s="82">
        <f>VLOOKUP($B112,'Data shares'!$C:$FB,98)</f>
        <v>66283650</v>
      </c>
      <c r="E112" s="165">
        <f>VLOOKUP(B112,'Snapshot (Volume)'!$A$7:$G$168,7,0)</f>
        <v>66055500</v>
      </c>
      <c r="F112" s="165">
        <f t="shared" si="36"/>
        <v>228150</v>
      </c>
      <c r="G112" s="166">
        <f t="shared" si="37"/>
        <v>3.4539137543429391E-3</v>
      </c>
      <c r="H112" s="165">
        <f>VLOOKUP($B112,'Data shares'!$C:$FB,66)</f>
        <v>24929100</v>
      </c>
      <c r="I112" s="165">
        <f>VLOOKUP($B112,'Data shares'!$C:$FB,67)</f>
        <v>86167800</v>
      </c>
      <c r="J112" s="81">
        <f t="shared" si="38"/>
        <v>-71.069123268784864</v>
      </c>
      <c r="K112" s="5">
        <f>VLOOKUP($B112,'Data Vlaue (Cr)'!$C:$FB,99)</f>
        <v>7808</v>
      </c>
      <c r="L112" s="81">
        <f>VLOOKUP(B112,'OI(Value)'!$A$7:$C$209,3,0)</f>
        <v>27</v>
      </c>
      <c r="M112" s="33">
        <f t="shared" si="31"/>
        <v>0.34579918032786883</v>
      </c>
      <c r="N112" s="5">
        <f>VLOOKUP($B112,'Data Vlaue (Cr)'!$C:$FB,67)</f>
        <v>2937</v>
      </c>
      <c r="O112" s="5">
        <f>VLOOKUP($B112,'Data Vlaue (Cr)'!$C:$FB,68)</f>
        <v>10151</v>
      </c>
      <c r="P112" s="5">
        <f t="shared" si="39"/>
        <v>-245.62478719782089</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FMCG</v>
      </c>
      <c r="B113" s="79" t="str">
        <f>'Data shares'!C108</f>
        <v>JUBLFOOD</v>
      </c>
      <c r="C113" s="4">
        <f>VLOOKUP($B113,'Data shares'!$C:$FB,7)</f>
        <v>553.15</v>
      </c>
      <c r="D113" s="82">
        <f>VLOOKUP($B113,'Data shares'!$C:$FB,98)</f>
        <v>38423750</v>
      </c>
      <c r="E113" s="165">
        <f>VLOOKUP(B113,'Snapshot (Volume)'!$A$7:$G$168,7,0)</f>
        <v>36743750</v>
      </c>
      <c r="F113" s="165">
        <f t="shared" si="36"/>
        <v>1680000</v>
      </c>
      <c r="G113" s="166">
        <f t="shared" si="37"/>
        <v>4.5722061575097804E-2</v>
      </c>
      <c r="H113" s="165">
        <f>VLOOKUP($B113,'Data shares'!$C:$FB,66)</f>
        <v>8600000</v>
      </c>
      <c r="I113" s="165">
        <f>VLOOKUP($B113,'Data shares'!$C:$FB,67)</f>
        <v>15236250</v>
      </c>
      <c r="J113" s="81">
        <f t="shared" si="38"/>
        <v>-43.555664943801787</v>
      </c>
      <c r="K113" s="5">
        <f>VLOOKUP($B113,'Data Vlaue (Cr)'!$C:$FB,99)</f>
        <v>2120</v>
      </c>
      <c r="L113" s="81">
        <f>VLOOKUP(B113,'OI(Value)'!$A$7:$C$209,3,0)</f>
        <v>93</v>
      </c>
      <c r="M113" s="33">
        <f t="shared" si="31"/>
        <v>4.3867924528301883</v>
      </c>
      <c r="N113" s="5">
        <f>VLOOKUP($B113,'Data Vlaue (Cr)'!$C:$FB,67)</f>
        <v>474</v>
      </c>
      <c r="O113" s="5">
        <f>VLOOKUP($B113,'Data Vlaue (Cr)'!$C:$FB,68)</f>
        <v>841</v>
      </c>
      <c r="P113" s="5">
        <f t="shared" si="39"/>
        <v>-77.426160337552744</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FMCG</v>
      </c>
      <c r="B114" s="79" t="str">
        <f>'Data shares'!C109</f>
        <v>KALYANKJIL</v>
      </c>
      <c r="C114" s="4">
        <f>VLOOKUP($B114,'Data shares'!$C:$FB,7)</f>
        <v>484.2</v>
      </c>
      <c r="D114" s="82">
        <f>VLOOKUP($B114,'Data shares'!$C:$FB,98)</f>
        <v>41463400</v>
      </c>
      <c r="E114" s="165">
        <f>VLOOKUP(B114,'Snapshot (Volume)'!$A$7:$G$168,7,0)</f>
        <v>41006325</v>
      </c>
      <c r="F114" s="165">
        <f t="shared" si="36"/>
        <v>457075</v>
      </c>
      <c r="G114" s="166">
        <f t="shared" si="37"/>
        <v>1.1146451187713116E-2</v>
      </c>
      <c r="H114" s="165">
        <f>VLOOKUP($B114,'Data shares'!$C:$FB,66)</f>
        <v>3234775</v>
      </c>
      <c r="I114" s="165">
        <f>VLOOKUP($B114,'Data shares'!$C:$FB,67)</f>
        <v>7000650</v>
      </c>
      <c r="J114" s="81">
        <f t="shared" si="38"/>
        <v>-53.79321920107418</v>
      </c>
      <c r="K114" s="5">
        <f>VLOOKUP($B114,'Data Vlaue (Cr)'!$C:$FB,99)</f>
        <v>2022</v>
      </c>
      <c r="L114" s="81">
        <f>VLOOKUP(B114,'OI(Value)'!$A$7:$C$209,3,0)</f>
        <v>22</v>
      </c>
      <c r="M114" s="33">
        <f t="shared" si="31"/>
        <v>1.0880316518298714</v>
      </c>
      <c r="N114" s="5">
        <f>VLOOKUP($B114,'Data Vlaue (Cr)'!$C:$FB,67)</f>
        <v>158</v>
      </c>
      <c r="O114" s="5">
        <f>VLOOKUP($B114,'Data Vlaue (Cr)'!$C:$FB,68)</f>
        <v>341</v>
      </c>
      <c r="P114" s="5">
        <f t="shared" si="39"/>
        <v>-115.82278481012658</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Capital_Goods</v>
      </c>
      <c r="B115" s="79" t="str">
        <f>'Data shares'!C110</f>
        <v>KAYNES</v>
      </c>
      <c r="C115" s="79">
        <f>VLOOKUP($B115,'Data shares'!$C:$FB,7)</f>
        <v>3943.5</v>
      </c>
      <c r="D115" s="80">
        <f>VLOOKUP($B115,'Data shares'!$C:$FB,98)</f>
        <v>6035900</v>
      </c>
      <c r="E115" s="165">
        <f>VLOOKUP(B115,'Snapshot (Volume)'!$A$7:$G$168,7,0)</f>
        <v>5546100</v>
      </c>
      <c r="F115" s="165">
        <f t="shared" ref="F115:F126" si="40">D115-E115</f>
        <v>489800</v>
      </c>
      <c r="G115" s="166">
        <f t="shared" ref="G115:G126" si="41">F115/E115</f>
        <v>8.8314310957249231E-2</v>
      </c>
      <c r="H115" s="165">
        <f>VLOOKUP($B115,'Data shares'!$C:$FB,66)</f>
        <v>3174300</v>
      </c>
      <c r="I115" s="165">
        <f>VLOOKUP($B115,'Data shares'!$C:$FB,67)</f>
        <v>4217000</v>
      </c>
      <c r="J115" s="81">
        <f t="shared" ref="J115:J126" si="42">(H115-I115)/I115*100</f>
        <v>-24.726108608015178</v>
      </c>
      <c r="K115" s="81">
        <f>VLOOKUP($B115,'Data Vlaue (Cr)'!$C:$FB,99)</f>
        <v>2389</v>
      </c>
      <c r="L115" s="81">
        <f>VLOOKUP(B115,'OI(Value)'!$A$7:$C$209,3,0)</f>
        <v>194</v>
      </c>
      <c r="M115" s="81">
        <f t="shared" si="31"/>
        <v>8.1205525324403514</v>
      </c>
      <c r="N115" s="81">
        <f>VLOOKUP($B115,'Data Vlaue (Cr)'!$C:$FB,67)</f>
        <v>1257</v>
      </c>
      <c r="O115" s="81">
        <f>VLOOKUP($B115,'Data Vlaue (Cr)'!$C:$FB,68)</f>
        <v>1669</v>
      </c>
      <c r="P115" s="81">
        <f t="shared" ref="P115:P126" si="43">(N115-O115)/N115*100</f>
        <v>-32.776451869530625</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Power</v>
      </c>
      <c r="B116" s="79" t="str">
        <f>'Data shares'!C111</f>
        <v>KEI</v>
      </c>
      <c r="C116" s="4">
        <f>VLOOKUP($B116,'Data shares'!$C:$FB,7)</f>
        <v>4514.5</v>
      </c>
      <c r="D116" s="82">
        <f>VLOOKUP($B116,'Data shares'!$C:$FB,98)</f>
        <v>1440075</v>
      </c>
      <c r="E116" s="165">
        <f>VLOOKUP(B116,'Snapshot (Volume)'!$A$7:$G$168,7,0)</f>
        <v>1336300</v>
      </c>
      <c r="F116" s="165">
        <f t="shared" si="40"/>
        <v>103775</v>
      </c>
      <c r="G116" s="166">
        <f t="shared" si="41"/>
        <v>7.7658459926663176E-2</v>
      </c>
      <c r="H116" s="165">
        <f>VLOOKUP($B116,'Data shares'!$C:$FB,66)</f>
        <v>1069775</v>
      </c>
      <c r="I116" s="165">
        <f>VLOOKUP($B116,'Data shares'!$C:$FB,67)</f>
        <v>1451100</v>
      </c>
      <c r="J116" s="81">
        <f t="shared" si="42"/>
        <v>-26.278340569223346</v>
      </c>
      <c r="K116" s="5">
        <f>VLOOKUP($B116,'Data Vlaue (Cr)'!$C:$FB,99)</f>
        <v>653</v>
      </c>
      <c r="L116" s="81">
        <f>VLOOKUP(B116,'OI(Value)'!$A$7:$C$209,3,0)</f>
        <v>47</v>
      </c>
      <c r="M116" s="33">
        <f t="shared" si="31"/>
        <v>7.1975497702909648</v>
      </c>
      <c r="N116" s="5">
        <f>VLOOKUP($B116,'Data Vlaue (Cr)'!$C:$FB,67)</f>
        <v>485</v>
      </c>
      <c r="O116" s="5">
        <f>VLOOKUP($B116,'Data Vlaue (Cr)'!$C:$FB,68)</f>
        <v>658</v>
      </c>
      <c r="P116" s="5">
        <f t="shared" si="43"/>
        <v>-35.670103092783506</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Finance</v>
      </c>
      <c r="B117" s="79" t="str">
        <f>'Data shares'!C112</f>
        <v>KFINTECH</v>
      </c>
      <c r="C117" s="4">
        <f>VLOOKUP($B117,'Data shares'!$C:$FB,7)</f>
        <v>1076.7</v>
      </c>
      <c r="D117" s="82">
        <f>VLOOKUP($B117,'Data shares'!$C:$FB,98)</f>
        <v>4528000</v>
      </c>
      <c r="E117" s="165">
        <f>VLOOKUP(B117,'Snapshot (Volume)'!$A$7:$G$168,7,0)</f>
        <v>4363500</v>
      </c>
      <c r="F117" s="165">
        <f t="shared" si="40"/>
        <v>164500</v>
      </c>
      <c r="G117" s="166">
        <f t="shared" si="41"/>
        <v>3.7699094763378023E-2</v>
      </c>
      <c r="H117" s="165">
        <f>VLOOKUP($B117,'Data shares'!$C:$FB,66)</f>
        <v>1623500</v>
      </c>
      <c r="I117" s="165">
        <f>VLOOKUP($B117,'Data shares'!$C:$FB,67)</f>
        <v>1696500</v>
      </c>
      <c r="J117" s="81">
        <f t="shared" si="42"/>
        <v>-4.3029767167698196</v>
      </c>
      <c r="K117" s="5">
        <f>VLOOKUP($B117,'Data Vlaue (Cr)'!$C:$FB,99)</f>
        <v>488</v>
      </c>
      <c r="L117" s="81">
        <f>VLOOKUP(B117,'OI(Value)'!$A$7:$C$209,3,0)</f>
        <v>18</v>
      </c>
      <c r="M117" s="33">
        <f t="shared" si="31"/>
        <v>3.6885245901639343</v>
      </c>
      <c r="N117" s="5">
        <f>VLOOKUP($B117,'Data Vlaue (Cr)'!$C:$FB,67)</f>
        <v>175</v>
      </c>
      <c r="O117" s="5">
        <f>VLOOKUP($B117,'Data Vlaue (Cr)'!$C:$FB,68)</f>
        <v>183</v>
      </c>
      <c r="P117" s="5">
        <f t="shared" si="43"/>
        <v>-4.5714285714285712</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Banking</v>
      </c>
      <c r="B118" s="79" t="str">
        <f>'Data shares'!C113</f>
        <v>KOTAKBANK</v>
      </c>
      <c r="C118" s="4">
        <f>VLOOKUP($B118,'Data shares'!$C:$FB,7)</f>
        <v>2217.8000000000002</v>
      </c>
      <c r="D118" s="82">
        <f>VLOOKUP($B118,'Data shares'!$C:$FB,98)</f>
        <v>46910000</v>
      </c>
      <c r="E118" s="165">
        <f>VLOOKUP(B118,'Snapshot (Volume)'!$A$7:$G$168,7,0)</f>
        <v>45791200</v>
      </c>
      <c r="F118" s="165">
        <f t="shared" si="40"/>
        <v>1118800</v>
      </c>
      <c r="G118" s="166">
        <f t="shared" si="41"/>
        <v>2.4432642079700903E-2</v>
      </c>
      <c r="H118" s="165">
        <f>VLOOKUP($B118,'Data shares'!$C:$FB,66)</f>
        <v>14365200</v>
      </c>
      <c r="I118" s="165">
        <f>VLOOKUP($B118,'Data shares'!$C:$FB,67)</f>
        <v>23248800</v>
      </c>
      <c r="J118" s="81">
        <f t="shared" si="42"/>
        <v>-38.211004438938787</v>
      </c>
      <c r="K118" s="5">
        <f>VLOOKUP($B118,'Data Vlaue (Cr)'!$C:$FB,99)</f>
        <v>10444</v>
      </c>
      <c r="L118" s="81">
        <f>VLOOKUP(B118,'OI(Value)'!$A$7:$C$209,3,0)</f>
        <v>249</v>
      </c>
      <c r="M118" s="33">
        <f t="shared" si="31"/>
        <v>2.3841440061279204</v>
      </c>
      <c r="N118" s="5">
        <f>VLOOKUP($B118,'Data Vlaue (Cr)'!$C:$FB,67)</f>
        <v>3198</v>
      </c>
      <c r="O118" s="5">
        <f>VLOOKUP($B118,'Data Vlaue (Cr)'!$C:$FB,68)</f>
        <v>5176</v>
      </c>
      <c r="P118" s="5">
        <f t="shared" si="43"/>
        <v>-61.851156973108189</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Technology</v>
      </c>
      <c r="B119" s="79" t="str">
        <f>'Data shares'!C114</f>
        <v>KPITTECH</v>
      </c>
      <c r="C119" s="4">
        <f>VLOOKUP($B119,'Data shares'!$C:$FB,7)</f>
        <v>1163.2</v>
      </c>
      <c r="D119" s="82">
        <f>VLOOKUP($B119,'Data shares'!$C:$FB,98)</f>
        <v>5314200</v>
      </c>
      <c r="E119" s="165">
        <f>VLOOKUP(B119,'Snapshot (Volume)'!$A$7:$G$168,7,0)</f>
        <v>4990775</v>
      </c>
      <c r="F119" s="165">
        <f t="shared" si="40"/>
        <v>323425</v>
      </c>
      <c r="G119" s="166">
        <f t="shared" si="41"/>
        <v>6.4804564421357402E-2</v>
      </c>
      <c r="H119" s="165">
        <f>VLOOKUP($B119,'Data shares'!$C:$FB,66)</f>
        <v>1546150</v>
      </c>
      <c r="I119" s="165">
        <f>VLOOKUP($B119,'Data shares'!$C:$FB,67)</f>
        <v>1910375</v>
      </c>
      <c r="J119" s="81">
        <f t="shared" si="42"/>
        <v>-19.065628476084541</v>
      </c>
      <c r="K119" s="5">
        <f>VLOOKUP($B119,'Data Vlaue (Cr)'!$C:$FB,99)</f>
        <v>619</v>
      </c>
      <c r="L119" s="81">
        <f>VLOOKUP(B119,'OI(Value)'!$A$7:$C$209,3,0)</f>
        <v>38</v>
      </c>
      <c r="M119" s="33">
        <f t="shared" si="31"/>
        <v>6.1389337641357029</v>
      </c>
      <c r="N119" s="5">
        <f>VLOOKUP($B119,'Data Vlaue (Cr)'!$C:$FB,67)</f>
        <v>180</v>
      </c>
      <c r="O119" s="5">
        <f>VLOOKUP($B119,'Data Vlaue (Cr)'!$C:$FB,68)</f>
        <v>223</v>
      </c>
      <c r="P119" s="5">
        <f t="shared" si="43"/>
        <v>-23.888888888888889</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Pharma</v>
      </c>
      <c r="B120" s="79" t="str">
        <f>'Data shares'!C115</f>
        <v>LAURUSLABS</v>
      </c>
      <c r="C120" s="4">
        <f>VLOOKUP($B120,'Data shares'!$C:$FB,7)</f>
        <v>1110.4000000000001</v>
      </c>
      <c r="D120" s="82">
        <f>VLOOKUP($B120,'Data shares'!$C:$FB,98)</f>
        <v>24278550</v>
      </c>
      <c r="E120" s="165">
        <f>VLOOKUP(B120,'Snapshot (Volume)'!$A$7:$G$168,7,0)</f>
        <v>23545000</v>
      </c>
      <c r="F120" s="165">
        <f t="shared" si="40"/>
        <v>733550</v>
      </c>
      <c r="G120" s="166">
        <f t="shared" si="41"/>
        <v>3.1155234657039711E-2</v>
      </c>
      <c r="H120" s="165">
        <f>VLOOKUP($B120,'Data shares'!$C:$FB,66)</f>
        <v>8057150</v>
      </c>
      <c r="I120" s="165">
        <f>VLOOKUP($B120,'Data shares'!$C:$FB,67)</f>
        <v>18529150</v>
      </c>
      <c r="J120" s="81">
        <f t="shared" si="42"/>
        <v>-56.51635396119088</v>
      </c>
      <c r="K120" s="5">
        <f>VLOOKUP($B120,'Data Vlaue (Cr)'!$C:$FB,99)</f>
        <v>2709</v>
      </c>
      <c r="L120" s="81">
        <f>VLOOKUP(B120,'OI(Value)'!$A$7:$C$209,3,0)</f>
        <v>82</v>
      </c>
      <c r="M120" s="33">
        <f t="shared" si="31"/>
        <v>3.0269472129937247</v>
      </c>
      <c r="N120" s="5">
        <f>VLOOKUP($B120,'Data Vlaue (Cr)'!$C:$FB,67)</f>
        <v>899</v>
      </c>
      <c r="O120" s="5">
        <f>VLOOKUP($B120,'Data Vlaue (Cr)'!$C:$FB,68)</f>
        <v>2067</v>
      </c>
      <c r="P120" s="5">
        <f t="shared" si="43"/>
        <v>-129.92213570634036</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Finance</v>
      </c>
      <c r="B121" s="79" t="str">
        <f>'Data shares'!C116</f>
        <v>LICHSGFIN</v>
      </c>
      <c r="C121" s="4">
        <f>VLOOKUP($B121,'Data shares'!$C:$FB,7)</f>
        <v>535.85</v>
      </c>
      <c r="D121" s="82">
        <f>VLOOKUP($B121,'Data shares'!$C:$FB,98)</f>
        <v>46500000</v>
      </c>
      <c r="E121" s="165">
        <f>VLOOKUP(B121,'Snapshot (Volume)'!$A$7:$G$168,7,0)</f>
        <v>45733000</v>
      </c>
      <c r="F121" s="165">
        <f t="shared" si="40"/>
        <v>767000</v>
      </c>
      <c r="G121" s="166">
        <f t="shared" si="41"/>
        <v>1.6771259265738088E-2</v>
      </c>
      <c r="H121" s="165">
        <f>VLOOKUP($B121,'Data shares'!$C:$FB,66)</f>
        <v>5782000</v>
      </c>
      <c r="I121" s="165">
        <f>VLOOKUP($B121,'Data shares'!$C:$FB,67)</f>
        <v>12502000</v>
      </c>
      <c r="J121" s="81">
        <f t="shared" si="42"/>
        <v>-53.751399776035832</v>
      </c>
      <c r="K121" s="5">
        <f>VLOOKUP($B121,'Data Vlaue (Cr)'!$C:$FB,99)</f>
        <v>2502</v>
      </c>
      <c r="L121" s="81">
        <f>VLOOKUP(B121,'OI(Value)'!$A$7:$C$209,3,0)</f>
        <v>41</v>
      </c>
      <c r="M121" s="33">
        <f t="shared" si="31"/>
        <v>1.6386890487609911</v>
      </c>
      <c r="N121" s="5">
        <f>VLOOKUP($B121,'Data Vlaue (Cr)'!$C:$FB,67)</f>
        <v>311</v>
      </c>
      <c r="O121" s="5">
        <f>VLOOKUP($B121,'Data Vlaue (Cr)'!$C:$FB,68)</f>
        <v>673</v>
      </c>
      <c r="P121" s="5">
        <f t="shared" si="43"/>
        <v>-116.39871382636655</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Finance</v>
      </c>
      <c r="B122" s="79" t="str">
        <f>'Data shares'!C117</f>
        <v>LICI</v>
      </c>
      <c r="C122" s="4">
        <f>VLOOKUP($B122,'Data shares'!$C:$FB,7)</f>
        <v>852.8</v>
      </c>
      <c r="D122" s="82">
        <f>VLOOKUP($B122,'Data shares'!$C:$FB,98)</f>
        <v>16921800</v>
      </c>
      <c r="E122" s="165">
        <f>VLOOKUP(B122,'Snapshot (Volume)'!$A$7:$G$168,7,0)</f>
        <v>16687300</v>
      </c>
      <c r="F122" s="165">
        <f t="shared" si="40"/>
        <v>234500</v>
      </c>
      <c r="G122" s="166">
        <f t="shared" si="41"/>
        <v>1.4052602877637484E-2</v>
      </c>
      <c r="H122" s="165">
        <f>VLOOKUP($B122,'Data shares'!$C:$FB,66)</f>
        <v>2133600</v>
      </c>
      <c r="I122" s="165">
        <f>VLOOKUP($B122,'Data shares'!$C:$FB,67)</f>
        <v>6061300</v>
      </c>
      <c r="J122" s="81">
        <f t="shared" si="42"/>
        <v>-64.799630442314367</v>
      </c>
      <c r="K122" s="5">
        <f>VLOOKUP($B122,'Data Vlaue (Cr)'!$C:$FB,99)</f>
        <v>1453</v>
      </c>
      <c r="L122" s="81">
        <f>VLOOKUP(B122,'OI(Value)'!$A$7:$C$209,3,0)</f>
        <v>20</v>
      </c>
      <c r="M122" s="33">
        <f t="shared" si="31"/>
        <v>1.3764624913971095</v>
      </c>
      <c r="N122" s="5">
        <f>VLOOKUP($B122,'Data Vlaue (Cr)'!$C:$FB,67)</f>
        <v>183</v>
      </c>
      <c r="O122" s="5">
        <f>VLOOKUP($B122,'Data Vlaue (Cr)'!$C:$FB,68)</f>
        <v>520</v>
      </c>
      <c r="P122" s="5">
        <f t="shared" si="43"/>
        <v>-184.15300546448088</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Realty</v>
      </c>
      <c r="B123" s="79" t="str">
        <f>'Data shares'!C118</f>
        <v>LODHA</v>
      </c>
      <c r="C123" s="4">
        <f>VLOOKUP($B123,'Data shares'!$C:$FB,7)</f>
        <v>1072.8</v>
      </c>
      <c r="D123" s="82">
        <f>VLOOKUP($B123,'Data shares'!$C:$FB,98)</f>
        <v>15149700</v>
      </c>
      <c r="E123" s="165">
        <f>VLOOKUP(B123,'Snapshot (Volume)'!$A$7:$G$168,7,0)</f>
        <v>14979150</v>
      </c>
      <c r="F123" s="165">
        <f t="shared" si="40"/>
        <v>170550</v>
      </c>
      <c r="G123" s="166">
        <f t="shared" si="41"/>
        <v>1.1385826298554991E-2</v>
      </c>
      <c r="H123" s="165">
        <f>VLOOKUP($B123,'Data shares'!$C:$FB,66)</f>
        <v>1976850</v>
      </c>
      <c r="I123" s="165">
        <f>VLOOKUP($B123,'Data shares'!$C:$FB,67)</f>
        <v>2160450</v>
      </c>
      <c r="J123" s="81">
        <f t="shared" si="42"/>
        <v>-8.4982295355134347</v>
      </c>
      <c r="K123" s="5">
        <f>VLOOKUP($B123,'Data Vlaue (Cr)'!$C:$FB,99)</f>
        <v>1634</v>
      </c>
      <c r="L123" s="81">
        <f>VLOOKUP(B123,'OI(Value)'!$A$7:$C$209,3,0)</f>
        <v>18</v>
      </c>
      <c r="M123" s="33">
        <f t="shared" ref="M123:M144" si="44">L123/K123*100</f>
        <v>1.101591187270502</v>
      </c>
      <c r="N123" s="5">
        <f>VLOOKUP($B123,'Data Vlaue (Cr)'!$C:$FB,67)</f>
        <v>213</v>
      </c>
      <c r="O123" s="5">
        <f>VLOOKUP($B123,'Data Vlaue (Cr)'!$C:$FB,68)</f>
        <v>233</v>
      </c>
      <c r="P123" s="5">
        <f t="shared" si="43"/>
        <v>-9.3896713615023462</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Capital_Goods</v>
      </c>
      <c r="B124" s="79" t="str">
        <f>'Data shares'!C119</f>
        <v>LT</v>
      </c>
      <c r="C124" s="4">
        <f>VLOOKUP($B124,'Data shares'!$C:$FB,7)</f>
        <v>4140.3999999999996</v>
      </c>
      <c r="D124" s="82">
        <f>VLOOKUP($B124,'Data shares'!$C:$FB,98)</f>
        <v>18369925</v>
      </c>
      <c r="E124" s="165">
        <f>VLOOKUP(B124,'Snapshot (Volume)'!$A$7:$G$168,7,0)</f>
        <v>17457300</v>
      </c>
      <c r="F124" s="165">
        <f t="shared" si="40"/>
        <v>912625</v>
      </c>
      <c r="G124" s="166">
        <f t="shared" si="41"/>
        <v>5.2277557239664783E-2</v>
      </c>
      <c r="H124" s="165">
        <f>VLOOKUP($B124,'Data shares'!$C:$FB,66)</f>
        <v>9482200</v>
      </c>
      <c r="I124" s="165">
        <f>VLOOKUP($B124,'Data shares'!$C:$FB,67)</f>
        <v>6853525</v>
      </c>
      <c r="J124" s="81">
        <f t="shared" si="42"/>
        <v>38.355080050047242</v>
      </c>
      <c r="K124" s="5">
        <f>VLOOKUP($B124,'Data Vlaue (Cr)'!$C:$FB,99)</f>
        <v>7636</v>
      </c>
      <c r="L124" s="81">
        <f>VLOOKUP(B124,'OI(Value)'!$A$7:$C$209,3,0)</f>
        <v>379</v>
      </c>
      <c r="M124" s="33">
        <f t="shared" si="44"/>
        <v>4.9633315872184394</v>
      </c>
      <c r="N124" s="5">
        <f>VLOOKUP($B124,'Data Vlaue (Cr)'!$C:$FB,67)</f>
        <v>3942</v>
      </c>
      <c r="O124" s="5">
        <f>VLOOKUP($B124,'Data Vlaue (Cr)'!$C:$FB,68)</f>
        <v>2849</v>
      </c>
      <c r="P124" s="5">
        <f t="shared" si="43"/>
        <v>27.727042110603755</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Finance</v>
      </c>
      <c r="B125" s="79" t="str">
        <f>'Data shares'!C120</f>
        <v>LTF</v>
      </c>
      <c r="C125" s="4">
        <f>VLOOKUP($B125,'Data shares'!$C:$FB,7)</f>
        <v>317.25</v>
      </c>
      <c r="D125" s="82">
        <f>VLOOKUP($B125,'Data shares'!$C:$FB,98)</f>
        <v>73759500</v>
      </c>
      <c r="E125" s="165">
        <f>VLOOKUP(B125,'Snapshot (Volume)'!$A$7:$G$168,7,0)</f>
        <v>72870750</v>
      </c>
      <c r="F125" s="165">
        <f t="shared" si="40"/>
        <v>888750</v>
      </c>
      <c r="G125" s="166">
        <f t="shared" si="41"/>
        <v>1.2196251582425047E-2</v>
      </c>
      <c r="H125" s="165">
        <f>VLOOKUP($B125,'Data shares'!$C:$FB,66)</f>
        <v>59946750</v>
      </c>
      <c r="I125" s="165">
        <f>VLOOKUP($B125,'Data shares'!$C:$FB,67)</f>
        <v>106191000</v>
      </c>
      <c r="J125" s="81">
        <f t="shared" si="42"/>
        <v>-43.548182049326215</v>
      </c>
      <c r="K125" s="5">
        <f>VLOOKUP($B125,'Data Vlaue (Cr)'!$C:$FB,99)</f>
        <v>2351</v>
      </c>
      <c r="L125" s="81">
        <f>VLOOKUP(B125,'OI(Value)'!$A$7:$C$209,3,0)</f>
        <v>28</v>
      </c>
      <c r="M125" s="33">
        <f t="shared" si="44"/>
        <v>1.1909825606125053</v>
      </c>
      <c r="N125" s="5">
        <f>VLOOKUP($B125,'Data Vlaue (Cr)'!$C:$FB,67)</f>
        <v>1911</v>
      </c>
      <c r="O125" s="5">
        <f>VLOOKUP($B125,'Data Vlaue (Cr)'!$C:$FB,68)</f>
        <v>3385</v>
      </c>
      <c r="P125" s="5">
        <f t="shared" si="43"/>
        <v>-77.132391418105712</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Technology</v>
      </c>
      <c r="B126" s="79" t="str">
        <f>'Data shares'!C121</f>
        <v>LTIM</v>
      </c>
      <c r="C126" s="4">
        <f>VLOOKUP($B126,'Data shares'!$C:$FB,7)</f>
        <v>6112</v>
      </c>
      <c r="D126" s="82">
        <f>VLOOKUP($B126,'Data shares'!$C:$FB,98)</f>
        <v>2967600</v>
      </c>
      <c r="E126" s="165">
        <f>VLOOKUP(B126,'Snapshot (Volume)'!$A$7:$G$168,7,0)</f>
        <v>2842050</v>
      </c>
      <c r="F126" s="165">
        <f t="shared" si="40"/>
        <v>125550</v>
      </c>
      <c r="G126" s="166">
        <f t="shared" si="41"/>
        <v>4.4175858975035627E-2</v>
      </c>
      <c r="H126" s="165">
        <f>VLOOKUP($B126,'Data shares'!$C:$FB,66)</f>
        <v>963450</v>
      </c>
      <c r="I126" s="165">
        <f>VLOOKUP($B126,'Data shares'!$C:$FB,67)</f>
        <v>1065450</v>
      </c>
      <c r="J126" s="81">
        <f t="shared" si="42"/>
        <v>-9.573419681824582</v>
      </c>
      <c r="K126" s="5">
        <f>VLOOKUP($B126,'Data Vlaue (Cr)'!$C:$FB,99)</f>
        <v>1819</v>
      </c>
      <c r="L126" s="81">
        <f>VLOOKUP(B126,'OI(Value)'!$A$7:$C$209,3,0)</f>
        <v>77</v>
      </c>
      <c r="M126" s="33">
        <f t="shared" si="44"/>
        <v>4.2330951072017591</v>
      </c>
      <c r="N126" s="5">
        <f>VLOOKUP($B126,'Data Vlaue (Cr)'!$C:$FB,67)</f>
        <v>590</v>
      </c>
      <c r="O126" s="5">
        <f>VLOOKUP($B126,'Data Vlaue (Cr)'!$C:$FB,68)</f>
        <v>653</v>
      </c>
      <c r="P126" s="5">
        <f t="shared" si="43"/>
        <v>-10.677966101694915</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Pharma</v>
      </c>
      <c r="B127" s="79" t="str">
        <f>'Data shares'!C122</f>
        <v>LUPIN</v>
      </c>
      <c r="C127" s="4">
        <f>VLOOKUP($B127,'Data shares'!$C:$FB,7)</f>
        <v>2102.8000000000002</v>
      </c>
      <c r="D127" s="82">
        <f>VLOOKUP($B127,'Data shares'!$C:$FB,98)</f>
        <v>9023175</v>
      </c>
      <c r="E127" s="165">
        <f>VLOOKUP(B127,'Snapshot (Volume)'!$A$7:$G$168,7,0)</f>
        <v>8897800</v>
      </c>
      <c r="F127" s="165">
        <f>D127-E127</f>
        <v>125375</v>
      </c>
      <c r="G127" s="166">
        <f>F127/E127</f>
        <v>1.4090561711883836E-2</v>
      </c>
      <c r="H127" s="165">
        <f>VLOOKUP($B127,'Data shares'!$C:$FB,66)</f>
        <v>2218075</v>
      </c>
      <c r="I127" s="165">
        <f>VLOOKUP($B127,'Data shares'!$C:$FB,67)</f>
        <v>3348575</v>
      </c>
      <c r="J127" s="81">
        <f>(H127-I127)/I127*100</f>
        <v>-33.760629521512882</v>
      </c>
      <c r="K127" s="5">
        <f>VLOOKUP($B127,'Data Vlaue (Cr)'!$C:$FB,99)</f>
        <v>1906</v>
      </c>
      <c r="L127" s="81">
        <f>VLOOKUP(B127,'OI(Value)'!$A$7:$C$209,3,0)</f>
        <v>26</v>
      </c>
      <c r="M127" s="33">
        <f t="shared" si="44"/>
        <v>1.3641133263378804</v>
      </c>
      <c r="N127" s="5">
        <f>VLOOKUP($B127,'Data Vlaue (Cr)'!$C:$FB,67)</f>
        <v>468</v>
      </c>
      <c r="O127" s="5">
        <f>VLOOKUP($B127,'Data Vlaue (Cr)'!$C:$FB,68)</f>
        <v>707</v>
      </c>
      <c r="P127" s="5">
        <f>(N127-O127)/N127*100</f>
        <v>-51.068376068376068</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Automobile</v>
      </c>
      <c r="B128" s="79" t="str">
        <f>'Data shares'!C123</f>
        <v>M&amp;M</v>
      </c>
      <c r="C128" s="4">
        <f>VLOOKUP($B128,'Data shares'!$C:$FB,7)</f>
        <v>3761</v>
      </c>
      <c r="D128" s="82">
        <f>VLOOKUP($B128,'Data shares'!$C:$FB,98)</f>
        <v>22560000</v>
      </c>
      <c r="E128" s="165">
        <f>VLOOKUP(B128,'Snapshot (Volume)'!$A$7:$G$168,7,0)</f>
        <v>21907000</v>
      </c>
      <c r="F128" s="165">
        <f>D128-E128</f>
        <v>653000</v>
      </c>
      <c r="G128" s="166">
        <f>F128/E128</f>
        <v>2.9807823983201715E-2</v>
      </c>
      <c r="H128" s="165">
        <f>VLOOKUP($B128,'Data shares'!$C:$FB,66)</f>
        <v>17976200</v>
      </c>
      <c r="I128" s="165">
        <f>VLOOKUP($B128,'Data shares'!$C:$FB,67)</f>
        <v>12135200</v>
      </c>
      <c r="J128" s="81">
        <f>(H128-I128)/I128*100</f>
        <v>48.132704858593186</v>
      </c>
      <c r="K128" s="5">
        <f>VLOOKUP($B128,'Data Vlaue (Cr)'!$C:$FB,99)</f>
        <v>8536</v>
      </c>
      <c r="L128" s="81">
        <f>VLOOKUP(B128,'OI(Value)'!$A$7:$C$209,3,0)</f>
        <v>247</v>
      </c>
      <c r="M128" s="33">
        <f t="shared" si="44"/>
        <v>2.8936269915651356</v>
      </c>
      <c r="N128" s="5">
        <f>VLOOKUP($B128,'Data Vlaue (Cr)'!$C:$FB,67)</f>
        <v>6801</v>
      </c>
      <c r="O128" s="5">
        <f>VLOOKUP($B128,'Data Vlaue (Cr)'!$C:$FB,68)</f>
        <v>4591</v>
      </c>
      <c r="P128" s="5">
        <f>(N128-O128)/N128*100</f>
        <v>32.49522129098662</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Finance</v>
      </c>
      <c r="B129" s="79" t="str">
        <f>'Data shares'!C124</f>
        <v>MANAPPURAM</v>
      </c>
      <c r="C129" s="4">
        <f>VLOOKUP($B129,'Data shares'!$C:$FB,7)</f>
        <v>314.10000000000002</v>
      </c>
      <c r="D129" s="82">
        <f>VLOOKUP($B129,'Data shares'!$C:$FB,98)</f>
        <v>56916000</v>
      </c>
      <c r="E129" s="165">
        <f>VLOOKUP(B129,'Snapshot (Volume)'!$A$7:$G$168,7,0)</f>
        <v>56412000</v>
      </c>
      <c r="F129" s="165">
        <f>D129-E129</f>
        <v>504000</v>
      </c>
      <c r="G129" s="166">
        <f>F129/E129</f>
        <v>8.9342693044033184E-3</v>
      </c>
      <c r="H129" s="165">
        <f>VLOOKUP($B129,'Data shares'!$C:$FB,66)</f>
        <v>24471000</v>
      </c>
      <c r="I129" s="165">
        <f>VLOOKUP($B129,'Data shares'!$C:$FB,67)</f>
        <v>25704000</v>
      </c>
      <c r="J129" s="81">
        <f>(H129-I129)/I129*100</f>
        <v>-4.7969187675070035</v>
      </c>
      <c r="K129" s="5">
        <f>VLOOKUP($B129,'Data Vlaue (Cr)'!$C:$FB,99)</f>
        <v>1797</v>
      </c>
      <c r="L129" s="81">
        <f>VLOOKUP(B129,'OI(Value)'!$A$7:$C$209,3,0)</f>
        <v>16</v>
      </c>
      <c r="M129" s="33">
        <f t="shared" si="44"/>
        <v>0.89037284362826941</v>
      </c>
      <c r="N129" s="5">
        <f>VLOOKUP($B129,'Data Vlaue (Cr)'!$C:$FB,67)</f>
        <v>772</v>
      </c>
      <c r="O129" s="5">
        <f>VLOOKUP($B129,'Data Vlaue (Cr)'!$C:$FB,68)</f>
        <v>811</v>
      </c>
      <c r="P129" s="5">
        <f>(N129-O129)/N129*100</f>
        <v>-5.0518134715025909</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Pharma</v>
      </c>
      <c r="B130" s="79" t="str">
        <f>'Data shares'!C125</f>
        <v>MANKIND</v>
      </c>
      <c r="C130" s="4">
        <f>VLOOKUP($B130,'Data shares'!$C:$FB,7)</f>
        <v>2164.6</v>
      </c>
      <c r="D130" s="82">
        <f>VLOOKUP($B130,'Data shares'!$C:$FB,98)</f>
        <v>2782350</v>
      </c>
      <c r="E130" s="165">
        <f>VLOOKUP(B130,'Snapshot (Volume)'!$A$7:$G$168,7,0)</f>
        <v>2690325</v>
      </c>
      <c r="F130" s="165">
        <f>D130-E130</f>
        <v>92025</v>
      </c>
      <c r="G130" s="166">
        <f>F130/E130</f>
        <v>3.4205904491093085E-2</v>
      </c>
      <c r="H130" s="165">
        <f>VLOOKUP($B130,'Data shares'!$C:$FB,66)</f>
        <v>608850</v>
      </c>
      <c r="I130" s="165">
        <f>VLOOKUP($B130,'Data shares'!$C:$FB,67)</f>
        <v>1178775</v>
      </c>
      <c r="J130" s="81">
        <f>(H130-I130)/I130*100</f>
        <v>-48.348921549914103</v>
      </c>
      <c r="K130" s="5">
        <f>VLOOKUP($B130,'Data Vlaue (Cr)'!$C:$FB,99)</f>
        <v>605</v>
      </c>
      <c r="L130" s="81">
        <f>VLOOKUP(B130,'OI(Value)'!$A$7:$C$209,3,0)</f>
        <v>20</v>
      </c>
      <c r="M130" s="33">
        <f t="shared" si="44"/>
        <v>3.3057851239669422</v>
      </c>
      <c r="N130" s="5">
        <f>VLOOKUP($B130,'Data Vlaue (Cr)'!$C:$FB,67)</f>
        <v>132</v>
      </c>
      <c r="O130" s="5">
        <f>VLOOKUP($B130,'Data Vlaue (Cr)'!$C:$FB,68)</f>
        <v>256</v>
      </c>
      <c r="P130" s="5">
        <f>(N130-O130)/N130*100</f>
        <v>-93.939393939393938</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FMCG</v>
      </c>
      <c r="B131" s="79" t="str">
        <f>'Data shares'!C126</f>
        <v>MARICO</v>
      </c>
      <c r="C131" s="4">
        <f>VLOOKUP($B131,'Data shares'!$C:$FB,7)</f>
        <v>760.45</v>
      </c>
      <c r="D131" s="82">
        <f>VLOOKUP($B131,'Data shares'!$C:$FB,98)</f>
        <v>38388000</v>
      </c>
      <c r="E131" s="165">
        <f>VLOOKUP(B131,'Snapshot (Volume)'!$A$7:$G$168,7,0)</f>
        <v>36816000</v>
      </c>
      <c r="F131" s="165">
        <f>D131-E131</f>
        <v>1572000</v>
      </c>
      <c r="G131" s="166">
        <f>F131/E131</f>
        <v>4.269882659713168E-2</v>
      </c>
      <c r="H131" s="165">
        <f>VLOOKUP($B131,'Data shares'!$C:$FB,66)</f>
        <v>8806800</v>
      </c>
      <c r="I131" s="165">
        <f>VLOOKUP($B131,'Data shares'!$C:$FB,67)</f>
        <v>6682800</v>
      </c>
      <c r="J131" s="81">
        <f>(H131-I131)/I131*100</f>
        <v>31.783084934458611</v>
      </c>
      <c r="K131" s="5">
        <f>VLOOKUP($B131,'Data Vlaue (Cr)'!$C:$FB,99)</f>
        <v>2934</v>
      </c>
      <c r="L131" s="81">
        <f>VLOOKUP(B131,'OI(Value)'!$A$7:$C$209,3,0)</f>
        <v>120</v>
      </c>
      <c r="M131" s="33">
        <f t="shared" si="44"/>
        <v>4.0899795501022496</v>
      </c>
      <c r="N131" s="5">
        <f>VLOOKUP($B131,'Data Vlaue (Cr)'!$C:$FB,67)</f>
        <v>673</v>
      </c>
      <c r="O131" s="5">
        <f>VLOOKUP($B131,'Data Vlaue (Cr)'!$C:$FB,68)</f>
        <v>511</v>
      </c>
      <c r="P131" s="5">
        <f>(N131-O131)/N131*100</f>
        <v>24.071322436849925</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Automobile</v>
      </c>
      <c r="B132" s="79" t="str">
        <f>'Data shares'!C127</f>
        <v>MARUTI</v>
      </c>
      <c r="C132" s="79">
        <f>VLOOKUP($B132,'Data shares'!$C:$FB,7)</f>
        <v>16708</v>
      </c>
      <c r="D132" s="165">
        <f>VLOOKUP($B132,'Data shares'!$C:$FB,98)</f>
        <v>4423050</v>
      </c>
      <c r="E132" s="165">
        <f>VLOOKUP(B132,'Snapshot (Volume)'!$A$7:$G$168,7,0)</f>
        <v>4211900</v>
      </c>
      <c r="F132" s="165">
        <f t="shared" ref="F132:F139" si="45">D132-E132</f>
        <v>211150</v>
      </c>
      <c r="G132" s="166">
        <f t="shared" ref="G132:G139" si="46">F132/E132</f>
        <v>5.0131769510197301E-2</v>
      </c>
      <c r="H132" s="165">
        <f>VLOOKUP($B132,'Data shares'!$C:$FB,66)</f>
        <v>3349700</v>
      </c>
      <c r="I132" s="165">
        <f>VLOOKUP($B132,'Data shares'!$C:$FB,67)</f>
        <v>3277750</v>
      </c>
      <c r="J132" s="81">
        <f t="shared" ref="J132:J139" si="47">(H132-I132)/I132*100</f>
        <v>2.1951033483334603</v>
      </c>
      <c r="K132" s="81">
        <f>VLOOKUP($B132,'Data Vlaue (Cr)'!$C:$FB,99)</f>
        <v>7427</v>
      </c>
      <c r="L132" s="81">
        <f>VLOOKUP(B132,'OI(Value)'!$A$7:$C$209,3,0)</f>
        <v>355</v>
      </c>
      <c r="M132" s="81">
        <f t="shared" si="44"/>
        <v>4.7798572775010095</v>
      </c>
      <c r="N132" s="81">
        <f>VLOOKUP($B132,'Data Vlaue (Cr)'!$C:$FB,67)</f>
        <v>5625</v>
      </c>
      <c r="O132" s="81">
        <f>VLOOKUP($B132,'Data Vlaue (Cr)'!$C:$FB,68)</f>
        <v>5504</v>
      </c>
      <c r="P132" s="81">
        <f t="shared" ref="P132:P139" si="48">(N132-O132)/N132*100</f>
        <v>2.1511111111111112</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Pharma</v>
      </c>
      <c r="B133" s="79" t="str">
        <f>'Data shares'!C128</f>
        <v>MAXHEALTH</v>
      </c>
      <c r="C133" s="79">
        <f>VLOOKUP($B133,'Data shares'!$C:$FB,7)</f>
        <v>1049.4000000000001</v>
      </c>
      <c r="D133" s="165">
        <f>VLOOKUP($B133,'Data shares'!$C:$FB,98)</f>
        <v>26020050</v>
      </c>
      <c r="E133" s="165">
        <f>VLOOKUP(B133,'Snapshot (Volume)'!$A$7:$G$168,7,0)</f>
        <v>25832625</v>
      </c>
      <c r="F133" s="165">
        <f t="shared" si="45"/>
        <v>187425</v>
      </c>
      <c r="G133" s="166">
        <f t="shared" si="46"/>
        <v>7.2553602276191446E-3</v>
      </c>
      <c r="H133" s="165">
        <f>VLOOKUP($B133,'Data shares'!$C:$FB,66)</f>
        <v>4007325</v>
      </c>
      <c r="I133" s="165">
        <f>VLOOKUP($B133,'Data shares'!$C:$FB,67)</f>
        <v>5714625</v>
      </c>
      <c r="J133" s="81">
        <f t="shared" si="47"/>
        <v>-29.875976113918234</v>
      </c>
      <c r="K133" s="81">
        <f>VLOOKUP($B133,'Data Vlaue (Cr)'!$C:$FB,99)</f>
        <v>2742</v>
      </c>
      <c r="L133" s="81">
        <f>VLOOKUP(B133,'OI(Value)'!$A$7:$C$209,3,0)</f>
        <v>20</v>
      </c>
      <c r="M133" s="81">
        <f t="shared" si="44"/>
        <v>0.7293946024799417</v>
      </c>
      <c r="N133" s="81">
        <f>VLOOKUP($B133,'Data Vlaue (Cr)'!$C:$FB,67)</f>
        <v>422</v>
      </c>
      <c r="O133" s="81">
        <f>VLOOKUP($B133,'Data Vlaue (Cr)'!$C:$FB,68)</f>
        <v>602</v>
      </c>
      <c r="P133" s="81">
        <f t="shared" si="48"/>
        <v>-42.654028436018962</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Infrastructure</v>
      </c>
      <c r="B134" s="79" t="str">
        <f>'Data shares'!C129</f>
        <v>MAZDOCK</v>
      </c>
      <c r="C134" s="4">
        <f>VLOOKUP($B134,'Data shares'!$C:$FB,7)</f>
        <v>2476.6999999999998</v>
      </c>
      <c r="D134" s="82">
        <f>VLOOKUP($B134,'Data shares'!$C:$FB,98)</f>
        <v>10749400</v>
      </c>
      <c r="E134" s="165">
        <f>VLOOKUP(B134,'Snapshot (Volume)'!$A$7:$G$168,7,0)</f>
        <v>10510000</v>
      </c>
      <c r="F134" s="165">
        <f t="shared" si="45"/>
        <v>239400</v>
      </c>
      <c r="G134" s="166">
        <f t="shared" si="46"/>
        <v>2.2778306374881065E-2</v>
      </c>
      <c r="H134" s="165">
        <f>VLOOKUP($B134,'Data shares'!$C:$FB,66)</f>
        <v>4030600</v>
      </c>
      <c r="I134" s="165">
        <f>VLOOKUP($B134,'Data shares'!$C:$FB,67)</f>
        <v>6696000</v>
      </c>
      <c r="J134" s="81">
        <f t="shared" si="47"/>
        <v>-39.80585424133811</v>
      </c>
      <c r="K134" s="5">
        <f>VLOOKUP($B134,'Data Vlaue (Cr)'!$C:$FB,99)</f>
        <v>2680</v>
      </c>
      <c r="L134" s="81">
        <f>VLOOKUP(B134,'OI(Value)'!$A$7:$C$209,3,0)</f>
        <v>60</v>
      </c>
      <c r="M134" s="33">
        <f t="shared" si="44"/>
        <v>2.2388059701492535</v>
      </c>
      <c r="N134" s="5">
        <f>VLOOKUP($B134,'Data Vlaue (Cr)'!$C:$FB,67)</f>
        <v>1005</v>
      </c>
      <c r="O134" s="5">
        <f>VLOOKUP($B134,'Data Vlaue (Cr)'!$C:$FB,68)</f>
        <v>1670</v>
      </c>
      <c r="P134" s="5">
        <f t="shared" si="48"/>
        <v>-66.169154228855717</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Finance</v>
      </c>
      <c r="B135" s="79" t="str">
        <f>'Data shares'!C130</f>
        <v>MCX</v>
      </c>
      <c r="C135" s="4">
        <f>VLOOKUP($B135,'Data shares'!$C:$FB,7)</f>
        <v>10989</v>
      </c>
      <c r="D135" s="82">
        <f>VLOOKUP($B135,'Data shares'!$C:$FB,98)</f>
        <v>6013250</v>
      </c>
      <c r="E135" s="165">
        <f>VLOOKUP(B135,'Snapshot (Volume)'!$A$7:$G$168,7,0)</f>
        <v>5699500</v>
      </c>
      <c r="F135" s="165">
        <f t="shared" si="45"/>
        <v>313750</v>
      </c>
      <c r="G135" s="166">
        <f t="shared" si="46"/>
        <v>5.5048688481445743E-2</v>
      </c>
      <c r="H135" s="165">
        <f>VLOOKUP($B135,'Data shares'!$C:$FB,66)</f>
        <v>4679875</v>
      </c>
      <c r="I135" s="165">
        <f>VLOOKUP($B135,'Data shares'!$C:$FB,67)</f>
        <v>9168000</v>
      </c>
      <c r="J135" s="81">
        <f t="shared" si="47"/>
        <v>-48.954243019197207</v>
      </c>
      <c r="K135" s="5">
        <f>VLOOKUP($B135,'Data Vlaue (Cr)'!$C:$FB,99)</f>
        <v>6652</v>
      </c>
      <c r="L135" s="81">
        <f>VLOOKUP(B135,'OI(Value)'!$A$7:$C$209,3,0)</f>
        <v>347</v>
      </c>
      <c r="M135" s="33">
        <f t="shared" si="44"/>
        <v>5.2164762477450388</v>
      </c>
      <c r="N135" s="5">
        <f>VLOOKUP($B135,'Data Vlaue (Cr)'!$C:$FB,67)</f>
        <v>5177</v>
      </c>
      <c r="O135" s="5">
        <f>VLOOKUP($B135,'Data Vlaue (Cr)'!$C:$FB,68)</f>
        <v>10143</v>
      </c>
      <c r="P135" s="5">
        <f t="shared" si="48"/>
        <v>-95.924280471315441</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Finance</v>
      </c>
      <c r="B136" s="79" t="str">
        <f>'Data shares'!C131</f>
        <v>MFSL</v>
      </c>
      <c r="C136" s="4">
        <f>VLOOKUP($B136,'Data shares'!$C:$FB,7)</f>
        <v>1674</v>
      </c>
      <c r="D136" s="82">
        <f>VLOOKUP($B136,'Data shares'!$C:$FB,98)</f>
        <v>9314400</v>
      </c>
      <c r="E136" s="165">
        <f>VLOOKUP(B136,'Snapshot (Volume)'!$A$7:$G$168,7,0)</f>
        <v>9246400</v>
      </c>
      <c r="F136" s="165">
        <f t="shared" si="45"/>
        <v>68000</v>
      </c>
      <c r="G136" s="166">
        <f t="shared" si="46"/>
        <v>7.3542135317528987E-3</v>
      </c>
      <c r="H136" s="165">
        <f>VLOOKUP($B136,'Data shares'!$C:$FB,66)</f>
        <v>1098800</v>
      </c>
      <c r="I136" s="165">
        <f>VLOOKUP($B136,'Data shares'!$C:$FB,67)</f>
        <v>2469600</v>
      </c>
      <c r="J136" s="81">
        <f t="shared" si="47"/>
        <v>-55.506964690638164</v>
      </c>
      <c r="K136" s="5">
        <f>VLOOKUP($B136,'Data Vlaue (Cr)'!$C:$FB,99)</f>
        <v>1567</v>
      </c>
      <c r="L136" s="81">
        <f>VLOOKUP(B136,'OI(Value)'!$A$7:$C$209,3,0)</f>
        <v>11</v>
      </c>
      <c r="M136" s="33">
        <f t="shared" si="44"/>
        <v>0.70197830248883208</v>
      </c>
      <c r="N136" s="5">
        <f>VLOOKUP($B136,'Data Vlaue (Cr)'!$C:$FB,67)</f>
        <v>185</v>
      </c>
      <c r="O136" s="5">
        <f>VLOOKUP($B136,'Data Vlaue (Cr)'!$C:$FB,68)</f>
        <v>415</v>
      </c>
      <c r="P136" s="5">
        <f t="shared" si="48"/>
        <v>-124.32432432432432</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Index</v>
      </c>
      <c r="B137" s="79" t="str">
        <f>'Data shares'!C132</f>
        <v>MIDCPNIFTY</v>
      </c>
      <c r="C137" s="4">
        <f>VLOOKUP($B137,'Data shares'!$C:$FB,7)</f>
        <v>13843.6</v>
      </c>
      <c r="D137" s="82">
        <f>VLOOKUP($B137,'Data shares'!$C:$FB,98)</f>
        <v>10827600</v>
      </c>
      <c r="E137" s="165">
        <f>VLOOKUP(B137,'Snapshot (Volume)'!$A$7:$G$168,7,0)</f>
        <v>9580800</v>
      </c>
      <c r="F137" s="165">
        <f t="shared" si="45"/>
        <v>1246800</v>
      </c>
      <c r="G137" s="166">
        <f t="shared" si="46"/>
        <v>0.13013527054108218</v>
      </c>
      <c r="H137" s="165">
        <f>VLOOKUP($B137,'Data shares'!$C:$FB,66)</f>
        <v>20254560</v>
      </c>
      <c r="I137" s="165">
        <f>VLOOKUP($B137,'Data shares'!$C:$FB,67)</f>
        <v>27885720</v>
      </c>
      <c r="J137" s="81">
        <f t="shared" si="47"/>
        <v>-27.365834556181447</v>
      </c>
      <c r="K137" s="5">
        <f>VLOOKUP($B137,'Data Vlaue (Cr)'!$C:$FB,99)</f>
        <v>15049</v>
      </c>
      <c r="L137" s="81">
        <f>VLOOKUP(B137,'OI(Value)'!$A$7:$C$209,3,0)</f>
        <v>1733</v>
      </c>
      <c r="M137" s="33">
        <f t="shared" si="44"/>
        <v>11.515715329922253</v>
      </c>
      <c r="N137" s="5">
        <f>VLOOKUP($B137,'Data Vlaue (Cr)'!$C:$FB,67)</f>
        <v>28152</v>
      </c>
      <c r="O137" s="5">
        <f>VLOOKUP($B137,'Data Vlaue (Cr)'!$C:$FB,68)</f>
        <v>38759</v>
      </c>
      <c r="P137" s="5">
        <f t="shared" si="48"/>
        <v>-37.677607274793978</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Automobile</v>
      </c>
      <c r="B138" s="79" t="str">
        <f>'Data shares'!C133</f>
        <v>MOTHERSON</v>
      </c>
      <c r="C138" s="4">
        <f>VLOOKUP($B138,'Data shares'!$C:$FB,7)</f>
        <v>122.52</v>
      </c>
      <c r="D138" s="82">
        <f>VLOOKUP($B138,'Data shares'!$C:$FB,98)</f>
        <v>214044600</v>
      </c>
      <c r="E138" s="165">
        <f>VLOOKUP(B138,'Snapshot (Volume)'!$A$7:$G$168,7,0)</f>
        <v>203214450</v>
      </c>
      <c r="F138" s="165">
        <f t="shared" si="45"/>
        <v>10830150</v>
      </c>
      <c r="G138" s="166">
        <f t="shared" si="46"/>
        <v>5.3294192415942861E-2</v>
      </c>
      <c r="H138" s="165">
        <f>VLOOKUP($B138,'Data shares'!$C:$FB,66)</f>
        <v>107588100</v>
      </c>
      <c r="I138" s="165">
        <f>VLOOKUP($B138,'Data shares'!$C:$FB,67)</f>
        <v>55214700</v>
      </c>
      <c r="J138" s="81">
        <f t="shared" si="47"/>
        <v>94.854087770104698</v>
      </c>
      <c r="K138" s="5">
        <f>VLOOKUP($B138,'Data Vlaue (Cr)'!$C:$FB,99)</f>
        <v>2640</v>
      </c>
      <c r="L138" s="81">
        <f>VLOOKUP(B138,'OI(Value)'!$A$7:$C$209,3,0)</f>
        <v>134</v>
      </c>
      <c r="M138" s="33">
        <f t="shared" si="44"/>
        <v>5.0757575757575761</v>
      </c>
      <c r="N138" s="5">
        <f>VLOOKUP($B138,'Data Vlaue (Cr)'!$C:$FB,67)</f>
        <v>1327</v>
      </c>
      <c r="O138" s="5">
        <f>VLOOKUP($B138,'Data Vlaue (Cr)'!$C:$FB,68)</f>
        <v>681</v>
      </c>
      <c r="P138" s="5">
        <f t="shared" si="48"/>
        <v>48.681235870384327</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Technology</v>
      </c>
      <c r="B139" s="79" t="str">
        <f>'Data shares'!C134</f>
        <v>MPHASIS</v>
      </c>
      <c r="C139" s="4">
        <f>VLOOKUP($B139,'Data shares'!$C:$FB,7)</f>
        <v>2828.6</v>
      </c>
      <c r="D139" s="82">
        <f>VLOOKUP($B139,'Data shares'!$C:$FB,98)</f>
        <v>6565075</v>
      </c>
      <c r="E139" s="165">
        <f>VLOOKUP(B139,'Snapshot (Volume)'!$A$7:$G$168,7,0)</f>
        <v>6569200</v>
      </c>
      <c r="F139" s="165">
        <f t="shared" si="45"/>
        <v>-4125</v>
      </c>
      <c r="G139" s="166">
        <f t="shared" si="46"/>
        <v>-6.2793034159410583E-4</v>
      </c>
      <c r="H139" s="165">
        <f>VLOOKUP($B139,'Data shares'!$C:$FB,66)</f>
        <v>994675</v>
      </c>
      <c r="I139" s="165">
        <f>VLOOKUP($B139,'Data shares'!$C:$FB,67)</f>
        <v>1222375</v>
      </c>
      <c r="J139" s="81">
        <f t="shared" si="47"/>
        <v>-18.627671541057367</v>
      </c>
      <c r="K139" s="5">
        <f>VLOOKUP($B139,'Data Vlaue (Cr)'!$C:$FB,99)</f>
        <v>1864</v>
      </c>
      <c r="L139" s="81">
        <f>VLOOKUP(B139,'OI(Value)'!$A$7:$C$209,3,0)</f>
        <v>-1</v>
      </c>
      <c r="M139" s="33">
        <f t="shared" si="44"/>
        <v>-5.3648068669527899E-2</v>
      </c>
      <c r="N139" s="5">
        <f>VLOOKUP($B139,'Data Vlaue (Cr)'!$C:$FB,67)</f>
        <v>282</v>
      </c>
      <c r="O139" s="5">
        <f>VLOOKUP($B139,'Data Vlaue (Cr)'!$C:$FB,68)</f>
        <v>347</v>
      </c>
      <c r="P139" s="5">
        <f t="shared" si="48"/>
        <v>-23.049645390070921</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Finance</v>
      </c>
      <c r="B140" s="79" t="str">
        <f>'Data shares'!C135</f>
        <v>MUTHOOTFIN</v>
      </c>
      <c r="C140" s="79">
        <f>VLOOKUP($B140,'Data shares'!$C:$FB,7)</f>
        <v>3839</v>
      </c>
      <c r="D140" s="165">
        <f>VLOOKUP($B140,'Data shares'!$C:$FB,98)</f>
        <v>6345625</v>
      </c>
      <c r="E140" s="165">
        <f>VLOOKUP(B140,'Snapshot (Volume)'!$A$7:$G$168,7,0)</f>
        <v>6311800</v>
      </c>
      <c r="F140" s="165">
        <f>D140-E140</f>
        <v>33825</v>
      </c>
      <c r="G140" s="166">
        <f>F140/E140</f>
        <v>5.3590101080515859E-3</v>
      </c>
      <c r="H140" s="165">
        <f>VLOOKUP($B140,'Data shares'!$C:$FB,66)</f>
        <v>3391300</v>
      </c>
      <c r="I140" s="165">
        <f>VLOOKUP($B140,'Data shares'!$C:$FB,67)</f>
        <v>6747400</v>
      </c>
      <c r="J140" s="81">
        <f>(H140-I140)/I140*100</f>
        <v>-49.739158787088364</v>
      </c>
      <c r="K140" s="81">
        <f>VLOOKUP($B140,'Data Vlaue (Cr)'!$C:$FB,99)</f>
        <v>2448</v>
      </c>
      <c r="L140" s="81">
        <f>VLOOKUP(B140,'OI(Value)'!$A$7:$C$209,3,0)</f>
        <v>13</v>
      </c>
      <c r="M140" s="81">
        <f t="shared" si="44"/>
        <v>0.53104575163398693</v>
      </c>
      <c r="N140" s="81">
        <f>VLOOKUP($B140,'Data Vlaue (Cr)'!$C:$FB,67)</f>
        <v>1308</v>
      </c>
      <c r="O140" s="81">
        <f>VLOOKUP($B140,'Data Vlaue (Cr)'!$C:$FB,68)</f>
        <v>2603</v>
      </c>
      <c r="P140" s="81">
        <f>(N140-O140)/N140*100</f>
        <v>-99.006116207951067</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Metals</v>
      </c>
      <c r="B141" s="79" t="str">
        <f>'Data shares'!C136</f>
        <v>NATIONALUM</v>
      </c>
      <c r="C141" s="4">
        <f>VLOOKUP($B141,'Data shares'!$C:$FB,7)</f>
        <v>314.60000000000002</v>
      </c>
      <c r="D141" s="82">
        <f>VLOOKUP($B141,'Data shares'!$C:$FB,98)</f>
        <v>107621250</v>
      </c>
      <c r="E141" s="165">
        <f>VLOOKUP(B141,'Snapshot (Volume)'!$A$7:$G$168,7,0)</f>
        <v>109143750</v>
      </c>
      <c r="F141" s="165">
        <f>D141-E141</f>
        <v>-1522500</v>
      </c>
      <c r="G141" s="166">
        <f>F141/E141</f>
        <v>-1.3949493214224361E-2</v>
      </c>
      <c r="H141" s="165">
        <f>VLOOKUP($B141,'Data shares'!$C:$FB,66)</f>
        <v>45862500</v>
      </c>
      <c r="I141" s="165">
        <f>VLOOKUP($B141,'Data shares'!$C:$FB,67)</f>
        <v>139218750</v>
      </c>
      <c r="J141" s="81">
        <f>(H141-I141)/I141*100</f>
        <v>-67.057239057239059</v>
      </c>
      <c r="K141" s="5">
        <f>VLOOKUP($B141,'Data Vlaue (Cr)'!$C:$FB,99)</f>
        <v>3402</v>
      </c>
      <c r="L141" s="81">
        <f>VLOOKUP(B141,'OI(Value)'!$A$7:$C$209,3,0)</f>
        <v>-48</v>
      </c>
      <c r="M141" s="33">
        <f t="shared" si="44"/>
        <v>-1.4109347442680775</v>
      </c>
      <c r="N141" s="5">
        <f>VLOOKUP($B141,'Data Vlaue (Cr)'!$C:$FB,67)</f>
        <v>1450</v>
      </c>
      <c r="O141" s="5">
        <f>VLOOKUP($B141,'Data Vlaue (Cr)'!$C:$FB,68)</f>
        <v>4401</v>
      </c>
      <c r="P141" s="5">
        <f>(N141-O141)/N141*100</f>
        <v>-203.51724137931035</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New_Age</v>
      </c>
      <c r="B142" s="79" t="str">
        <f>'Data shares'!C137</f>
        <v>NAUKRI</v>
      </c>
      <c r="C142" s="4">
        <f>VLOOKUP($B142,'Data shares'!$C:$FB,7)</f>
        <v>1340.9</v>
      </c>
      <c r="D142" s="82">
        <f>VLOOKUP($B142,'Data shares'!$C:$FB,98)</f>
        <v>10585125</v>
      </c>
      <c r="E142" s="165">
        <f>VLOOKUP(B142,'Snapshot (Volume)'!$A$7:$G$168,7,0)</f>
        <v>10285875</v>
      </c>
      <c r="F142" s="165">
        <f>D142-E142</f>
        <v>299250</v>
      </c>
      <c r="G142" s="166">
        <f>F142/E142</f>
        <v>2.9093295417259104E-2</v>
      </c>
      <c r="H142" s="165">
        <f>VLOOKUP($B142,'Data shares'!$C:$FB,66)</f>
        <v>1690875</v>
      </c>
      <c r="I142" s="165">
        <f>VLOOKUP($B142,'Data shares'!$C:$FB,67)</f>
        <v>2679375</v>
      </c>
      <c r="J142" s="81">
        <f>(H142-I142)/I142*100</f>
        <v>-36.892932120363895</v>
      </c>
      <c r="K142" s="5">
        <f>VLOOKUP($B142,'Data Vlaue (Cr)'!$C:$FB,99)</f>
        <v>1426</v>
      </c>
      <c r="L142" s="81">
        <f>VLOOKUP(B142,'OI(Value)'!$A$7:$C$209,3,0)</f>
        <v>40</v>
      </c>
      <c r="M142" s="33">
        <f t="shared" si="44"/>
        <v>2.8050490883590462</v>
      </c>
      <c r="N142" s="5">
        <f>VLOOKUP($B142,'Data Vlaue (Cr)'!$C:$FB,67)</f>
        <v>228</v>
      </c>
      <c r="O142" s="5">
        <f>VLOOKUP($B142,'Data Vlaue (Cr)'!$C:$FB,68)</f>
        <v>361</v>
      </c>
      <c r="P142" s="5">
        <f>(N142-O142)/N142*100</f>
        <v>-58.333333333333336</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Realty</v>
      </c>
      <c r="B143" s="79" t="str">
        <f>'Data shares'!C138</f>
        <v>NBCC</v>
      </c>
      <c r="C143" s="4">
        <f>VLOOKUP($B143,'Data shares'!$C:$FB,7)</f>
        <v>122.1</v>
      </c>
      <c r="D143" s="82">
        <f>VLOOKUP($B143,'Data shares'!$C:$FB,98)</f>
        <v>156344500</v>
      </c>
      <c r="E143" s="165">
        <f>VLOOKUP(B143,'Snapshot (Volume)'!$A$7:$G$168,7,0)</f>
        <v>152808500</v>
      </c>
      <c r="F143" s="165">
        <f>D143-E143</f>
        <v>3536000</v>
      </c>
      <c r="G143" s="166">
        <f>F143/E143</f>
        <v>2.3140074014207326E-2</v>
      </c>
      <c r="H143" s="165">
        <f>VLOOKUP($B143,'Data shares'!$C:$FB,66)</f>
        <v>34924500</v>
      </c>
      <c r="I143" s="165">
        <f>VLOOKUP($B143,'Data shares'!$C:$FB,67)</f>
        <v>33904000</v>
      </c>
      <c r="J143" s="81">
        <f>(H143-I143)/I143*100</f>
        <v>3.0099693251533743</v>
      </c>
      <c r="K143" s="5">
        <f>VLOOKUP($B143,'Data Vlaue (Cr)'!$C:$FB,99)</f>
        <v>1920</v>
      </c>
      <c r="L143" s="81">
        <f>VLOOKUP(B143,'OI(Value)'!$A$7:$C$209,3,0)</f>
        <v>43</v>
      </c>
      <c r="M143" s="33">
        <f t="shared" si="44"/>
        <v>2.2395833333333335</v>
      </c>
      <c r="N143" s="5">
        <f>VLOOKUP($B143,'Data Vlaue (Cr)'!$C:$FB,67)</f>
        <v>429</v>
      </c>
      <c r="O143" s="5">
        <f>VLOOKUP($B143,'Data Vlaue (Cr)'!$C:$FB,68)</f>
        <v>416</v>
      </c>
      <c r="P143" s="5">
        <f>(N143-O143)/N143*100</f>
        <v>3.0303030303030303</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FMCG</v>
      </c>
      <c r="B144" s="79" t="str">
        <f>'Data shares'!C139</f>
        <v>NESTLEIND</v>
      </c>
      <c r="C144" s="4">
        <f>VLOOKUP($B144,'Data shares'!$C:$FB,7)</f>
        <v>1295</v>
      </c>
      <c r="D144" s="82">
        <f>VLOOKUP($B144,'Data shares'!$C:$FB,98)</f>
        <v>19266000</v>
      </c>
      <c r="E144" s="165">
        <f>VLOOKUP(B144,'Snapshot (Volume)'!$A$7:$G$168,7,0)</f>
        <v>19044000</v>
      </c>
      <c r="F144" s="165">
        <f>D144-E144</f>
        <v>222000</v>
      </c>
      <c r="G144" s="166">
        <f>F144/E144</f>
        <v>1.1657214870825458E-2</v>
      </c>
      <c r="H144" s="165">
        <f>VLOOKUP($B144,'Data shares'!$C:$FB,66)</f>
        <v>4685500</v>
      </c>
      <c r="I144" s="165">
        <f>VLOOKUP($B144,'Data shares'!$C:$FB,67)</f>
        <v>5988500</v>
      </c>
      <c r="J144" s="81">
        <f>(H144-I144)/I144*100</f>
        <v>-21.758370209568341</v>
      </c>
      <c r="K144" s="5">
        <f>VLOOKUP($B144,'Data Vlaue (Cr)'!$C:$FB,99)</f>
        <v>2506</v>
      </c>
      <c r="L144" s="81">
        <f>VLOOKUP(B144,'OI(Value)'!$A$7:$C$209,3,0)</f>
        <v>29</v>
      </c>
      <c r="M144" s="33">
        <f t="shared" si="44"/>
        <v>1.1572226656025539</v>
      </c>
      <c r="N144" s="5">
        <f>VLOOKUP($B144,'Data Vlaue (Cr)'!$C:$FB,67)</f>
        <v>609</v>
      </c>
      <c r="O144" s="5">
        <f>VLOOKUP($B144,'Data Vlaue (Cr)'!$C:$FB,68)</f>
        <v>779</v>
      </c>
      <c r="P144" s="5">
        <f>(N144-O144)/N144*100</f>
        <v>-27.914614121510674</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Power</v>
      </c>
      <c r="B145" s="79" t="str">
        <f>'Data shares'!C140</f>
        <v>NHPC</v>
      </c>
      <c r="C145" s="4">
        <f>VLOOKUP($B145,'Data shares'!$C:$FB,7)</f>
        <v>79.56</v>
      </c>
      <c r="D145" s="82">
        <f>VLOOKUP($B145,'Data shares'!$C:$FB,98)</f>
        <v>109888000</v>
      </c>
      <c r="E145" s="165">
        <f>VLOOKUP(B145,'Snapshot (Volume)'!$A$7:$G$168,7,0)</f>
        <v>107123200</v>
      </c>
      <c r="F145" s="165">
        <f t="shared" ref="F145:F152" si="49">D145-E145</f>
        <v>2764800</v>
      </c>
      <c r="G145" s="166">
        <f t="shared" ref="G145:G153" si="50">F145/E145</f>
        <v>2.5809535189389412E-2</v>
      </c>
      <c r="H145" s="165">
        <f>VLOOKUP($B145,'Data shares'!$C:$FB,66)</f>
        <v>35072000</v>
      </c>
      <c r="I145" s="165">
        <f>VLOOKUP($B145,'Data shares'!$C:$FB,67)</f>
        <v>60057600</v>
      </c>
      <c r="J145" s="81">
        <f t="shared" ref="J145:J153" si="51">(H145-I145)/I145*100</f>
        <v>-41.602728047740833</v>
      </c>
      <c r="K145" s="5">
        <f>VLOOKUP($B145,'Data Vlaue (Cr)'!$C:$FB,99)</f>
        <v>880</v>
      </c>
      <c r="L145" s="81">
        <f>VLOOKUP(B145,'OI(Value)'!$A$7:$C$209,3,0)</f>
        <v>22</v>
      </c>
      <c r="M145" s="33">
        <f t="shared" ref="M145:M153" si="52">L145/K145*100</f>
        <v>2.5</v>
      </c>
      <c r="N145" s="5">
        <f>VLOOKUP($B145,'Data Vlaue (Cr)'!$C:$FB,67)</f>
        <v>281</v>
      </c>
      <c r="O145" s="5">
        <f>VLOOKUP($B145,'Data Vlaue (Cr)'!$C:$FB,68)</f>
        <v>481</v>
      </c>
      <c r="P145" s="5">
        <f t="shared" ref="P145:P152" si="53">(N145-O145)/N145*100</f>
        <v>-71.17437722419929</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Index</v>
      </c>
      <c r="B146" s="79" t="str">
        <f>'Data shares'!C141</f>
        <v>NIFTY</v>
      </c>
      <c r="C146" s="4">
        <f>VLOOKUP($B146,'Data shares'!$C:$FB,7)</f>
        <v>26146.55</v>
      </c>
      <c r="D146" s="82">
        <f>VLOOKUP($B146,'Data shares'!$C:$FB,98)</f>
        <v>464511125</v>
      </c>
      <c r="E146" s="165">
        <f>VLOOKUP(B146,'Snapshot (Volume)'!$A$7:$G$168,7,0)</f>
        <v>391657255</v>
      </c>
      <c r="F146" s="165">
        <f t="shared" si="49"/>
        <v>72853870</v>
      </c>
      <c r="G146" s="166">
        <f t="shared" si="50"/>
        <v>0.18601435073633452</v>
      </c>
      <c r="H146" s="165">
        <f>VLOOKUP($B146,'Data shares'!$C:$FB,66)</f>
        <v>3187431780</v>
      </c>
      <c r="I146" s="165">
        <f>VLOOKUP($B146,'Data shares'!$C:$FB,67)</f>
        <v>3846108045</v>
      </c>
      <c r="J146" s="81">
        <f t="shared" si="51"/>
        <v>-17.125786829007296</v>
      </c>
      <c r="K146" s="5">
        <f>VLOOKUP($B146,'Data Vlaue (Cr)'!$C:$FB,99)</f>
        <v>1221218</v>
      </c>
      <c r="L146" s="81">
        <f>VLOOKUP(B146,'OI(Value)'!$A$7:$C$209,3,0)</f>
        <v>191536</v>
      </c>
      <c r="M146" s="33">
        <f t="shared" si="52"/>
        <v>15.684013828816804</v>
      </c>
      <c r="N146" s="5">
        <f>VLOOKUP($B146,'Data Vlaue (Cr)'!$C:$FB,67)</f>
        <v>8379886</v>
      </c>
      <c r="O146" s="5">
        <f>VLOOKUP($B146,'Data Vlaue (Cr)'!$C:$FB,68)</f>
        <v>10111572</v>
      </c>
      <c r="P146" s="5">
        <f t="shared" si="53"/>
        <v>-20.664791859936997</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Index</v>
      </c>
      <c r="B147" s="79" t="str">
        <f>'Data shares'!C142</f>
        <v>NIFTYNXT50</v>
      </c>
      <c r="C147" s="4">
        <f>VLOOKUP($B147,'Data shares'!$C:$FB,7)</f>
        <v>69675.399999999994</v>
      </c>
      <c r="D147" s="82">
        <f>VLOOKUP($B147,'Data shares'!$C:$FB,98)</f>
        <v>25575</v>
      </c>
      <c r="E147" s="165">
        <f>VLOOKUP(B147,'Snapshot (Volume)'!$A$7:$G$168,7,0)</f>
        <v>24900</v>
      </c>
      <c r="F147" s="165">
        <f t="shared" si="49"/>
        <v>675</v>
      </c>
      <c r="G147" s="166">
        <f t="shared" si="50"/>
        <v>2.710843373493976E-2</v>
      </c>
      <c r="H147" s="165">
        <f>VLOOKUP($B147,'Data shares'!$C:$FB,66)</f>
        <v>18275</v>
      </c>
      <c r="I147" s="165">
        <f>VLOOKUP($B147,'Data shares'!$C:$FB,67)</f>
        <v>20225</v>
      </c>
      <c r="J147" s="81">
        <f t="shared" si="51"/>
        <v>-9.641532756489493</v>
      </c>
      <c r="K147" s="5">
        <f>VLOOKUP($B147,'Data Vlaue (Cr)'!$C:$FB,99)</f>
        <v>179</v>
      </c>
      <c r="L147" s="81">
        <f>VLOOKUP(B147,'OI(Value)'!$A$7:$C$209,3,0)</f>
        <v>5</v>
      </c>
      <c r="M147" s="33">
        <f t="shared" si="52"/>
        <v>2.7932960893854748</v>
      </c>
      <c r="N147" s="5">
        <f>VLOOKUP($B147,'Data Vlaue (Cr)'!$C:$FB,67)</f>
        <v>128</v>
      </c>
      <c r="O147" s="5">
        <f>VLOOKUP($B147,'Data Vlaue (Cr)'!$C:$FB,68)</f>
        <v>141</v>
      </c>
      <c r="P147" s="5">
        <f t="shared" si="53"/>
        <v>-10.15625</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Metals</v>
      </c>
      <c r="B148" s="79" t="str">
        <f>'Data shares'!C143</f>
        <v>NMDC</v>
      </c>
      <c r="C148" s="4">
        <f>VLOOKUP($B148,'Data shares'!$C:$FB,7)</f>
        <v>83.66</v>
      </c>
      <c r="D148" s="82">
        <f>VLOOKUP($B148,'Data shares'!$C:$FB,98)</f>
        <v>513074250</v>
      </c>
      <c r="E148" s="165">
        <f>VLOOKUP(B148,'Snapshot (Volume)'!$A$7:$G$168,7,0)</f>
        <v>505068750</v>
      </c>
      <c r="F148" s="165">
        <f t="shared" si="49"/>
        <v>8005500</v>
      </c>
      <c r="G148" s="166">
        <f t="shared" si="50"/>
        <v>1.5850317407283661E-2</v>
      </c>
      <c r="H148" s="165">
        <f>VLOOKUP($B148,'Data shares'!$C:$FB,66)</f>
        <v>108675000</v>
      </c>
      <c r="I148" s="165">
        <f>VLOOKUP($B148,'Data shares'!$C:$FB,67)</f>
        <v>218706750</v>
      </c>
      <c r="J148" s="81">
        <f t="shared" si="51"/>
        <v>-50.310175611863826</v>
      </c>
      <c r="K148" s="5">
        <f>VLOOKUP($B148,'Data Vlaue (Cr)'!$C:$FB,99)</f>
        <v>4323</v>
      </c>
      <c r="L148" s="81">
        <f>VLOOKUP(B148,'OI(Value)'!$A$7:$C$209,3,0)</f>
        <v>67</v>
      </c>
      <c r="M148" s="33">
        <f t="shared" si="52"/>
        <v>1.549849641452695</v>
      </c>
      <c r="N148" s="5">
        <f>VLOOKUP($B148,'Data Vlaue (Cr)'!$C:$FB,67)</f>
        <v>916</v>
      </c>
      <c r="O148" s="5">
        <f>VLOOKUP($B148,'Data Vlaue (Cr)'!$C:$FB,68)</f>
        <v>1843</v>
      </c>
      <c r="P148" s="5">
        <f t="shared" si="53"/>
        <v>-101.20087336244541</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Power</v>
      </c>
      <c r="B149" s="79" t="str">
        <f>'Data shares'!C144</f>
        <v>NTPC</v>
      </c>
      <c r="C149" s="4">
        <f>VLOOKUP($B149,'Data shares'!$C:$FB,7)</f>
        <v>336.3</v>
      </c>
      <c r="D149" s="82">
        <f>VLOOKUP($B149,'Data shares'!$C:$FB,98)</f>
        <v>128950500</v>
      </c>
      <c r="E149" s="165">
        <f>VLOOKUP(B149,'Snapshot (Volume)'!$A$7:$G$168,7,0)</f>
        <v>122398500</v>
      </c>
      <c r="F149" s="165">
        <f t="shared" si="49"/>
        <v>6552000</v>
      </c>
      <c r="G149" s="166">
        <f t="shared" si="50"/>
        <v>5.3530067770438367E-2</v>
      </c>
      <c r="H149" s="165">
        <f>VLOOKUP($B149,'Data shares'!$C:$FB,66)</f>
        <v>81492000</v>
      </c>
      <c r="I149" s="165">
        <f>VLOOKUP($B149,'Data shares'!$C:$FB,67)</f>
        <v>64074000</v>
      </c>
      <c r="J149" s="81">
        <f t="shared" si="51"/>
        <v>27.18419327652402</v>
      </c>
      <c r="K149" s="5">
        <f>VLOOKUP($B149,'Data Vlaue (Cr)'!$C:$FB,99)</f>
        <v>4346</v>
      </c>
      <c r="L149" s="81">
        <f>VLOOKUP(B149,'OI(Value)'!$A$7:$C$209,3,0)</f>
        <v>221</v>
      </c>
      <c r="M149" s="33">
        <f t="shared" si="52"/>
        <v>5.0851357570179472</v>
      </c>
      <c r="N149" s="5">
        <f>VLOOKUP($B149,'Data Vlaue (Cr)'!$C:$FB,67)</f>
        <v>2746</v>
      </c>
      <c r="O149" s="5">
        <f>VLOOKUP($B149,'Data Vlaue (Cr)'!$C:$FB,68)</f>
        <v>2159</v>
      </c>
      <c r="P149" s="5">
        <f t="shared" si="53"/>
        <v>21.376547705753822</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Finance</v>
      </c>
      <c r="B150" s="79" t="str">
        <f>'Data shares'!C145</f>
        <v>NUVAMA</v>
      </c>
      <c r="C150" s="4">
        <f>VLOOKUP($B150,'Data shares'!$C:$FB,7)</f>
        <v>1458.5</v>
      </c>
      <c r="D150" s="82">
        <f>VLOOKUP($B150,'Data shares'!$C:$FB,98)</f>
        <v>4170500</v>
      </c>
      <c r="E150" s="165">
        <f>VLOOKUP(B150,'Snapshot (Volume)'!$A$7:$G$168,7,0)</f>
        <v>4061500</v>
      </c>
      <c r="F150" s="165">
        <f t="shared" si="49"/>
        <v>109000</v>
      </c>
      <c r="G150" s="166">
        <f t="shared" si="50"/>
        <v>2.6837375353933275E-2</v>
      </c>
      <c r="H150" s="165">
        <f>VLOOKUP($B150,'Data shares'!$C:$FB,66)</f>
        <v>1470500</v>
      </c>
      <c r="I150" s="165">
        <f>VLOOKUP($B150,'Data shares'!$C:$FB,67)</f>
        <v>2430000</v>
      </c>
      <c r="J150" s="81">
        <f t="shared" si="51"/>
        <v>-39.485596707818935</v>
      </c>
      <c r="K150" s="5">
        <f>VLOOKUP($B150,'Data Vlaue (Cr)'!$C:$FB,99)</f>
        <v>611</v>
      </c>
      <c r="L150" s="81">
        <f>VLOOKUP(B150,'OI(Value)'!$A$7:$C$209,3,0)</f>
        <v>16</v>
      </c>
      <c r="M150" s="33">
        <f t="shared" si="52"/>
        <v>2.6186579378068742</v>
      </c>
      <c r="N150" s="5">
        <f>VLOOKUP($B150,'Data Vlaue (Cr)'!$C:$FB,67)</f>
        <v>215</v>
      </c>
      <c r="O150" s="5">
        <f>VLOOKUP($B150,'Data Vlaue (Cr)'!$C:$FB,68)</f>
        <v>356</v>
      </c>
      <c r="P150" s="5">
        <f t="shared" si="53"/>
        <v>-65.581395348837219</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New_Age</v>
      </c>
      <c r="B151" s="79" t="str">
        <f>'Data shares'!C146</f>
        <v>NYKAA</v>
      </c>
      <c r="C151" s="4">
        <f>VLOOKUP($B151,'Data shares'!$C:$FB,7)</f>
        <v>265.75</v>
      </c>
      <c r="D151" s="82">
        <f>VLOOKUP($B151,'Data shares'!$C:$FB,98)</f>
        <v>60509375</v>
      </c>
      <c r="E151" s="165">
        <f>VLOOKUP(B151,'Snapshot (Volume)'!$A$7:$G$168,7,0)</f>
        <v>61184375</v>
      </c>
      <c r="F151" s="165">
        <f t="shared" si="49"/>
        <v>-675000</v>
      </c>
      <c r="G151" s="166">
        <f t="shared" si="50"/>
        <v>-1.103222840798815E-2</v>
      </c>
      <c r="H151" s="165">
        <f>VLOOKUP($B151,'Data shares'!$C:$FB,66)</f>
        <v>12412500</v>
      </c>
      <c r="I151" s="165">
        <f>VLOOKUP($B151,'Data shares'!$C:$FB,67)</f>
        <v>26003125</v>
      </c>
      <c r="J151" s="81">
        <f t="shared" si="51"/>
        <v>-52.265352722028602</v>
      </c>
      <c r="K151" s="5">
        <f>VLOOKUP($B151,'Data Vlaue (Cr)'!$C:$FB,99)</f>
        <v>1613</v>
      </c>
      <c r="L151" s="81">
        <f>VLOOKUP(B151,'OI(Value)'!$A$7:$C$209,3,0)</f>
        <v>-18</v>
      </c>
      <c r="M151" s="33">
        <f t="shared" si="52"/>
        <v>-1.1159330440173589</v>
      </c>
      <c r="N151" s="5">
        <f>VLOOKUP($B151,'Data Vlaue (Cr)'!$C:$FB,67)</f>
        <v>331</v>
      </c>
      <c r="O151" s="5">
        <f>VLOOKUP($B151,'Data Vlaue (Cr)'!$C:$FB,68)</f>
        <v>693</v>
      </c>
      <c r="P151" s="5">
        <f t="shared" si="53"/>
        <v>-109.3655589123867</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Realty</v>
      </c>
      <c r="B152" s="79" t="str">
        <f>'Data shares'!C147</f>
        <v>OBEROIRLTY</v>
      </c>
      <c r="C152" s="4">
        <f>VLOOKUP($B152,'Data shares'!$C:$FB,7)</f>
        <v>1695.9</v>
      </c>
      <c r="D152" s="82">
        <f>VLOOKUP($B152,'Data shares'!$C:$FB,98)</f>
        <v>5242300</v>
      </c>
      <c r="E152" s="165">
        <f>VLOOKUP(B152,'Snapshot (Volume)'!$A$7:$G$168,7,0)</f>
        <v>5136950</v>
      </c>
      <c r="F152" s="165">
        <f t="shared" si="49"/>
        <v>105350</v>
      </c>
      <c r="G152" s="166">
        <f t="shared" si="50"/>
        <v>2.0508278258499692E-2</v>
      </c>
      <c r="H152" s="165">
        <f>VLOOKUP($B152,'Data shares'!$C:$FB,66)</f>
        <v>1222550</v>
      </c>
      <c r="I152" s="165">
        <f>VLOOKUP($B152,'Data shares'!$C:$FB,67)</f>
        <v>1201550</v>
      </c>
      <c r="J152" s="81">
        <f t="shared" si="51"/>
        <v>1.7477424992717741</v>
      </c>
      <c r="K152" s="5">
        <f>VLOOKUP($B152,'Data Vlaue (Cr)'!$C:$FB,99)</f>
        <v>887</v>
      </c>
      <c r="L152" s="81">
        <f>VLOOKUP(B152,'OI(Value)'!$A$7:$C$209,3,0)</f>
        <v>18</v>
      </c>
      <c r="M152" s="33">
        <f t="shared" si="52"/>
        <v>2.029312288613303</v>
      </c>
      <c r="N152" s="5">
        <f>VLOOKUP($B152,'Data Vlaue (Cr)'!$C:$FB,67)</f>
        <v>207</v>
      </c>
      <c r="O152" s="5">
        <f>VLOOKUP($B152,'Data Vlaue (Cr)'!$C:$FB,68)</f>
        <v>203</v>
      </c>
      <c r="P152" s="5">
        <f t="shared" si="53"/>
        <v>1.932367149758454</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Technology</v>
      </c>
      <c r="B153" s="79" t="str">
        <f>'Data shares'!C148</f>
        <v>OFSS</v>
      </c>
      <c r="C153" s="4">
        <f>VLOOKUP($B153,'Data shares'!$C:$FB,7)</f>
        <v>7687.5</v>
      </c>
      <c r="D153" s="82">
        <f>VLOOKUP($B153,'Data shares'!$C:$FB,98)</f>
        <v>1927950</v>
      </c>
      <c r="E153" s="165">
        <f>VLOOKUP(B153,'Snapshot (Volume)'!$A$7:$G$168,7,0)</f>
        <v>1867500</v>
      </c>
      <c r="F153" s="165">
        <f>D153-E153</f>
        <v>60450</v>
      </c>
      <c r="G153" s="166">
        <f t="shared" si="50"/>
        <v>3.2369477911646585E-2</v>
      </c>
      <c r="H153" s="165">
        <f>VLOOKUP($B153,'Data shares'!$C:$FB,66)</f>
        <v>476925</v>
      </c>
      <c r="I153" s="165">
        <f>VLOOKUP($B153,'Data shares'!$C:$FB,67)</f>
        <v>605025</v>
      </c>
      <c r="J153" s="81">
        <f t="shared" si="51"/>
        <v>-21.172678814925003</v>
      </c>
      <c r="K153" s="5">
        <f>VLOOKUP($B153,'Data Vlaue (Cr)'!$C:$FB,99)</f>
        <v>1490</v>
      </c>
      <c r="L153" s="81">
        <f>VLOOKUP(B153,'OI(Value)'!$A$7:$C$209,3,0)</f>
        <v>47</v>
      </c>
      <c r="M153" s="33">
        <f t="shared" si="52"/>
        <v>3.1543624161073827</v>
      </c>
      <c r="N153" s="5">
        <f>VLOOKUP($B153,'Data Vlaue (Cr)'!$C:$FB,67)</f>
        <v>369</v>
      </c>
      <c r="O153" s="5">
        <f>VLOOKUP($B153,'Data Vlaue (Cr)'!$C:$FB,68)</f>
        <v>468</v>
      </c>
      <c r="P153" s="5">
        <f>(N153-O153)/N153*100</f>
        <v>-26.829268292682929</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Oil_Gas</v>
      </c>
      <c r="B154" s="79" t="str">
        <f>'Data shares'!C149</f>
        <v>OIL</v>
      </c>
      <c r="C154" s="4">
        <f>VLOOKUP($B154,'Data shares'!$C:$FB,7)</f>
        <v>427.55</v>
      </c>
      <c r="D154" s="82">
        <f>VLOOKUP($B154,'Data shares'!$C:$FB,98)</f>
        <v>18043200</v>
      </c>
      <c r="E154" s="165">
        <f>VLOOKUP(B154,'Snapshot (Volume)'!$A$7:$G$168,7,0)</f>
        <v>17729600</v>
      </c>
      <c r="F154" s="165">
        <f t="shared" ref="F154:F166" si="54">D154-E154</f>
        <v>313600</v>
      </c>
      <c r="G154" s="166">
        <f t="shared" ref="G154:G166" si="55">F154/E154</f>
        <v>1.7687934301958308E-2</v>
      </c>
      <c r="H154" s="165">
        <f>VLOOKUP($B154,'Data shares'!$C:$FB,66)</f>
        <v>8533000</v>
      </c>
      <c r="I154" s="165">
        <f>VLOOKUP($B154,'Data shares'!$C:$FB,67)</f>
        <v>25701200</v>
      </c>
      <c r="J154" s="81">
        <f t="shared" ref="J154:J166" si="56">(H154-I154)/I154*100</f>
        <v>-66.799215600827978</v>
      </c>
      <c r="K154" s="5">
        <f>VLOOKUP($B154,'Data Vlaue (Cr)'!$C:$FB,99)</f>
        <v>774</v>
      </c>
      <c r="L154" s="81">
        <f>VLOOKUP(B154,'OI(Value)'!$A$7:$C$209,3,0)</f>
        <v>13</v>
      </c>
      <c r="M154" s="33">
        <f t="shared" ref="M154:M166" si="57">L154/K154*100</f>
        <v>1.6795865633074936</v>
      </c>
      <c r="N154" s="5">
        <f>VLOOKUP($B154,'Data Vlaue (Cr)'!$C:$FB,67)</f>
        <v>366</v>
      </c>
      <c r="O154" s="5">
        <f>VLOOKUP($B154,'Data Vlaue (Cr)'!$C:$FB,68)</f>
        <v>1103</v>
      </c>
      <c r="P154" s="5">
        <f t="shared" ref="P154:P161" si="58">(N154-O154)/N154*100</f>
        <v>-201.36612021857925</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Oil_Gas</v>
      </c>
      <c r="B155" s="79" t="str">
        <f>'Data shares'!C150</f>
        <v>ONGC</v>
      </c>
      <c r="C155" s="4">
        <f>VLOOKUP($B155,'Data shares'!$C:$FB,7)</f>
        <v>237.94</v>
      </c>
      <c r="D155" s="82">
        <f>VLOOKUP($B155,'Data shares'!$C:$FB,98)</f>
        <v>169161750</v>
      </c>
      <c r="E155" s="165">
        <f>VLOOKUP(B155,'Snapshot (Volume)'!$A$7:$G$168,7,0)</f>
        <v>154800000</v>
      </c>
      <c r="F155" s="165">
        <f t="shared" si="54"/>
        <v>14361750</v>
      </c>
      <c r="G155" s="166">
        <f t="shared" si="55"/>
        <v>9.2776162790697669E-2</v>
      </c>
      <c r="H155" s="165">
        <f>VLOOKUP($B155,'Data shares'!$C:$FB,66)</f>
        <v>77665500</v>
      </c>
      <c r="I155" s="165">
        <f>VLOOKUP($B155,'Data shares'!$C:$FB,67)</f>
        <v>90366750</v>
      </c>
      <c r="J155" s="81">
        <f t="shared" si="56"/>
        <v>-14.055224958294948</v>
      </c>
      <c r="K155" s="5">
        <f>VLOOKUP($B155,'Data Vlaue (Cr)'!$C:$FB,99)</f>
        <v>4051</v>
      </c>
      <c r="L155" s="81">
        <f>VLOOKUP(B155,'OI(Value)'!$A$7:$C$209,3,0)</f>
        <v>344</v>
      </c>
      <c r="M155" s="33">
        <f t="shared" si="57"/>
        <v>8.4917304369291529</v>
      </c>
      <c r="N155" s="5">
        <f>VLOOKUP($B155,'Data Vlaue (Cr)'!$C:$FB,67)</f>
        <v>1860</v>
      </c>
      <c r="O155" s="5">
        <f>VLOOKUP($B155,'Data Vlaue (Cr)'!$C:$FB,68)</f>
        <v>2164</v>
      </c>
      <c r="P155" s="5">
        <f t="shared" si="58"/>
        <v>-16.344086021505376</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Textile</v>
      </c>
      <c r="B156" s="79" t="str">
        <f>'Data shares'!C151</f>
        <v>PAGEIND</v>
      </c>
      <c r="C156" s="4">
        <f>VLOOKUP($B156,'Data shares'!$C:$FB,7)</f>
        <v>35645</v>
      </c>
      <c r="D156" s="82">
        <f>VLOOKUP($B156,'Data shares'!$C:$FB,98)</f>
        <v>310560</v>
      </c>
      <c r="E156" s="165">
        <f>VLOOKUP(B156,'Snapshot (Volume)'!$A$7:$G$168,7,0)</f>
        <v>295995</v>
      </c>
      <c r="F156" s="165">
        <f t="shared" si="54"/>
        <v>14565</v>
      </c>
      <c r="G156" s="166">
        <f t="shared" si="55"/>
        <v>4.9206912278923633E-2</v>
      </c>
      <c r="H156" s="165">
        <f>VLOOKUP($B156,'Data shares'!$C:$FB,66)</f>
        <v>142185</v>
      </c>
      <c r="I156" s="165">
        <f>VLOOKUP($B156,'Data shares'!$C:$FB,67)</f>
        <v>91845</v>
      </c>
      <c r="J156" s="81">
        <f t="shared" si="56"/>
        <v>54.809733790625515</v>
      </c>
      <c r="K156" s="5">
        <f>VLOOKUP($B156,'Data Vlaue (Cr)'!$C:$FB,99)</f>
        <v>1109</v>
      </c>
      <c r="L156" s="81">
        <f>VLOOKUP(B156,'OI(Value)'!$A$7:$C$209,3,0)</f>
        <v>52</v>
      </c>
      <c r="M156" s="33">
        <f t="shared" si="57"/>
        <v>4.6889089269612265</v>
      </c>
      <c r="N156" s="5">
        <f>VLOOKUP($B156,'Data Vlaue (Cr)'!$C:$FB,67)</f>
        <v>508</v>
      </c>
      <c r="O156" s="5">
        <f>VLOOKUP($B156,'Data Vlaue (Cr)'!$C:$FB,68)</f>
        <v>328</v>
      </c>
      <c r="P156" s="5">
        <f t="shared" si="58"/>
        <v>35.433070866141733</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FMCG</v>
      </c>
      <c r="B157" s="79" t="str">
        <f>'Data shares'!C152</f>
        <v>PATANJALI</v>
      </c>
      <c r="C157" s="4">
        <f>VLOOKUP($B157,'Data shares'!$C:$FB,7)</f>
        <v>552.54999999999995</v>
      </c>
      <c r="D157" s="82">
        <f>VLOOKUP($B157,'Data shares'!$C:$FB,98)</f>
        <v>42829200</v>
      </c>
      <c r="E157" s="165">
        <f>VLOOKUP(B157,'Snapshot (Volume)'!$A$7:$G$168,7,0)</f>
        <v>42767100</v>
      </c>
      <c r="F157" s="165">
        <f t="shared" si="54"/>
        <v>62100</v>
      </c>
      <c r="G157" s="166">
        <f t="shared" si="55"/>
        <v>1.4520507586439108E-3</v>
      </c>
      <c r="H157" s="165">
        <f>VLOOKUP($B157,'Data shares'!$C:$FB,66)</f>
        <v>5983200</v>
      </c>
      <c r="I157" s="165">
        <f>VLOOKUP($B157,'Data shares'!$C:$FB,67)</f>
        <v>13599900</v>
      </c>
      <c r="J157" s="81">
        <f t="shared" si="56"/>
        <v>-56.005558864403412</v>
      </c>
      <c r="K157" s="5">
        <f>VLOOKUP($B157,'Data Vlaue (Cr)'!$C:$FB,99)</f>
        <v>2374</v>
      </c>
      <c r="L157" s="81">
        <f>VLOOKUP(B157,'OI(Value)'!$A$7:$C$209,3,0)</f>
        <v>3</v>
      </c>
      <c r="M157" s="33">
        <f t="shared" si="57"/>
        <v>0.12636899747262004</v>
      </c>
      <c r="N157" s="5">
        <f>VLOOKUP($B157,'Data Vlaue (Cr)'!$C:$FB,67)</f>
        <v>332</v>
      </c>
      <c r="O157" s="5">
        <f>VLOOKUP($B157,'Data Vlaue (Cr)'!$C:$FB,68)</f>
        <v>754</v>
      </c>
      <c r="P157" s="5">
        <f t="shared" si="58"/>
        <v>-127.10843373493977</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New_Age</v>
      </c>
      <c r="B158" s="79" t="str">
        <f>'Data shares'!C153</f>
        <v>PAYTM</v>
      </c>
      <c r="C158" s="4">
        <f>VLOOKUP($B158,'Data shares'!$C:$FB,7)</f>
        <v>1291.7</v>
      </c>
      <c r="D158" s="82">
        <f>VLOOKUP($B158,'Data shares'!$C:$FB,98)</f>
        <v>22979600</v>
      </c>
      <c r="E158" s="165">
        <f>VLOOKUP(B158,'Snapshot (Volume)'!$A$7:$G$168,7,0)</f>
        <v>22276350</v>
      </c>
      <c r="F158" s="165">
        <f t="shared" si="54"/>
        <v>703250</v>
      </c>
      <c r="G158" s="166">
        <f t="shared" si="55"/>
        <v>3.1569354943695893E-2</v>
      </c>
      <c r="H158" s="165">
        <f>VLOOKUP($B158,'Data shares'!$C:$FB,66)</f>
        <v>6082750</v>
      </c>
      <c r="I158" s="165">
        <f>VLOOKUP($B158,'Data shares'!$C:$FB,67)</f>
        <v>8250500</v>
      </c>
      <c r="J158" s="81">
        <f t="shared" si="56"/>
        <v>-26.274165202108961</v>
      </c>
      <c r="K158" s="5">
        <f>VLOOKUP($B158,'Data Vlaue (Cr)'!$C:$FB,99)</f>
        <v>2989</v>
      </c>
      <c r="L158" s="81">
        <f>VLOOKUP(B158,'OI(Value)'!$A$7:$C$209,3,0)</f>
        <v>91</v>
      </c>
      <c r="M158" s="33">
        <f t="shared" si="57"/>
        <v>3.0444964871194378</v>
      </c>
      <c r="N158" s="5">
        <f>VLOOKUP($B158,'Data Vlaue (Cr)'!$C:$FB,67)</f>
        <v>791</v>
      </c>
      <c r="O158" s="5">
        <f>VLOOKUP($B158,'Data Vlaue (Cr)'!$C:$FB,68)</f>
        <v>1073</v>
      </c>
      <c r="P158" s="5">
        <f t="shared" si="58"/>
        <v>-35.651074589127688</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Technology</v>
      </c>
      <c r="B159" s="79" t="str">
        <f>'Data shares'!C154</f>
        <v>PERSISTENT</v>
      </c>
      <c r="C159" s="4">
        <f>VLOOKUP($B159,'Data shares'!$C:$FB,7)</f>
        <v>6282.5</v>
      </c>
      <c r="D159" s="82">
        <f>VLOOKUP($B159,'Data shares'!$C:$FB,98)</f>
        <v>3078900</v>
      </c>
      <c r="E159" s="165">
        <f>VLOOKUP(B159,'Snapshot (Volume)'!$A$7:$G$168,7,0)</f>
        <v>2997400</v>
      </c>
      <c r="F159" s="165">
        <f t="shared" si="54"/>
        <v>81500</v>
      </c>
      <c r="G159" s="166">
        <f t="shared" si="55"/>
        <v>2.7190231533996131E-2</v>
      </c>
      <c r="H159" s="165">
        <f>VLOOKUP($B159,'Data shares'!$C:$FB,66)</f>
        <v>869000</v>
      </c>
      <c r="I159" s="165">
        <f>VLOOKUP($B159,'Data shares'!$C:$FB,67)</f>
        <v>1536600</v>
      </c>
      <c r="J159" s="81">
        <f t="shared" si="56"/>
        <v>-43.44657035012365</v>
      </c>
      <c r="K159" s="5">
        <f>VLOOKUP($B159,'Data Vlaue (Cr)'!$C:$FB,99)</f>
        <v>1942</v>
      </c>
      <c r="L159" s="81">
        <f>VLOOKUP(B159,'OI(Value)'!$A$7:$C$209,3,0)</f>
        <v>51</v>
      </c>
      <c r="M159" s="33">
        <f t="shared" si="57"/>
        <v>2.6261585993820802</v>
      </c>
      <c r="N159" s="5">
        <f>VLOOKUP($B159,'Data Vlaue (Cr)'!$C:$FB,67)</f>
        <v>548</v>
      </c>
      <c r="O159" s="5">
        <f>VLOOKUP($B159,'Data Vlaue (Cr)'!$C:$FB,68)</f>
        <v>969</v>
      </c>
      <c r="P159" s="5">
        <f t="shared" si="58"/>
        <v>-76.824817518248182</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Oil_Gas</v>
      </c>
      <c r="B160" s="79" t="str">
        <f>'Data shares'!C155</f>
        <v>PETRONET</v>
      </c>
      <c r="C160" s="4">
        <f>VLOOKUP($B160,'Data shares'!$C:$FB,7)</f>
        <v>288.10000000000002</v>
      </c>
      <c r="D160" s="82">
        <f>VLOOKUP($B160,'Data shares'!$C:$FB,98)</f>
        <v>74544600</v>
      </c>
      <c r="E160" s="165">
        <f>VLOOKUP(B160,'Snapshot (Volume)'!$A$7:$G$168,7,0)</f>
        <v>74423000</v>
      </c>
      <c r="F160" s="165">
        <f t="shared" si="54"/>
        <v>121600</v>
      </c>
      <c r="G160" s="166">
        <f t="shared" si="55"/>
        <v>1.6339034975746745E-3</v>
      </c>
      <c r="H160" s="165">
        <f>VLOOKUP($B160,'Data shares'!$C:$FB,66)</f>
        <v>21867100</v>
      </c>
      <c r="I160" s="165">
        <f>VLOOKUP($B160,'Data shares'!$C:$FB,67)</f>
        <v>42960900</v>
      </c>
      <c r="J160" s="81">
        <f t="shared" si="56"/>
        <v>-49.099995577373846</v>
      </c>
      <c r="K160" s="5">
        <f>VLOOKUP($B160,'Data Vlaue (Cr)'!$C:$FB,99)</f>
        <v>2158</v>
      </c>
      <c r="L160" s="81">
        <f>VLOOKUP(B160,'OI(Value)'!$A$7:$C$209,3,0)</f>
        <v>4</v>
      </c>
      <c r="M160" s="33">
        <f t="shared" si="57"/>
        <v>0.18535681186283595</v>
      </c>
      <c r="N160" s="5">
        <f>VLOOKUP($B160,'Data Vlaue (Cr)'!$C:$FB,67)</f>
        <v>633</v>
      </c>
      <c r="O160" s="5">
        <f>VLOOKUP($B160,'Data Vlaue (Cr)'!$C:$FB,68)</f>
        <v>1244</v>
      </c>
      <c r="P160" s="5">
        <f t="shared" si="58"/>
        <v>-96.524486571879947</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Finance</v>
      </c>
      <c r="B161" s="79" t="str">
        <f>'Data shares'!C156</f>
        <v>PFC</v>
      </c>
      <c r="C161" s="4">
        <f>VLOOKUP($B161,'Data shares'!$C:$FB,7)</f>
        <v>363.15</v>
      </c>
      <c r="D161" s="82">
        <f>VLOOKUP($B161,'Data shares'!$C:$FB,98)</f>
        <v>129953200</v>
      </c>
      <c r="E161" s="165">
        <f>VLOOKUP(B161,'Snapshot (Volume)'!$A$7:$G$168,7,0)</f>
        <v>124651800</v>
      </c>
      <c r="F161" s="165">
        <f t="shared" si="54"/>
        <v>5301400</v>
      </c>
      <c r="G161" s="166">
        <f t="shared" si="55"/>
        <v>4.2529670650564212E-2</v>
      </c>
      <c r="H161" s="165">
        <f>VLOOKUP($B161,'Data shares'!$C:$FB,66)</f>
        <v>81513900</v>
      </c>
      <c r="I161" s="165">
        <f>VLOOKUP($B161,'Data shares'!$C:$FB,67)</f>
        <v>52975000</v>
      </c>
      <c r="J161" s="81">
        <f t="shared" si="56"/>
        <v>53.872392638036814</v>
      </c>
      <c r="K161" s="5">
        <f>VLOOKUP($B161,'Data Vlaue (Cr)'!$C:$FB,99)</f>
        <v>4739</v>
      </c>
      <c r="L161" s="81">
        <f>VLOOKUP(B161,'OI(Value)'!$A$7:$C$209,3,0)</f>
        <v>193</v>
      </c>
      <c r="M161" s="33">
        <f t="shared" si="57"/>
        <v>4.0725891538299219</v>
      </c>
      <c r="N161" s="5">
        <f>VLOOKUP($B161,'Data Vlaue (Cr)'!$C:$FB,67)</f>
        <v>2973</v>
      </c>
      <c r="O161" s="5">
        <f>VLOOKUP($B161,'Data Vlaue (Cr)'!$C:$FB,68)</f>
        <v>1932</v>
      </c>
      <c r="P161" s="5">
        <f t="shared" si="58"/>
        <v>35.015136226034308</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Capital_Goods</v>
      </c>
      <c r="B162" s="79" t="str">
        <f>'Data shares'!C157</f>
        <v>PGEL</v>
      </c>
      <c r="C162" s="4">
        <f>VLOOKUP($B162,'Data shares'!$C:$FB,7)</f>
        <v>578.95000000000005</v>
      </c>
      <c r="D162" s="82">
        <f>VLOOKUP($B162,'Data shares'!$C:$FB,98)</f>
        <v>15695900</v>
      </c>
      <c r="E162" s="165">
        <f>VLOOKUP(B162,'Snapshot (Volume)'!$A$7:$G$168,7,0)</f>
        <v>15543900</v>
      </c>
      <c r="F162" s="165">
        <f t="shared" si="54"/>
        <v>152000</v>
      </c>
      <c r="G162" s="166">
        <f t="shared" si="55"/>
        <v>9.7787556533431123E-3</v>
      </c>
      <c r="H162" s="165">
        <f>VLOOKUP($B162,'Data shares'!$C:$FB,66)</f>
        <v>3382000</v>
      </c>
      <c r="I162" s="165">
        <f>VLOOKUP($B162,'Data shares'!$C:$FB,67)</f>
        <v>12705300</v>
      </c>
      <c r="J162" s="81">
        <f t="shared" si="56"/>
        <v>-73.381187378495596</v>
      </c>
      <c r="K162" s="5">
        <f>VLOOKUP($B162,'Data Vlaue (Cr)'!$C:$FB,99)</f>
        <v>914</v>
      </c>
      <c r="L162" s="81">
        <f>VLOOKUP(B162,'OI(Value)'!$A$7:$C$209,3,0)</f>
        <v>9</v>
      </c>
      <c r="M162" s="33">
        <f t="shared" si="57"/>
        <v>0.98468271334792123</v>
      </c>
      <c r="N162" s="5">
        <f>VLOOKUP($B162,'Data Vlaue (Cr)'!$C:$FB,67)</f>
        <v>197</v>
      </c>
      <c r="O162" s="5">
        <f>VLOOKUP($B162,'Data Vlaue (Cr)'!$C:$FB,68)</f>
        <v>740</v>
      </c>
      <c r="P162" s="5">
        <f>(N162-O162)/N162*100</f>
        <v>-275.63451776649748</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Realty</v>
      </c>
      <c r="B163" s="79" t="str">
        <f>'Data shares'!C158</f>
        <v>PHOENIXLTD</v>
      </c>
      <c r="C163" s="4">
        <f>VLOOKUP($B163,'Data shares'!$C:$FB,7)</f>
        <v>1872.7</v>
      </c>
      <c r="D163" s="82">
        <f>VLOOKUP($B163,'Data shares'!$C:$FB,98)</f>
        <v>3669400</v>
      </c>
      <c r="E163" s="165">
        <f>VLOOKUP(B163,'Snapshot (Volume)'!$A$7:$G$168,7,0)</f>
        <v>3638600</v>
      </c>
      <c r="F163" s="165">
        <f t="shared" si="54"/>
        <v>30800</v>
      </c>
      <c r="G163" s="166">
        <f t="shared" si="55"/>
        <v>8.4647941515967676E-3</v>
      </c>
      <c r="H163" s="165">
        <f>VLOOKUP($B163,'Data shares'!$C:$FB,66)</f>
        <v>962500</v>
      </c>
      <c r="I163" s="165">
        <f>VLOOKUP($B163,'Data shares'!$C:$FB,67)</f>
        <v>637700</v>
      </c>
      <c r="J163" s="81">
        <f t="shared" si="56"/>
        <v>50.933040614709114</v>
      </c>
      <c r="K163" s="5">
        <f>VLOOKUP($B163,'Data Vlaue (Cr)'!$C:$FB,99)</f>
        <v>690</v>
      </c>
      <c r="L163" s="81">
        <f>VLOOKUP(B163,'OI(Value)'!$A$7:$C$209,3,0)</f>
        <v>6</v>
      </c>
      <c r="M163" s="33">
        <f t="shared" si="57"/>
        <v>0.86956521739130432</v>
      </c>
      <c r="N163" s="5">
        <f>VLOOKUP($B163,'Data Vlaue (Cr)'!$C:$FB,67)</f>
        <v>181</v>
      </c>
      <c r="O163" s="5">
        <f>VLOOKUP($B163,'Data Vlaue (Cr)'!$C:$FB,68)</f>
        <v>120</v>
      </c>
      <c r="P163" s="5">
        <f>(N163-O163)/N163*100</f>
        <v>33.701657458563538</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FMCG</v>
      </c>
      <c r="B164" s="79" t="str">
        <f>'Data shares'!C159</f>
        <v>PIDILITIND</v>
      </c>
      <c r="C164" s="4">
        <f>VLOOKUP($B164,'Data shares'!$C:$FB,7)</f>
        <v>1469.3</v>
      </c>
      <c r="D164" s="82">
        <f>VLOOKUP($B164,'Data shares'!$C:$FB,98)</f>
        <v>9043500</v>
      </c>
      <c r="E164" s="165">
        <f>VLOOKUP(B164,'Snapshot (Volume)'!$A$7:$G$168,7,0)</f>
        <v>8868000</v>
      </c>
      <c r="F164" s="165">
        <f t="shared" si="54"/>
        <v>175500</v>
      </c>
      <c r="G164" s="166">
        <f t="shared" si="55"/>
        <v>1.9790257104194856E-2</v>
      </c>
      <c r="H164" s="165">
        <f>VLOOKUP($B164,'Data shares'!$C:$FB,66)</f>
        <v>1266000</v>
      </c>
      <c r="I164" s="165">
        <f>VLOOKUP($B164,'Data shares'!$C:$FB,67)</f>
        <v>3971500</v>
      </c>
      <c r="J164" s="81">
        <f t="shared" si="56"/>
        <v>-68.122875487850948</v>
      </c>
      <c r="K164" s="5">
        <f>VLOOKUP($B164,'Data Vlaue (Cr)'!$C:$FB,99)</f>
        <v>1336</v>
      </c>
      <c r="L164" s="81">
        <f>VLOOKUP(B164,'OI(Value)'!$A$7:$C$209,3,0)</f>
        <v>26</v>
      </c>
      <c r="M164" s="33">
        <f t="shared" si="57"/>
        <v>1.9461077844311379</v>
      </c>
      <c r="N164" s="5">
        <f>VLOOKUP($B164,'Data Vlaue (Cr)'!$C:$FB,67)</f>
        <v>187</v>
      </c>
      <c r="O164" s="5">
        <f>VLOOKUP($B164,'Data Vlaue (Cr)'!$C:$FB,68)</f>
        <v>587</v>
      </c>
      <c r="P164" s="5">
        <f>(N164-O164)/N164*100</f>
        <v>-213.90374331550802</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VLOOKUP(B165,'OI(Value)'!$A$7:$C$209,3,0)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shares'!B215</f>
        <v>Pharma</v>
      </c>
      <c r="B166" s="79" t="str">
        <f>'Data shares'!C215</f>
        <v>ZYDUSLIFE</v>
      </c>
      <c r="C166" s="4">
        <f>VLOOKUP($B166,'Data shares'!$C:$FB,7)</f>
        <v>915.05</v>
      </c>
      <c r="D166" s="82">
        <f>VLOOKUP($B166,'Data shares'!$C:$FB,98)</f>
        <v>15251400</v>
      </c>
      <c r="E166" s="165" t="e">
        <f>VLOOKUP(B166,'Snapshot (Volume)'!$A$7:$G$168,7,0)</f>
        <v>#N/A</v>
      </c>
      <c r="F166" s="165" t="e">
        <f t="shared" si="54"/>
        <v>#N/A</v>
      </c>
      <c r="G166" s="166" t="e">
        <f t="shared" si="55"/>
        <v>#N/A</v>
      </c>
      <c r="H166" s="165">
        <f>VLOOKUP($B166,'Data shares'!$C:$FB,66)</f>
        <v>2878200</v>
      </c>
      <c r="I166" s="165">
        <f>VLOOKUP($B166,'Data shares'!$C:$FB,67)</f>
        <v>4176000</v>
      </c>
      <c r="J166" s="81">
        <f t="shared" si="56"/>
        <v>-31.077586206896552</v>
      </c>
      <c r="K166" s="5">
        <f>VLOOKUP($B166,'Data Vlaue (Cr)'!$C:$FB,99)</f>
        <v>1402</v>
      </c>
      <c r="L166" s="81">
        <f>VLOOKUP(B166,'OI(Value)'!$A$7:$C$209,3,0)</f>
        <v>42</v>
      </c>
      <c r="M166" s="33">
        <f t="shared" si="57"/>
        <v>2.9957203994293864</v>
      </c>
      <c r="N166" s="5">
        <f>VLOOKUP($B166,'Data Vlaue (Cr)'!$C:$FB,67)</f>
        <v>265</v>
      </c>
      <c r="O166" s="5">
        <f>VLOOKUP($B166,'Data Vlaue (Cr)'!$C:$FB,68)</f>
        <v>384</v>
      </c>
      <c r="P166" s="5">
        <f>(N166-O166)/N166*100</f>
        <v>-44.905660377358494</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0"/>
  <sheetViews>
    <sheetView zoomScale="85" zoomScaleNormal="85" workbookViewId="0">
      <pane ySplit="6" topLeftCell="A145" activePane="bottomLeft" state="frozen"/>
      <selection pane="bottomLeft" activeCell="A146" sqref="A146"/>
    </sheetView>
  </sheetViews>
  <sheetFormatPr defaultRowHeight="15" x14ac:dyDescent="0.25"/>
  <cols>
    <col min="1" max="1" width="14.5703125" style="74" bestFit="1" customWidth="1"/>
    <col min="2" max="2" width="11" bestFit="1" customWidth="1"/>
    <col min="3" max="3" width="9.42578125" bestFit="1" customWidth="1"/>
    <col min="5" max="5" width="11" customWidth="1"/>
    <col min="8" max="8" width="11" customWidth="1"/>
    <col min="11" max="11" width="10.7109375" customWidth="1"/>
    <col min="14" max="14" width="11" bestFit="1" customWidth="1"/>
  </cols>
  <sheetData>
    <row r="1" spans="1:15" hidden="1" x14ac:dyDescent="0.25"/>
    <row r="2" spans="1:15" ht="15.75" thickBot="1" x14ac:dyDescent="0.3"/>
    <row r="3" spans="1:15" s="85" customFormat="1" ht="23.25" customHeight="1" thickBot="1" x14ac:dyDescent="0.3">
      <c r="A3" s="274" t="s">
        <v>334</v>
      </c>
      <c r="B3" s="275"/>
      <c r="C3" s="275"/>
      <c r="D3" s="276"/>
      <c r="E3" s="277"/>
      <c r="F3" s="277"/>
      <c r="G3" s="277"/>
      <c r="H3" s="277"/>
      <c r="I3" s="277"/>
      <c r="J3" s="277"/>
      <c r="K3" s="277"/>
      <c r="L3" s="277"/>
      <c r="M3" s="277"/>
      <c r="N3" s="277"/>
      <c r="O3" s="278"/>
    </row>
    <row r="4" spans="1:15" s="84" customFormat="1" x14ac:dyDescent="0.25">
      <c r="A4" s="271" t="s">
        <v>330</v>
      </c>
      <c r="B4" s="271" t="s">
        <v>340</v>
      </c>
      <c r="C4" s="271"/>
      <c r="D4" s="271"/>
      <c r="E4" s="271"/>
      <c r="F4" s="271"/>
      <c r="G4" s="271"/>
      <c r="H4" s="271"/>
      <c r="I4" s="271"/>
      <c r="J4" s="271"/>
      <c r="K4" s="271"/>
      <c r="L4" s="271"/>
      <c r="M4" s="271"/>
      <c r="N4" s="271"/>
      <c r="O4" s="271"/>
    </row>
    <row r="5" spans="1:15" s="84" customFormat="1" x14ac:dyDescent="0.25">
      <c r="A5" s="272"/>
      <c r="B5" s="272" t="s">
        <v>314</v>
      </c>
      <c r="C5" s="272"/>
      <c r="D5" s="272"/>
      <c r="E5" s="272" t="s">
        <v>341</v>
      </c>
      <c r="F5" s="272"/>
      <c r="G5" s="272"/>
      <c r="H5" s="272" t="s">
        <v>336</v>
      </c>
      <c r="I5" s="272"/>
      <c r="J5" s="272"/>
      <c r="K5" s="272" t="s">
        <v>342</v>
      </c>
      <c r="L5" s="272"/>
      <c r="M5" s="272"/>
      <c r="N5" s="272" t="s">
        <v>338</v>
      </c>
      <c r="O5" s="272"/>
    </row>
    <row r="6" spans="1:15" s="84" customFormat="1" x14ac:dyDescent="0.25">
      <c r="A6" s="71" t="s">
        <v>318</v>
      </c>
      <c r="B6" s="66">
        <f>'OI(Value)'!B6</f>
        <v>46023</v>
      </c>
      <c r="C6" s="71" t="s">
        <v>333</v>
      </c>
      <c r="D6" s="71" t="s">
        <v>328</v>
      </c>
      <c r="E6" s="66">
        <f>B6</f>
        <v>46023</v>
      </c>
      <c r="F6" s="71" t="s">
        <v>333</v>
      </c>
      <c r="G6" s="71" t="s">
        <v>328</v>
      </c>
      <c r="H6" s="66">
        <f>B6</f>
        <v>46023</v>
      </c>
      <c r="I6" s="71" t="s">
        <v>333</v>
      </c>
      <c r="J6" s="71" t="s">
        <v>328</v>
      </c>
      <c r="K6" s="66">
        <f>B6</f>
        <v>46023</v>
      </c>
      <c r="L6" s="71" t="s">
        <v>333</v>
      </c>
      <c r="M6" s="71" t="s">
        <v>328</v>
      </c>
      <c r="N6" s="71" t="s">
        <v>339</v>
      </c>
      <c r="O6" s="71" t="s">
        <v>328</v>
      </c>
    </row>
    <row r="7" spans="1:15" x14ac:dyDescent="0.25">
      <c r="A7" s="100" t="str">
        <f>'OI(Value)'!A7</f>
        <v>360ONE</v>
      </c>
      <c r="B7" s="82">
        <f>VLOOKUP(A7,'Data shares'!$C$2:$CV$215,98,0)</f>
        <v>2926000</v>
      </c>
      <c r="C7" s="82">
        <f>VLOOKUP(A7,'Data shares'!$C$2:$CX$215,100,0)</f>
        <v>58500</v>
      </c>
      <c r="D7" s="141">
        <f>VLOOKUP(A7,'Data shares'!$C$2:$CY$538,101,0)</f>
        <v>2.0400000000000001E-2</v>
      </c>
      <c r="E7" s="86">
        <f>VLOOKUP($A7,'Data shares'!$C:$FA,74)</f>
        <v>2289500</v>
      </c>
      <c r="F7" s="86">
        <f>VLOOKUP($A7,'Data shares'!$C:$FA,76)</f>
        <v>26000</v>
      </c>
      <c r="G7" s="87">
        <f>VLOOKUP(A7,'Data shares'!$C$2:$CA$215,77,0)</f>
        <v>1.15E-2</v>
      </c>
      <c r="H7" s="86">
        <f>VLOOKUP($A7,'Data shares'!$C:$FA,90)</f>
        <v>451000</v>
      </c>
      <c r="I7" s="86">
        <f>VLOOKUP($A7,'Data shares'!$C:$FA,92)</f>
        <v>27000</v>
      </c>
      <c r="J7" s="87">
        <f>VLOOKUP($A7,'Data shares'!$C:$FA,93)</f>
        <v>6.3700000000000007E-2</v>
      </c>
      <c r="K7" s="86">
        <f>VLOOKUP($A7,'Data shares'!$C:$FA,94)</f>
        <v>185500</v>
      </c>
      <c r="L7" s="86">
        <f>VLOOKUP($A7,'Data shares'!$C:$FA,96)</f>
        <v>5500</v>
      </c>
      <c r="M7" s="87">
        <f>VLOOKUP($A7,'Data shares'!$C:$FA,97)</f>
        <v>3.0599999999999999E-2</v>
      </c>
      <c r="N7" s="86">
        <f>VLOOKUP($A7,'Data shares'!$C:$FA,78)</f>
        <v>2248500</v>
      </c>
      <c r="O7" s="87">
        <f>VLOOKUP($A7,'Data shares'!$C:$FA,81)</f>
        <v>1.17E-2</v>
      </c>
    </row>
    <row r="8" spans="1:15" x14ac:dyDescent="0.25">
      <c r="A8" s="100" t="str">
        <f>'OI(Value)'!A8</f>
        <v>ABB</v>
      </c>
      <c r="B8" s="82">
        <f>VLOOKUP(A8,'Data shares'!$C$2:$CV$215,98,0)</f>
        <v>3058625</v>
      </c>
      <c r="C8" s="82">
        <f>VLOOKUP(A8,'Data shares'!$C$2:$CX$215,100,0)</f>
        <v>38250</v>
      </c>
      <c r="D8" s="141">
        <f>VLOOKUP(A8,'Data shares'!$C$2:$CY$538,101,0)</f>
        <v>1.2699999999999999E-2</v>
      </c>
      <c r="E8" s="86">
        <f>VLOOKUP($A8,'Data shares'!$C:$FA,74)</f>
        <v>2252750</v>
      </c>
      <c r="F8" s="86">
        <f>VLOOKUP($A8,'Data shares'!$C:$FA,76)</f>
        <v>-16250</v>
      </c>
      <c r="G8" s="87">
        <f>VLOOKUP(A8,'Data shares'!$C$2:$CA$215,77,0)</f>
        <v>-7.1999999999999998E-3</v>
      </c>
      <c r="H8" s="86">
        <f>VLOOKUP($A8,'Data shares'!$C:$FA,90)</f>
        <v>390625</v>
      </c>
      <c r="I8" s="86">
        <f>VLOOKUP($A8,'Data shares'!$C:$FA,92)</f>
        <v>30375</v>
      </c>
      <c r="J8" s="87">
        <f>VLOOKUP($A8,'Data shares'!$C:$FA,93)</f>
        <v>8.43E-2</v>
      </c>
      <c r="K8" s="86">
        <f>VLOOKUP($A8,'Data shares'!$C:$FA,94)</f>
        <v>415250</v>
      </c>
      <c r="L8" s="86">
        <f>VLOOKUP($A8,'Data shares'!$C:$FA,96)</f>
        <v>24125</v>
      </c>
      <c r="M8" s="87">
        <f>VLOOKUP($A8,'Data shares'!$C:$FA,97)</f>
        <v>6.1699999999999998E-2</v>
      </c>
      <c r="N8" s="86">
        <f>VLOOKUP($A8,'Data shares'!$C:$FA,78)</f>
        <v>2192500</v>
      </c>
      <c r="O8" s="87">
        <f>VLOOKUP($A8,'Data shares'!$C:$FA,81)</f>
        <v>-7.4000000000000003E-3</v>
      </c>
    </row>
    <row r="9" spans="1:15" x14ac:dyDescent="0.25">
      <c r="A9" s="100" t="str">
        <f>'OI(Value)'!A9</f>
        <v>ABCAPITAL</v>
      </c>
      <c r="B9" s="82">
        <f>VLOOKUP(A9,'Data shares'!$C$2:$CV$215,98,0)</f>
        <v>106723700</v>
      </c>
      <c r="C9" s="82">
        <f>VLOOKUP(A9,'Data shares'!$C$2:$CX$215,100,0)</f>
        <v>6971900</v>
      </c>
      <c r="D9" s="141">
        <f>VLOOKUP(A9,'Data shares'!$C$2:$CY$538,101,0)</f>
        <v>6.9900000000000004E-2</v>
      </c>
      <c r="E9" s="86">
        <f>VLOOKUP($A9,'Data shares'!$C:$FA,74)</f>
        <v>77695300</v>
      </c>
      <c r="F9" s="86">
        <f>VLOOKUP($A9,'Data shares'!$C:$FA,76)</f>
        <v>257300</v>
      </c>
      <c r="G9" s="87">
        <f>VLOOKUP(A9,'Data shares'!$C$2:$CA$215,77,0)</f>
        <v>3.3E-3</v>
      </c>
      <c r="H9" s="86">
        <f>VLOOKUP($A9,'Data shares'!$C:$FA,90)</f>
        <v>18702300</v>
      </c>
      <c r="I9" s="86">
        <f>VLOOKUP($A9,'Data shares'!$C:$FA,92)</f>
        <v>4851500</v>
      </c>
      <c r="J9" s="87">
        <f>VLOOKUP($A9,'Data shares'!$C:$FA,93)</f>
        <v>0.3503</v>
      </c>
      <c r="K9" s="86">
        <f>VLOOKUP($A9,'Data shares'!$C:$FA,94)</f>
        <v>10326100</v>
      </c>
      <c r="L9" s="86">
        <f>VLOOKUP($A9,'Data shares'!$C:$FA,96)</f>
        <v>1863100</v>
      </c>
      <c r="M9" s="87">
        <f>VLOOKUP($A9,'Data shares'!$C:$FA,97)</f>
        <v>0.22009999999999999</v>
      </c>
      <c r="N9" s="86">
        <f>VLOOKUP($A9,'Data shares'!$C:$FA,78)</f>
        <v>76749800</v>
      </c>
      <c r="O9" s="87">
        <f>VLOOKUP($A9,'Data shares'!$C:$FA,81)</f>
        <v>2.8999999999999998E-3</v>
      </c>
    </row>
    <row r="10" spans="1:15" x14ac:dyDescent="0.25">
      <c r="A10" s="100" t="str">
        <f>'OI(Value)'!A10</f>
        <v>ADANIENSOL</v>
      </c>
      <c r="B10" s="82">
        <f>VLOOKUP(A10,'Data shares'!$C$2:$CV$215,98,0)</f>
        <v>22275675</v>
      </c>
      <c r="C10" s="82">
        <f>VLOOKUP(A10,'Data shares'!$C$2:$CX$215,100,0)</f>
        <v>1914300</v>
      </c>
      <c r="D10" s="141">
        <f>VLOOKUP(A10,'Data shares'!$C$2:$CY$538,101,0)</f>
        <v>9.4E-2</v>
      </c>
      <c r="E10" s="86">
        <f>VLOOKUP($A10,'Data shares'!$C:$FA,74)</f>
        <v>17887500</v>
      </c>
      <c r="F10" s="86">
        <f>VLOOKUP($A10,'Data shares'!$C:$FA,76)</f>
        <v>220725</v>
      </c>
      <c r="G10" s="87">
        <f>VLOOKUP(A10,'Data shares'!$C$2:$CA$215,77,0)</f>
        <v>1.2500000000000001E-2</v>
      </c>
      <c r="H10" s="86">
        <f>VLOOKUP($A10,'Data shares'!$C:$FA,90)</f>
        <v>2853225</v>
      </c>
      <c r="I10" s="86">
        <f>VLOOKUP($A10,'Data shares'!$C:$FA,92)</f>
        <v>1171125</v>
      </c>
      <c r="J10" s="87">
        <f>VLOOKUP($A10,'Data shares'!$C:$FA,93)</f>
        <v>0.69620000000000004</v>
      </c>
      <c r="K10" s="86">
        <f>VLOOKUP($A10,'Data shares'!$C:$FA,94)</f>
        <v>1534950</v>
      </c>
      <c r="L10" s="86">
        <f>VLOOKUP($A10,'Data shares'!$C:$FA,96)</f>
        <v>522450</v>
      </c>
      <c r="M10" s="87">
        <f>VLOOKUP($A10,'Data shares'!$C:$FA,97)</f>
        <v>0.51600000000000001</v>
      </c>
      <c r="N10" s="86">
        <f>VLOOKUP($A10,'Data shares'!$C:$FA,78)</f>
        <v>17744400</v>
      </c>
      <c r="O10" s="87">
        <f>VLOOKUP($A10,'Data shares'!$C:$FA,81)</f>
        <v>1.0800000000000001E-2</v>
      </c>
    </row>
    <row r="11" spans="1:15" x14ac:dyDescent="0.25">
      <c r="A11" s="100" t="str">
        <f>'OI(Value)'!A11</f>
        <v>ADANIENT</v>
      </c>
      <c r="B11" s="82">
        <f>VLOOKUP(A11,'Data shares'!$C$2:$CV$215,98,0)</f>
        <v>33055275</v>
      </c>
      <c r="C11" s="82">
        <f>VLOOKUP(A11,'Data shares'!$C$2:$CX$215,100,0)</f>
        <v>824103</v>
      </c>
      <c r="D11" s="141">
        <f>VLOOKUP(A11,'Data shares'!$C$2:$CY$538,101,0)</f>
        <v>2.5600000000000001E-2</v>
      </c>
      <c r="E11" s="86">
        <f>VLOOKUP($A11,'Data shares'!$C:$FA,74)</f>
        <v>21620421</v>
      </c>
      <c r="F11" s="86">
        <f>VLOOKUP($A11,'Data shares'!$C:$FA,76)</f>
        <v>-144921</v>
      </c>
      <c r="G11" s="87">
        <f>VLOOKUP(A11,'Data shares'!$C$2:$CA$215,77,0)</f>
        <v>-6.7000000000000002E-3</v>
      </c>
      <c r="H11" s="86">
        <f>VLOOKUP($A11,'Data shares'!$C:$FA,90)</f>
        <v>6088845</v>
      </c>
      <c r="I11" s="86">
        <f>VLOOKUP($A11,'Data shares'!$C:$FA,92)</f>
        <v>719970</v>
      </c>
      <c r="J11" s="87">
        <f>VLOOKUP($A11,'Data shares'!$C:$FA,93)</f>
        <v>0.1341</v>
      </c>
      <c r="K11" s="86">
        <f>VLOOKUP($A11,'Data shares'!$C:$FA,94)</f>
        <v>5346009</v>
      </c>
      <c r="L11" s="86">
        <f>VLOOKUP($A11,'Data shares'!$C:$FA,96)</f>
        <v>249054</v>
      </c>
      <c r="M11" s="87">
        <f>VLOOKUP($A11,'Data shares'!$C:$FA,97)</f>
        <v>4.8899999999999999E-2</v>
      </c>
      <c r="N11" s="86">
        <f>VLOOKUP($A11,'Data shares'!$C:$FA,78)</f>
        <v>20830617</v>
      </c>
      <c r="O11" s="87">
        <f>VLOOKUP($A11,'Data shares'!$C:$FA,81)</f>
        <v>-8.3999999999999995E-3</v>
      </c>
    </row>
    <row r="12" spans="1:15" x14ac:dyDescent="0.25">
      <c r="A12" s="100" t="str">
        <f>'OI(Value)'!A12</f>
        <v>ADANIGREEN</v>
      </c>
      <c r="B12" s="82">
        <f>VLOOKUP(A12,'Data shares'!$C$2:$CV$215,98,0)</f>
        <v>34424400</v>
      </c>
      <c r="C12" s="82">
        <f>VLOOKUP(A12,'Data shares'!$C$2:$CX$215,100,0)</f>
        <v>2361000</v>
      </c>
      <c r="D12" s="141">
        <f>VLOOKUP(A12,'Data shares'!$C$2:$CY$538,101,0)</f>
        <v>7.3599999999999999E-2</v>
      </c>
      <c r="E12" s="86">
        <f>VLOOKUP($A12,'Data shares'!$C:$FA,74)</f>
        <v>24226800</v>
      </c>
      <c r="F12" s="86">
        <f>VLOOKUP($A12,'Data shares'!$C:$FA,76)</f>
        <v>130800</v>
      </c>
      <c r="G12" s="87">
        <f>VLOOKUP(A12,'Data shares'!$C$2:$CA$215,77,0)</f>
        <v>5.4000000000000003E-3</v>
      </c>
      <c r="H12" s="86">
        <f>VLOOKUP($A12,'Data shares'!$C:$FA,90)</f>
        <v>6396600</v>
      </c>
      <c r="I12" s="86">
        <f>VLOOKUP($A12,'Data shares'!$C:$FA,92)</f>
        <v>1645200</v>
      </c>
      <c r="J12" s="87">
        <f>VLOOKUP($A12,'Data shares'!$C:$FA,93)</f>
        <v>0.3463</v>
      </c>
      <c r="K12" s="86">
        <f>VLOOKUP($A12,'Data shares'!$C:$FA,94)</f>
        <v>3801000</v>
      </c>
      <c r="L12" s="86">
        <f>VLOOKUP($A12,'Data shares'!$C:$FA,96)</f>
        <v>585000</v>
      </c>
      <c r="M12" s="87">
        <f>VLOOKUP($A12,'Data shares'!$C:$FA,97)</f>
        <v>0.18190000000000001</v>
      </c>
      <c r="N12" s="86">
        <f>VLOOKUP($A12,'Data shares'!$C:$FA,78)</f>
        <v>23776800</v>
      </c>
      <c r="O12" s="87">
        <f>VLOOKUP($A12,'Data shares'!$C:$FA,81)</f>
        <v>3.2000000000000002E-3</v>
      </c>
    </row>
    <row r="13" spans="1:15" x14ac:dyDescent="0.25">
      <c r="A13" s="100" t="str">
        <f>'OI(Value)'!A13</f>
        <v>ADANIPORTS</v>
      </c>
      <c r="B13" s="82">
        <f>VLOOKUP(A13,'Data shares'!$C$2:$CV$215,98,0)</f>
        <v>34128275</v>
      </c>
      <c r="C13" s="82">
        <f>VLOOKUP(A13,'Data shares'!$C$2:$CX$215,100,0)</f>
        <v>751925</v>
      </c>
      <c r="D13" s="141">
        <f>VLOOKUP(A13,'Data shares'!$C$2:$CY$538,101,0)</f>
        <v>2.2499999999999999E-2</v>
      </c>
      <c r="E13" s="86">
        <f>VLOOKUP($A13,'Data shares'!$C:$FA,74)</f>
        <v>25169775</v>
      </c>
      <c r="F13" s="86">
        <f>VLOOKUP($A13,'Data shares'!$C:$FA,76)</f>
        <v>53200</v>
      </c>
      <c r="G13" s="87">
        <f>VLOOKUP(A13,'Data shares'!$C$2:$CA$215,77,0)</f>
        <v>2.0999999999999999E-3</v>
      </c>
      <c r="H13" s="86">
        <f>VLOOKUP($A13,'Data shares'!$C:$FA,90)</f>
        <v>5196025</v>
      </c>
      <c r="I13" s="86">
        <f>VLOOKUP($A13,'Data shares'!$C:$FA,92)</f>
        <v>433200</v>
      </c>
      <c r="J13" s="87">
        <f>VLOOKUP($A13,'Data shares'!$C:$FA,93)</f>
        <v>9.0999999999999998E-2</v>
      </c>
      <c r="K13" s="86">
        <f>VLOOKUP($A13,'Data shares'!$C:$FA,94)</f>
        <v>3762475</v>
      </c>
      <c r="L13" s="86">
        <f>VLOOKUP($A13,'Data shares'!$C:$FA,96)</f>
        <v>265525</v>
      </c>
      <c r="M13" s="87">
        <f>VLOOKUP($A13,'Data shares'!$C:$FA,97)</f>
        <v>7.5899999999999995E-2</v>
      </c>
      <c r="N13" s="86">
        <f>VLOOKUP($A13,'Data shares'!$C:$FA,78)</f>
        <v>24438750</v>
      </c>
      <c r="O13" s="87">
        <f>VLOOKUP($A13,'Data shares'!$C:$FA,81)</f>
        <v>1E-3</v>
      </c>
    </row>
    <row r="14" spans="1:15" x14ac:dyDescent="0.25">
      <c r="A14" s="100" t="str">
        <f>'OI(Value)'!A14</f>
        <v>ALKEM</v>
      </c>
      <c r="B14" s="82">
        <f>VLOOKUP(A14,'Data shares'!$C$2:$CV$215,98,0)</f>
        <v>1703000</v>
      </c>
      <c r="C14" s="82">
        <f>VLOOKUP(A14,'Data shares'!$C$2:$CX$215,100,0)</f>
        <v>66625</v>
      </c>
      <c r="D14" s="141">
        <f>VLOOKUP(A14,'Data shares'!$C$2:$CY$538,101,0)</f>
        <v>4.07E-2</v>
      </c>
      <c r="E14" s="86">
        <f>VLOOKUP($A14,'Data shares'!$C:$FA,74)</f>
        <v>1510000</v>
      </c>
      <c r="F14" s="86">
        <f>VLOOKUP($A14,'Data shares'!$C:$FA,76)</f>
        <v>-11125</v>
      </c>
      <c r="G14" s="87">
        <f>VLOOKUP(A14,'Data shares'!$C$2:$CA$215,77,0)</f>
        <v>-7.3000000000000001E-3</v>
      </c>
      <c r="H14" s="86">
        <f>VLOOKUP($A14,'Data shares'!$C:$FA,90)</f>
        <v>87000</v>
      </c>
      <c r="I14" s="86">
        <f>VLOOKUP($A14,'Data shares'!$C:$FA,92)</f>
        <v>24500</v>
      </c>
      <c r="J14" s="87">
        <f>VLOOKUP($A14,'Data shares'!$C:$FA,93)</f>
        <v>0.39200000000000002</v>
      </c>
      <c r="K14" s="86">
        <f>VLOOKUP($A14,'Data shares'!$C:$FA,94)</f>
        <v>106000</v>
      </c>
      <c r="L14" s="86">
        <f>VLOOKUP($A14,'Data shares'!$C:$FA,96)</f>
        <v>53250</v>
      </c>
      <c r="M14" s="87">
        <f>VLOOKUP($A14,'Data shares'!$C:$FA,97)</f>
        <v>1.0095000000000001</v>
      </c>
      <c r="N14" s="86">
        <f>VLOOKUP($A14,'Data shares'!$C:$FA,78)</f>
        <v>1500625</v>
      </c>
      <c r="O14" s="87">
        <f>VLOOKUP($A14,'Data shares'!$C:$FA,81)</f>
        <v>-8.2000000000000007E-3</v>
      </c>
    </row>
    <row r="15" spans="1:15" x14ac:dyDescent="0.25">
      <c r="A15" s="100" t="str">
        <f>'OI(Value)'!A15</f>
        <v>AMBER</v>
      </c>
      <c r="B15" s="82">
        <f>VLOOKUP(A15,'Data shares'!$C$2:$CV$215,98,0)</f>
        <v>1510400</v>
      </c>
      <c r="C15" s="82">
        <f>VLOOKUP(A15,'Data shares'!$C$2:$CX$215,100,0)</f>
        <v>38900</v>
      </c>
      <c r="D15" s="141">
        <f>VLOOKUP(A15,'Data shares'!$C$2:$CY$538,101,0)</f>
        <v>2.64E-2</v>
      </c>
      <c r="E15" s="86">
        <f>VLOOKUP($A15,'Data shares'!$C:$FA,74)</f>
        <v>928000</v>
      </c>
      <c r="F15" s="86">
        <f>VLOOKUP($A15,'Data shares'!$C:$FA,76)</f>
        <v>4200</v>
      </c>
      <c r="G15" s="87">
        <f>VLOOKUP(A15,'Data shares'!$C$2:$CA$215,77,0)</f>
        <v>4.4999999999999997E-3</v>
      </c>
      <c r="H15" s="86">
        <f>VLOOKUP($A15,'Data shares'!$C:$FA,90)</f>
        <v>335500</v>
      </c>
      <c r="I15" s="86">
        <f>VLOOKUP($A15,'Data shares'!$C:$FA,92)</f>
        <v>17700</v>
      </c>
      <c r="J15" s="87">
        <f>VLOOKUP($A15,'Data shares'!$C:$FA,93)</f>
        <v>5.57E-2</v>
      </c>
      <c r="K15" s="86">
        <f>VLOOKUP($A15,'Data shares'!$C:$FA,94)</f>
        <v>246900</v>
      </c>
      <c r="L15" s="86">
        <f>VLOOKUP($A15,'Data shares'!$C:$FA,96)</f>
        <v>17000</v>
      </c>
      <c r="M15" s="87">
        <f>VLOOKUP($A15,'Data shares'!$C:$FA,97)</f>
        <v>7.3899999999999993E-2</v>
      </c>
      <c r="N15" s="86">
        <f>VLOOKUP($A15,'Data shares'!$C:$FA,78)</f>
        <v>886200</v>
      </c>
      <c r="O15" s="87">
        <f>VLOOKUP($A15,'Data shares'!$C:$FA,81)</f>
        <v>1.1999999999999999E-3</v>
      </c>
    </row>
    <row r="16" spans="1:15" x14ac:dyDescent="0.25">
      <c r="A16" s="100" t="str">
        <f>'OI(Value)'!A16</f>
        <v>AMBUJACEM</v>
      </c>
      <c r="B16" s="82">
        <f>VLOOKUP(A16,'Data shares'!$C$2:$CV$215,98,0)</f>
        <v>71451450</v>
      </c>
      <c r="C16" s="82">
        <f>VLOOKUP(A16,'Data shares'!$C$2:$CX$215,100,0)</f>
        <v>1318800</v>
      </c>
      <c r="D16" s="141">
        <f>VLOOKUP(A16,'Data shares'!$C$2:$CY$538,101,0)</f>
        <v>1.8800000000000001E-2</v>
      </c>
      <c r="E16" s="86">
        <f>VLOOKUP($A16,'Data shares'!$C:$FA,74)</f>
        <v>52023300</v>
      </c>
      <c r="F16" s="86">
        <f>VLOOKUP($A16,'Data shares'!$C:$FA,76)</f>
        <v>210000</v>
      </c>
      <c r="G16" s="87">
        <f>VLOOKUP(A16,'Data shares'!$C$2:$CA$215,77,0)</f>
        <v>4.1000000000000003E-3</v>
      </c>
      <c r="H16" s="86">
        <f>VLOOKUP($A16,'Data shares'!$C:$FA,90)</f>
        <v>9871050</v>
      </c>
      <c r="I16" s="86">
        <f>VLOOKUP($A16,'Data shares'!$C:$FA,92)</f>
        <v>577500</v>
      </c>
      <c r="J16" s="87">
        <f>VLOOKUP($A16,'Data shares'!$C:$FA,93)</f>
        <v>6.2100000000000002E-2</v>
      </c>
      <c r="K16" s="86">
        <f>VLOOKUP($A16,'Data shares'!$C:$FA,94)</f>
        <v>9557100</v>
      </c>
      <c r="L16" s="86">
        <f>VLOOKUP($A16,'Data shares'!$C:$FA,96)</f>
        <v>531300</v>
      </c>
      <c r="M16" s="87">
        <f>VLOOKUP($A16,'Data shares'!$C:$FA,97)</f>
        <v>5.8900000000000001E-2</v>
      </c>
      <c r="N16" s="86">
        <f>VLOOKUP($A16,'Data shares'!$C:$FA,78)</f>
        <v>51204300</v>
      </c>
      <c r="O16" s="87">
        <f>VLOOKUP($A16,'Data shares'!$C:$FA,81)</f>
        <v>3.8E-3</v>
      </c>
    </row>
    <row r="17" spans="1:15" x14ac:dyDescent="0.25">
      <c r="A17" s="100" t="str">
        <f>'OI(Value)'!A17</f>
        <v>ANGELONE</v>
      </c>
      <c r="B17" s="82">
        <f>VLOOKUP(A17,'Data shares'!$C$2:$CV$215,98,0)</f>
        <v>7425750</v>
      </c>
      <c r="C17" s="82">
        <f>VLOOKUP(A17,'Data shares'!$C$2:$CX$215,100,0)</f>
        <v>258500</v>
      </c>
      <c r="D17" s="141">
        <f>VLOOKUP(A17,'Data shares'!$C$2:$CY$538,101,0)</f>
        <v>3.61E-2</v>
      </c>
      <c r="E17" s="86">
        <f>VLOOKUP($A17,'Data shares'!$C:$FA,74)</f>
        <v>3683500</v>
      </c>
      <c r="F17" s="86">
        <f>VLOOKUP($A17,'Data shares'!$C:$FA,76)</f>
        <v>46750</v>
      </c>
      <c r="G17" s="87">
        <f>VLOOKUP(A17,'Data shares'!$C$2:$CA$215,77,0)</f>
        <v>1.29E-2</v>
      </c>
      <c r="H17" s="86">
        <f>VLOOKUP($A17,'Data shares'!$C:$FA,90)</f>
        <v>1993250</v>
      </c>
      <c r="I17" s="86">
        <f>VLOOKUP($A17,'Data shares'!$C:$FA,92)</f>
        <v>123750</v>
      </c>
      <c r="J17" s="87">
        <f>VLOOKUP($A17,'Data shares'!$C:$FA,93)</f>
        <v>6.6199999999999995E-2</v>
      </c>
      <c r="K17" s="86">
        <f>VLOOKUP($A17,'Data shares'!$C:$FA,94)</f>
        <v>1749000</v>
      </c>
      <c r="L17" s="86">
        <f>VLOOKUP($A17,'Data shares'!$C:$FA,96)</f>
        <v>88000</v>
      </c>
      <c r="M17" s="87">
        <f>VLOOKUP($A17,'Data shares'!$C:$FA,97)</f>
        <v>5.2999999999999999E-2</v>
      </c>
      <c r="N17" s="86">
        <f>VLOOKUP($A17,'Data shares'!$C:$FA,78)</f>
        <v>3504000</v>
      </c>
      <c r="O17" s="87">
        <f>VLOOKUP($A17,'Data shares'!$C:$FA,81)</f>
        <v>1.23E-2</v>
      </c>
    </row>
    <row r="18" spans="1:15" x14ac:dyDescent="0.25">
      <c r="A18" s="100" t="str">
        <f>'OI(Value)'!A18</f>
        <v>APLAPOLLO</v>
      </c>
      <c r="B18" s="82">
        <f>VLOOKUP(A18,'Data shares'!$C$2:$CV$215,98,0)</f>
        <v>11552450</v>
      </c>
      <c r="C18" s="82">
        <f>VLOOKUP(A18,'Data shares'!$C$2:$CX$215,100,0)</f>
        <v>1610000</v>
      </c>
      <c r="D18" s="141">
        <f>VLOOKUP(A18,'Data shares'!$C$2:$CY$538,101,0)</f>
        <v>0.16189999999999999</v>
      </c>
      <c r="E18" s="86">
        <f>VLOOKUP($A18,'Data shares'!$C:$FA,74)</f>
        <v>9983050</v>
      </c>
      <c r="F18" s="86">
        <f>VLOOKUP($A18,'Data shares'!$C:$FA,76)</f>
        <v>973350</v>
      </c>
      <c r="G18" s="87">
        <f>VLOOKUP(A18,'Data shares'!$C$2:$CA$215,77,0)</f>
        <v>0.108</v>
      </c>
      <c r="H18" s="86">
        <f>VLOOKUP($A18,'Data shares'!$C:$FA,90)</f>
        <v>1018500</v>
      </c>
      <c r="I18" s="86">
        <f>VLOOKUP($A18,'Data shares'!$C:$FA,92)</f>
        <v>416850</v>
      </c>
      <c r="J18" s="87">
        <f>VLOOKUP($A18,'Data shares'!$C:$FA,93)</f>
        <v>0.69279999999999997</v>
      </c>
      <c r="K18" s="86">
        <f>VLOOKUP($A18,'Data shares'!$C:$FA,94)</f>
        <v>550900</v>
      </c>
      <c r="L18" s="86">
        <f>VLOOKUP($A18,'Data shares'!$C:$FA,96)</f>
        <v>219800</v>
      </c>
      <c r="M18" s="87">
        <f>VLOOKUP($A18,'Data shares'!$C:$FA,97)</f>
        <v>0.66379999999999995</v>
      </c>
      <c r="N18" s="86">
        <f>VLOOKUP($A18,'Data shares'!$C:$FA,78)</f>
        <v>9918650</v>
      </c>
      <c r="O18" s="87">
        <f>VLOOKUP($A18,'Data shares'!$C:$FA,81)</f>
        <v>0.1076</v>
      </c>
    </row>
    <row r="19" spans="1:15" x14ac:dyDescent="0.25">
      <c r="A19" s="100" t="str">
        <f>'OI(Value)'!A19</f>
        <v>APOLLOHOSP</v>
      </c>
      <c r="B19" s="82">
        <f>VLOOKUP(A19,'Data shares'!$C$2:$CV$215,98,0)</f>
        <v>4625375</v>
      </c>
      <c r="C19" s="82">
        <f>VLOOKUP(A19,'Data shares'!$C$2:$CX$215,100,0)</f>
        <v>103125</v>
      </c>
      <c r="D19" s="141">
        <f>VLOOKUP(A19,'Data shares'!$C$2:$CY$538,101,0)</f>
        <v>2.2800000000000001E-2</v>
      </c>
      <c r="E19" s="86">
        <f>VLOOKUP($A19,'Data shares'!$C:$FA,74)</f>
        <v>3019125</v>
      </c>
      <c r="F19" s="86">
        <f>VLOOKUP($A19,'Data shares'!$C:$FA,76)</f>
        <v>-1125</v>
      </c>
      <c r="G19" s="87">
        <f>VLOOKUP(A19,'Data shares'!$C$2:$CA$215,77,0)</f>
        <v>-4.0000000000000002E-4</v>
      </c>
      <c r="H19" s="86">
        <f>VLOOKUP($A19,'Data shares'!$C:$FA,90)</f>
        <v>929625</v>
      </c>
      <c r="I19" s="86">
        <f>VLOOKUP($A19,'Data shares'!$C:$FA,92)</f>
        <v>-15625</v>
      </c>
      <c r="J19" s="87">
        <f>VLOOKUP($A19,'Data shares'!$C:$FA,93)</f>
        <v>-1.6500000000000001E-2</v>
      </c>
      <c r="K19" s="86">
        <f>VLOOKUP($A19,'Data shares'!$C:$FA,94)</f>
        <v>676625</v>
      </c>
      <c r="L19" s="86">
        <f>VLOOKUP($A19,'Data shares'!$C:$FA,96)</f>
        <v>119875</v>
      </c>
      <c r="M19" s="87">
        <f>VLOOKUP($A19,'Data shares'!$C:$FA,97)</f>
        <v>0.21529999999999999</v>
      </c>
      <c r="N19" s="86">
        <f>VLOOKUP($A19,'Data shares'!$C:$FA,78)</f>
        <v>2966125</v>
      </c>
      <c r="O19" s="87">
        <f>VLOOKUP($A19,'Data shares'!$C:$FA,81)</f>
        <v>-1.6999999999999999E-3</v>
      </c>
    </row>
    <row r="20" spans="1:15" x14ac:dyDescent="0.25">
      <c r="A20" s="100" t="str">
        <f>'OI(Value)'!A20</f>
        <v>ASHOKLEY</v>
      </c>
      <c r="B20" s="82">
        <f>VLOOKUP(A20,'Data shares'!$C$2:$CV$215,98,0)</f>
        <v>269345000</v>
      </c>
      <c r="C20" s="82">
        <f>VLOOKUP(A20,'Data shares'!$C$2:$CX$215,100,0)</f>
        <v>36800000</v>
      </c>
      <c r="D20" s="141">
        <f>VLOOKUP(A20,'Data shares'!$C$2:$CY$538,101,0)</f>
        <v>0.15820000000000001</v>
      </c>
      <c r="E20" s="86">
        <f>VLOOKUP($A20,'Data shares'!$C:$FA,74)</f>
        <v>178195000</v>
      </c>
      <c r="F20" s="86">
        <f>VLOOKUP($A20,'Data shares'!$C:$FA,76)</f>
        <v>6505000</v>
      </c>
      <c r="G20" s="87">
        <f>VLOOKUP(A20,'Data shares'!$C$2:$CA$215,77,0)</f>
        <v>3.7900000000000003E-2</v>
      </c>
      <c r="H20" s="86">
        <f>VLOOKUP($A20,'Data shares'!$C:$FA,90)</f>
        <v>57360000</v>
      </c>
      <c r="I20" s="86">
        <f>VLOOKUP($A20,'Data shares'!$C:$FA,92)</f>
        <v>19440000</v>
      </c>
      <c r="J20" s="87">
        <f>VLOOKUP($A20,'Data shares'!$C:$FA,93)</f>
        <v>0.51270000000000004</v>
      </c>
      <c r="K20" s="86">
        <f>VLOOKUP($A20,'Data shares'!$C:$FA,94)</f>
        <v>33790000</v>
      </c>
      <c r="L20" s="86">
        <f>VLOOKUP($A20,'Data shares'!$C:$FA,96)</f>
        <v>10855000</v>
      </c>
      <c r="M20" s="87">
        <f>VLOOKUP($A20,'Data shares'!$C:$FA,97)</f>
        <v>0.4733</v>
      </c>
      <c r="N20" s="86">
        <f>VLOOKUP($A20,'Data shares'!$C:$FA,78)</f>
        <v>175040000</v>
      </c>
      <c r="O20" s="87">
        <f>VLOOKUP($A20,'Data shares'!$C:$FA,81)</f>
        <v>3.4299999999999997E-2</v>
      </c>
    </row>
    <row r="21" spans="1:15" x14ac:dyDescent="0.25">
      <c r="A21" s="100" t="str">
        <f>'OI(Value)'!A21</f>
        <v>ASIANPAINT</v>
      </c>
      <c r="B21" s="82">
        <f>VLOOKUP(A21,'Data shares'!$C$2:$CV$215,98,0)</f>
        <v>18974000</v>
      </c>
      <c r="C21" s="82">
        <f>VLOOKUP(A21,'Data shares'!$C$2:$CX$215,100,0)</f>
        <v>710500</v>
      </c>
      <c r="D21" s="141">
        <f>VLOOKUP(A21,'Data shares'!$C$2:$CY$538,101,0)</f>
        <v>3.8899999999999997E-2</v>
      </c>
      <c r="E21" s="86">
        <f>VLOOKUP($A21,'Data shares'!$C:$FA,74)</f>
        <v>13311000</v>
      </c>
      <c r="F21" s="86">
        <f>VLOOKUP($A21,'Data shares'!$C:$FA,76)</f>
        <v>-6000</v>
      </c>
      <c r="G21" s="87">
        <f>VLOOKUP(A21,'Data shares'!$C$2:$CA$215,77,0)</f>
        <v>-5.0000000000000001E-4</v>
      </c>
      <c r="H21" s="86">
        <f>VLOOKUP($A21,'Data shares'!$C:$FA,90)</f>
        <v>3309750</v>
      </c>
      <c r="I21" s="86">
        <f>VLOOKUP($A21,'Data shares'!$C:$FA,92)</f>
        <v>384250</v>
      </c>
      <c r="J21" s="87">
        <f>VLOOKUP($A21,'Data shares'!$C:$FA,93)</f>
        <v>0.1313</v>
      </c>
      <c r="K21" s="86">
        <f>VLOOKUP($A21,'Data shares'!$C:$FA,94)</f>
        <v>2353250</v>
      </c>
      <c r="L21" s="86">
        <f>VLOOKUP($A21,'Data shares'!$C:$FA,96)</f>
        <v>332250</v>
      </c>
      <c r="M21" s="87">
        <f>VLOOKUP($A21,'Data shares'!$C:$FA,97)</f>
        <v>0.16439999999999999</v>
      </c>
      <c r="N21" s="86">
        <f>VLOOKUP($A21,'Data shares'!$C:$FA,78)</f>
        <v>13050500</v>
      </c>
      <c r="O21" s="87">
        <f>VLOOKUP($A21,'Data shares'!$C:$FA,81)</f>
        <v>-1.2999999999999999E-3</v>
      </c>
    </row>
    <row r="22" spans="1:15" x14ac:dyDescent="0.25">
      <c r="A22" s="100" t="str">
        <f>'OI(Value)'!A22</f>
        <v>ASTRAL</v>
      </c>
      <c r="B22" s="82">
        <f>VLOOKUP(A22,'Data shares'!$C$2:$CV$215,98,0)</f>
        <v>11277375</v>
      </c>
      <c r="C22" s="82">
        <f>VLOOKUP(A22,'Data shares'!$C$2:$CX$215,100,0)</f>
        <v>116450</v>
      </c>
      <c r="D22" s="141">
        <f>VLOOKUP(A22,'Data shares'!$C$2:$CY$538,101,0)</f>
        <v>1.04E-2</v>
      </c>
      <c r="E22" s="86">
        <f>VLOOKUP($A22,'Data shares'!$C:$FA,74)</f>
        <v>7577750</v>
      </c>
      <c r="F22" s="86">
        <f>VLOOKUP($A22,'Data shares'!$C:$FA,76)</f>
        <v>-10200</v>
      </c>
      <c r="G22" s="87">
        <f>VLOOKUP(A22,'Data shares'!$C$2:$CA$215,77,0)</f>
        <v>-1.2999999999999999E-3</v>
      </c>
      <c r="H22" s="86">
        <f>VLOOKUP($A22,'Data shares'!$C:$FA,90)</f>
        <v>2184500</v>
      </c>
      <c r="I22" s="86">
        <f>VLOOKUP($A22,'Data shares'!$C:$FA,92)</f>
        <v>209100</v>
      </c>
      <c r="J22" s="87">
        <f>VLOOKUP($A22,'Data shares'!$C:$FA,93)</f>
        <v>0.10589999999999999</v>
      </c>
      <c r="K22" s="86">
        <f>VLOOKUP($A22,'Data shares'!$C:$FA,94)</f>
        <v>1515125</v>
      </c>
      <c r="L22" s="86">
        <f>VLOOKUP($A22,'Data shares'!$C:$FA,96)</f>
        <v>-82450</v>
      </c>
      <c r="M22" s="87">
        <f>VLOOKUP($A22,'Data shares'!$C:$FA,97)</f>
        <v>-5.16E-2</v>
      </c>
      <c r="N22" s="86">
        <f>VLOOKUP($A22,'Data shares'!$C:$FA,78)</f>
        <v>7185475</v>
      </c>
      <c r="O22" s="87">
        <f>VLOOKUP($A22,'Data shares'!$C:$FA,81)</f>
        <v>-3.8E-3</v>
      </c>
    </row>
    <row r="23" spans="1:15" x14ac:dyDescent="0.25">
      <c r="A23" s="100" t="str">
        <f>'OI(Value)'!A23</f>
        <v>AUBANK</v>
      </c>
      <c r="B23" s="82">
        <f>VLOOKUP(A23,'Data shares'!$C$2:$CV$215,98,0)</f>
        <v>27608000</v>
      </c>
      <c r="C23" s="82">
        <f>VLOOKUP(A23,'Data shares'!$C$2:$CX$215,100,0)</f>
        <v>666000</v>
      </c>
      <c r="D23" s="141">
        <f>VLOOKUP(A23,'Data shares'!$C$2:$CY$538,101,0)</f>
        <v>2.47E-2</v>
      </c>
      <c r="E23" s="86">
        <f>VLOOKUP($A23,'Data shares'!$C:$FA,74)</f>
        <v>20445000</v>
      </c>
      <c r="F23" s="86">
        <f>VLOOKUP($A23,'Data shares'!$C:$FA,76)</f>
        <v>-37000</v>
      </c>
      <c r="G23" s="87">
        <f>VLOOKUP(A23,'Data shares'!$C$2:$CA$215,77,0)</f>
        <v>-1.8E-3</v>
      </c>
      <c r="H23" s="86">
        <f>VLOOKUP($A23,'Data shares'!$C:$FA,90)</f>
        <v>4030000</v>
      </c>
      <c r="I23" s="86">
        <f>VLOOKUP($A23,'Data shares'!$C:$FA,92)</f>
        <v>479000</v>
      </c>
      <c r="J23" s="87">
        <f>VLOOKUP($A23,'Data shares'!$C:$FA,93)</f>
        <v>0.13489999999999999</v>
      </c>
      <c r="K23" s="86">
        <f>VLOOKUP($A23,'Data shares'!$C:$FA,94)</f>
        <v>3133000</v>
      </c>
      <c r="L23" s="86">
        <f>VLOOKUP($A23,'Data shares'!$C:$FA,96)</f>
        <v>224000</v>
      </c>
      <c r="M23" s="87">
        <f>VLOOKUP($A23,'Data shares'!$C:$FA,97)</f>
        <v>7.6999999999999999E-2</v>
      </c>
      <c r="N23" s="86">
        <f>VLOOKUP($A23,'Data shares'!$C:$FA,78)</f>
        <v>20041000</v>
      </c>
      <c r="O23" s="87">
        <f>VLOOKUP($A23,'Data shares'!$C:$FA,81)</f>
        <v>-2.5000000000000001E-3</v>
      </c>
    </row>
    <row r="24" spans="1:15" x14ac:dyDescent="0.25">
      <c r="A24" s="100" t="str">
        <f>'OI(Value)'!A24</f>
        <v>AUROPHARMA</v>
      </c>
      <c r="B24" s="82">
        <f>VLOOKUP(A24,'Data shares'!$C$2:$CV$215,98,0)</f>
        <v>26674450</v>
      </c>
      <c r="C24" s="82">
        <f>VLOOKUP(A24,'Data shares'!$C$2:$CX$215,100,0)</f>
        <v>650100</v>
      </c>
      <c r="D24" s="141">
        <f>VLOOKUP(A24,'Data shares'!$C$2:$CY$538,101,0)</f>
        <v>2.5000000000000001E-2</v>
      </c>
      <c r="E24" s="86">
        <f>VLOOKUP($A24,'Data shares'!$C:$FA,74)</f>
        <v>21909250</v>
      </c>
      <c r="F24" s="86">
        <f>VLOOKUP($A24,'Data shares'!$C:$FA,76)</f>
        <v>143550</v>
      </c>
      <c r="G24" s="87">
        <f>VLOOKUP(A24,'Data shares'!$C$2:$CA$215,77,0)</f>
        <v>6.6E-3</v>
      </c>
      <c r="H24" s="86">
        <f>VLOOKUP($A24,'Data shares'!$C:$FA,90)</f>
        <v>3020600</v>
      </c>
      <c r="I24" s="86">
        <f>VLOOKUP($A24,'Data shares'!$C:$FA,92)</f>
        <v>322300</v>
      </c>
      <c r="J24" s="87">
        <f>VLOOKUP($A24,'Data shares'!$C:$FA,93)</f>
        <v>0.11940000000000001</v>
      </c>
      <c r="K24" s="86">
        <f>VLOOKUP($A24,'Data shares'!$C:$FA,94)</f>
        <v>1744600</v>
      </c>
      <c r="L24" s="86">
        <f>VLOOKUP($A24,'Data shares'!$C:$FA,96)</f>
        <v>184250</v>
      </c>
      <c r="M24" s="87">
        <f>VLOOKUP($A24,'Data shares'!$C:$FA,97)</f>
        <v>0.1181</v>
      </c>
      <c r="N24" s="86">
        <f>VLOOKUP($A24,'Data shares'!$C:$FA,78)</f>
        <v>21734900</v>
      </c>
      <c r="O24" s="87">
        <f>VLOOKUP($A24,'Data shares'!$C:$FA,81)</f>
        <v>4.4000000000000003E-3</v>
      </c>
    </row>
    <row r="25" spans="1:15" x14ac:dyDescent="0.25">
      <c r="A25" s="100" t="str">
        <f>'OI(Value)'!A25</f>
        <v>AXISBANK</v>
      </c>
      <c r="B25" s="82">
        <f>VLOOKUP(A25,'Data shares'!$C$2:$CV$215,98,0)</f>
        <v>98046875</v>
      </c>
      <c r="C25" s="82">
        <f>VLOOKUP(A25,'Data shares'!$C$2:$CX$215,100,0)</f>
        <v>2096250</v>
      </c>
      <c r="D25" s="141">
        <f>VLOOKUP(A25,'Data shares'!$C$2:$CY$538,101,0)</f>
        <v>2.18E-2</v>
      </c>
      <c r="E25" s="86">
        <f>VLOOKUP($A25,'Data shares'!$C:$FA,74)</f>
        <v>77560625</v>
      </c>
      <c r="F25" s="86">
        <f>VLOOKUP($A25,'Data shares'!$C:$FA,76)</f>
        <v>-6875</v>
      </c>
      <c r="G25" s="87">
        <f>VLOOKUP(A25,'Data shares'!$C$2:$CA$215,77,0)</f>
        <v>-1E-4</v>
      </c>
      <c r="H25" s="86">
        <f>VLOOKUP($A25,'Data shares'!$C:$FA,90)</f>
        <v>10882500</v>
      </c>
      <c r="I25" s="86">
        <f>VLOOKUP($A25,'Data shares'!$C:$FA,92)</f>
        <v>1011875</v>
      </c>
      <c r="J25" s="87">
        <f>VLOOKUP($A25,'Data shares'!$C:$FA,93)</f>
        <v>0.10249999999999999</v>
      </c>
      <c r="K25" s="86">
        <f>VLOOKUP($A25,'Data shares'!$C:$FA,94)</f>
        <v>9603750</v>
      </c>
      <c r="L25" s="86">
        <f>VLOOKUP($A25,'Data shares'!$C:$FA,96)</f>
        <v>1091250</v>
      </c>
      <c r="M25" s="87">
        <f>VLOOKUP($A25,'Data shares'!$C:$FA,97)</f>
        <v>0.12820000000000001</v>
      </c>
      <c r="N25" s="86">
        <f>VLOOKUP($A25,'Data shares'!$C:$FA,78)</f>
        <v>77081250</v>
      </c>
      <c r="O25" s="87">
        <f>VLOOKUP($A25,'Data shares'!$C:$FA,81)</f>
        <v>-5.0000000000000001E-4</v>
      </c>
    </row>
    <row r="26" spans="1:15" x14ac:dyDescent="0.25">
      <c r="A26" s="100" t="str">
        <f>'OI(Value)'!A26</f>
        <v>BAJAJ-AUTO</v>
      </c>
      <c r="B26" s="82">
        <f>VLOOKUP(A26,'Data shares'!$C$2:$CV$215,98,0)</f>
        <v>5102400</v>
      </c>
      <c r="C26" s="82">
        <f>VLOOKUP(A26,'Data shares'!$C$2:$CX$215,100,0)</f>
        <v>490350</v>
      </c>
      <c r="D26" s="141">
        <f>VLOOKUP(A26,'Data shares'!$C$2:$CY$538,101,0)</f>
        <v>0.10630000000000001</v>
      </c>
      <c r="E26" s="86">
        <f>VLOOKUP($A26,'Data shares'!$C:$FA,74)</f>
        <v>3135000</v>
      </c>
      <c r="F26" s="86">
        <f>VLOOKUP($A26,'Data shares'!$C:$FA,76)</f>
        <v>75525</v>
      </c>
      <c r="G26" s="87">
        <f>VLOOKUP(A26,'Data shares'!$C$2:$CA$215,77,0)</f>
        <v>2.47E-2</v>
      </c>
      <c r="H26" s="86">
        <f>VLOOKUP($A26,'Data shares'!$C:$FA,90)</f>
        <v>1080750</v>
      </c>
      <c r="I26" s="86">
        <f>VLOOKUP($A26,'Data shares'!$C:$FA,92)</f>
        <v>189300</v>
      </c>
      <c r="J26" s="87">
        <f>VLOOKUP($A26,'Data shares'!$C:$FA,93)</f>
        <v>0.21240000000000001</v>
      </c>
      <c r="K26" s="86">
        <f>VLOOKUP($A26,'Data shares'!$C:$FA,94)</f>
        <v>886650</v>
      </c>
      <c r="L26" s="86">
        <f>VLOOKUP($A26,'Data shares'!$C:$FA,96)</f>
        <v>225525</v>
      </c>
      <c r="M26" s="87">
        <f>VLOOKUP($A26,'Data shares'!$C:$FA,97)</f>
        <v>0.34110000000000001</v>
      </c>
      <c r="N26" s="86">
        <f>VLOOKUP($A26,'Data shares'!$C:$FA,78)</f>
        <v>3090225</v>
      </c>
      <c r="O26" s="87">
        <f>VLOOKUP($A26,'Data shares'!$C:$FA,81)</f>
        <v>2.3199999999999998E-2</v>
      </c>
    </row>
    <row r="27" spans="1:15" x14ac:dyDescent="0.25">
      <c r="A27" s="100" t="str">
        <f>'OI(Value)'!A27</f>
        <v>BAJAJFINSV</v>
      </c>
      <c r="B27" s="82">
        <f>VLOOKUP(A27,'Data shares'!$C$2:$CV$215,98,0)</f>
        <v>23363000</v>
      </c>
      <c r="C27" s="82">
        <f>VLOOKUP(A27,'Data shares'!$C$2:$CX$215,100,0)</f>
        <v>570000</v>
      </c>
      <c r="D27" s="141">
        <f>VLOOKUP(A27,'Data shares'!$C$2:$CY$538,101,0)</f>
        <v>2.5000000000000001E-2</v>
      </c>
      <c r="E27" s="86">
        <f>VLOOKUP($A27,'Data shares'!$C:$FA,74)</f>
        <v>17881500</v>
      </c>
      <c r="F27" s="86">
        <f>VLOOKUP($A27,'Data shares'!$C:$FA,76)</f>
        <v>-52500</v>
      </c>
      <c r="G27" s="87">
        <f>VLOOKUP(A27,'Data shares'!$C$2:$CA$215,77,0)</f>
        <v>-2.8999999999999998E-3</v>
      </c>
      <c r="H27" s="86">
        <f>VLOOKUP($A27,'Data shares'!$C:$FA,90)</f>
        <v>2937750</v>
      </c>
      <c r="I27" s="86">
        <f>VLOOKUP($A27,'Data shares'!$C:$FA,92)</f>
        <v>410500</v>
      </c>
      <c r="J27" s="87">
        <f>VLOOKUP($A27,'Data shares'!$C:$FA,93)</f>
        <v>0.16239999999999999</v>
      </c>
      <c r="K27" s="86">
        <f>VLOOKUP($A27,'Data shares'!$C:$FA,94)</f>
        <v>2543750</v>
      </c>
      <c r="L27" s="86">
        <f>VLOOKUP($A27,'Data shares'!$C:$FA,96)</f>
        <v>212000</v>
      </c>
      <c r="M27" s="87">
        <f>VLOOKUP($A27,'Data shares'!$C:$FA,97)</f>
        <v>9.0899999999999995E-2</v>
      </c>
      <c r="N27" s="86">
        <f>VLOOKUP($A27,'Data shares'!$C:$FA,78)</f>
        <v>17666500</v>
      </c>
      <c r="O27" s="87">
        <f>VLOOKUP($A27,'Data shares'!$C:$FA,81)</f>
        <v>-3.5000000000000001E-3</v>
      </c>
    </row>
    <row r="28" spans="1:15" x14ac:dyDescent="0.25">
      <c r="A28" s="100" t="str">
        <f>'OI(Value)'!A28</f>
        <v>BAJAJHLDNG</v>
      </c>
      <c r="B28" s="82">
        <f>VLOOKUP(A28,'Data shares'!$C$2:$CV$215,98,0)</f>
        <v>110650</v>
      </c>
      <c r="C28" s="82">
        <f>VLOOKUP(A28,'Data shares'!$C$2:$CX$215,100,0)</f>
        <v>24600</v>
      </c>
      <c r="D28" s="141">
        <f>VLOOKUP(A28,'Data shares'!$C$2:$CY$538,101,0)</f>
        <v>0.28589999999999999</v>
      </c>
      <c r="E28" s="86">
        <f>VLOOKUP($A28,'Data shares'!$C:$FA,74)</f>
        <v>61150</v>
      </c>
      <c r="F28" s="86">
        <f>VLOOKUP($A28,'Data shares'!$C:$FA,76)</f>
        <v>8750</v>
      </c>
      <c r="G28" s="87">
        <f>VLOOKUP(A28,'Data shares'!$C$2:$CA$215,77,0)</f>
        <v>0.16700000000000001</v>
      </c>
      <c r="H28" s="86">
        <f>VLOOKUP($A28,'Data shares'!$C:$FA,90)</f>
        <v>39750</v>
      </c>
      <c r="I28" s="86">
        <f>VLOOKUP($A28,'Data shares'!$C:$FA,92)</f>
        <v>10400</v>
      </c>
      <c r="J28" s="87">
        <f>VLOOKUP($A28,'Data shares'!$C:$FA,93)</f>
        <v>0.3543</v>
      </c>
      <c r="K28" s="86">
        <f>VLOOKUP($A28,'Data shares'!$C:$FA,94)</f>
        <v>9750</v>
      </c>
      <c r="L28" s="86">
        <f>VLOOKUP($A28,'Data shares'!$C:$FA,96)</f>
        <v>5450</v>
      </c>
      <c r="M28" s="87">
        <f>VLOOKUP($A28,'Data shares'!$C:$FA,97)</f>
        <v>1.2674000000000001</v>
      </c>
      <c r="N28" s="86">
        <f>VLOOKUP($A28,'Data shares'!$C:$FA,78)</f>
        <v>60800</v>
      </c>
      <c r="O28" s="87">
        <f>VLOOKUP($A28,'Data shares'!$C:$FA,81)</f>
        <v>0.1648</v>
      </c>
    </row>
    <row r="29" spans="1:15" x14ac:dyDescent="0.25">
      <c r="A29" s="100" t="str">
        <f>'OI(Value)'!A29</f>
        <v>BAJFINANCE</v>
      </c>
      <c r="B29" s="82">
        <f>VLOOKUP(A29,'Data shares'!$C$2:$CV$215,98,0)</f>
        <v>133674000</v>
      </c>
      <c r="C29" s="82">
        <f>VLOOKUP(A29,'Data shares'!$C$2:$CX$215,100,0)</f>
        <v>8543250</v>
      </c>
      <c r="D29" s="141">
        <f>VLOOKUP(A29,'Data shares'!$C$2:$CY$538,101,0)</f>
        <v>6.83E-2</v>
      </c>
      <c r="E29" s="86">
        <f>VLOOKUP($A29,'Data shares'!$C:$FA,74)</f>
        <v>93767250</v>
      </c>
      <c r="F29" s="86">
        <f>VLOOKUP($A29,'Data shares'!$C:$FA,76)</f>
        <v>1961250</v>
      </c>
      <c r="G29" s="87">
        <f>VLOOKUP(A29,'Data shares'!$C$2:$CA$215,77,0)</f>
        <v>2.1399999999999999E-2</v>
      </c>
      <c r="H29" s="86">
        <f>VLOOKUP($A29,'Data shares'!$C:$FA,90)</f>
        <v>23362500</v>
      </c>
      <c r="I29" s="86">
        <f>VLOOKUP($A29,'Data shares'!$C:$FA,92)</f>
        <v>4199250</v>
      </c>
      <c r="J29" s="87">
        <f>VLOOKUP($A29,'Data shares'!$C:$FA,93)</f>
        <v>0.21909999999999999</v>
      </c>
      <c r="K29" s="86">
        <f>VLOOKUP($A29,'Data shares'!$C:$FA,94)</f>
        <v>16544250</v>
      </c>
      <c r="L29" s="86">
        <f>VLOOKUP($A29,'Data shares'!$C:$FA,96)</f>
        <v>2382750</v>
      </c>
      <c r="M29" s="87">
        <f>VLOOKUP($A29,'Data shares'!$C:$FA,97)</f>
        <v>0.16830000000000001</v>
      </c>
      <c r="N29" s="86">
        <f>VLOOKUP($A29,'Data shares'!$C:$FA,78)</f>
        <v>92256750</v>
      </c>
      <c r="O29" s="87">
        <f>VLOOKUP($A29,'Data shares'!$C:$FA,81)</f>
        <v>1.9599999999999999E-2</v>
      </c>
    </row>
    <row r="30" spans="1:15" x14ac:dyDescent="0.25">
      <c r="A30" s="100" t="str">
        <f>'OI(Value)'!A30</f>
        <v>BANDHANBNK</v>
      </c>
      <c r="B30" s="82">
        <f>VLOOKUP(A30,'Data shares'!$C$2:$CV$215,98,0)</f>
        <v>167720400</v>
      </c>
      <c r="C30" s="82">
        <f>VLOOKUP(A30,'Data shares'!$C$2:$CX$215,100,0)</f>
        <v>4712400</v>
      </c>
      <c r="D30" s="141">
        <f>VLOOKUP(A30,'Data shares'!$C$2:$CY$538,101,0)</f>
        <v>2.8899999999999999E-2</v>
      </c>
      <c r="E30" s="86">
        <f>VLOOKUP($A30,'Data shares'!$C:$FA,74)</f>
        <v>119660400</v>
      </c>
      <c r="F30" s="86">
        <f>VLOOKUP($A30,'Data shares'!$C:$FA,76)</f>
        <v>1170000</v>
      </c>
      <c r="G30" s="87">
        <f>VLOOKUP(A30,'Data shares'!$C$2:$CA$215,77,0)</f>
        <v>9.9000000000000008E-3</v>
      </c>
      <c r="H30" s="86">
        <f>VLOOKUP($A30,'Data shares'!$C:$FA,90)</f>
        <v>23248800</v>
      </c>
      <c r="I30" s="86">
        <f>VLOOKUP($A30,'Data shares'!$C:$FA,92)</f>
        <v>1890000</v>
      </c>
      <c r="J30" s="87">
        <f>VLOOKUP($A30,'Data shares'!$C:$FA,93)</f>
        <v>8.8499999999999995E-2</v>
      </c>
      <c r="K30" s="86">
        <f>VLOOKUP($A30,'Data shares'!$C:$FA,94)</f>
        <v>24811200</v>
      </c>
      <c r="L30" s="86">
        <f>VLOOKUP($A30,'Data shares'!$C:$FA,96)</f>
        <v>1652400</v>
      </c>
      <c r="M30" s="87">
        <f>VLOOKUP($A30,'Data shares'!$C:$FA,97)</f>
        <v>7.1400000000000005E-2</v>
      </c>
      <c r="N30" s="86">
        <f>VLOOKUP($A30,'Data shares'!$C:$FA,78)</f>
        <v>113994000</v>
      </c>
      <c r="O30" s="87">
        <f>VLOOKUP($A30,'Data shares'!$C:$FA,81)</f>
        <v>5.1000000000000004E-3</v>
      </c>
    </row>
    <row r="31" spans="1:15" x14ac:dyDescent="0.25">
      <c r="A31" s="100" t="str">
        <f>'OI(Value)'!A31</f>
        <v>BANKBARODA</v>
      </c>
      <c r="B31" s="82">
        <f>VLOOKUP(A31,'Data shares'!$C$2:$CV$215,98,0)</f>
        <v>134745975</v>
      </c>
      <c r="C31" s="82">
        <f>VLOOKUP(A31,'Data shares'!$C$2:$CX$215,100,0)</f>
        <v>11831625</v>
      </c>
      <c r="D31" s="141">
        <f>VLOOKUP(A31,'Data shares'!$C$2:$CY$538,101,0)</f>
        <v>9.6299999999999997E-2</v>
      </c>
      <c r="E31" s="86">
        <f>VLOOKUP($A31,'Data shares'!$C:$FA,74)</f>
        <v>83263050</v>
      </c>
      <c r="F31" s="86">
        <f>VLOOKUP($A31,'Data shares'!$C:$FA,76)</f>
        <v>1702350</v>
      </c>
      <c r="G31" s="87">
        <f>VLOOKUP(A31,'Data shares'!$C$2:$CA$215,77,0)</f>
        <v>2.0899999999999998E-2</v>
      </c>
      <c r="H31" s="86">
        <f>VLOOKUP($A31,'Data shares'!$C:$FA,90)</f>
        <v>26980200</v>
      </c>
      <c r="I31" s="86">
        <f>VLOOKUP($A31,'Data shares'!$C:$FA,92)</f>
        <v>7189650</v>
      </c>
      <c r="J31" s="87">
        <f>VLOOKUP($A31,'Data shares'!$C:$FA,93)</f>
        <v>0.36330000000000001</v>
      </c>
      <c r="K31" s="86">
        <f>VLOOKUP($A31,'Data shares'!$C:$FA,94)</f>
        <v>24502725</v>
      </c>
      <c r="L31" s="86">
        <f>VLOOKUP($A31,'Data shares'!$C:$FA,96)</f>
        <v>2939625</v>
      </c>
      <c r="M31" s="87">
        <f>VLOOKUP($A31,'Data shares'!$C:$FA,97)</f>
        <v>0.1363</v>
      </c>
      <c r="N31" s="86">
        <f>VLOOKUP($A31,'Data shares'!$C:$FA,78)</f>
        <v>81777150</v>
      </c>
      <c r="O31" s="87">
        <f>VLOOKUP($A31,'Data shares'!$C:$FA,81)</f>
        <v>2.0500000000000001E-2</v>
      </c>
    </row>
    <row r="32" spans="1:15" x14ac:dyDescent="0.25">
      <c r="A32" s="100" t="str">
        <f>'OI(Value)'!A32</f>
        <v>BANKINDIA</v>
      </c>
      <c r="B32" s="82">
        <f>VLOOKUP(A32,'Data shares'!$C$2:$CV$215,98,0)</f>
        <v>71957600</v>
      </c>
      <c r="C32" s="82">
        <f>VLOOKUP(A32,'Data shares'!$C$2:$CX$215,100,0)</f>
        <v>816400</v>
      </c>
      <c r="D32" s="141">
        <f>VLOOKUP(A32,'Data shares'!$C$2:$CY$538,101,0)</f>
        <v>1.15E-2</v>
      </c>
      <c r="E32" s="86">
        <f>VLOOKUP($A32,'Data shares'!$C:$FA,74)</f>
        <v>52202800</v>
      </c>
      <c r="F32" s="86">
        <f>VLOOKUP($A32,'Data shares'!$C:$FA,76)</f>
        <v>-691600</v>
      </c>
      <c r="G32" s="87">
        <f>VLOOKUP(A32,'Data shares'!$C$2:$CA$215,77,0)</f>
        <v>-1.3100000000000001E-2</v>
      </c>
      <c r="H32" s="86">
        <f>VLOOKUP($A32,'Data shares'!$C:$FA,90)</f>
        <v>8918000</v>
      </c>
      <c r="I32" s="86">
        <f>VLOOKUP($A32,'Data shares'!$C:$FA,92)</f>
        <v>41600</v>
      </c>
      <c r="J32" s="87">
        <f>VLOOKUP($A32,'Data shares'!$C:$FA,93)</f>
        <v>4.7000000000000002E-3</v>
      </c>
      <c r="K32" s="86">
        <f>VLOOKUP($A32,'Data shares'!$C:$FA,94)</f>
        <v>10836800</v>
      </c>
      <c r="L32" s="86">
        <f>VLOOKUP($A32,'Data shares'!$C:$FA,96)</f>
        <v>1466400</v>
      </c>
      <c r="M32" s="87">
        <f>VLOOKUP($A32,'Data shares'!$C:$FA,97)</f>
        <v>0.1565</v>
      </c>
      <c r="N32" s="86">
        <f>VLOOKUP($A32,'Data shares'!$C:$FA,78)</f>
        <v>51272000</v>
      </c>
      <c r="O32" s="87">
        <f>VLOOKUP($A32,'Data shares'!$C:$FA,81)</f>
        <v>-1.6400000000000001E-2</v>
      </c>
    </row>
    <row r="33" spans="1:15" x14ac:dyDescent="0.25">
      <c r="A33" s="100" t="str">
        <f>'OI(Value)'!A33</f>
        <v>BANKNIFTY</v>
      </c>
      <c r="B33" s="82">
        <f>VLOOKUP(A33,'Data shares'!$C$2:$CV$215,98,0)</f>
        <v>23044375</v>
      </c>
      <c r="C33" s="82">
        <f>VLOOKUP(A33,'Data shares'!$C$2:$CX$215,100,0)</f>
        <v>1729050</v>
      </c>
      <c r="D33" s="141">
        <f>VLOOKUP(A33,'Data shares'!$C$2:$CY$538,101,0)</f>
        <v>8.1100000000000005E-2</v>
      </c>
      <c r="E33" s="86">
        <f>VLOOKUP($A33,'Data shares'!$C:$FA,74)</f>
        <v>1419720</v>
      </c>
      <c r="F33" s="86">
        <f>VLOOKUP($A33,'Data shares'!$C:$FA,76)</f>
        <v>74280</v>
      </c>
      <c r="G33" s="87">
        <f>VLOOKUP(A33,'Data shares'!$C$2:$CA$215,77,0)</f>
        <v>5.5199999999999999E-2</v>
      </c>
      <c r="H33" s="86">
        <f>VLOOKUP($A33,'Data shares'!$C:$FA,90)</f>
        <v>10119080</v>
      </c>
      <c r="I33" s="86">
        <f>VLOOKUP($A33,'Data shares'!$C:$FA,92)</f>
        <v>753110</v>
      </c>
      <c r="J33" s="87">
        <f>VLOOKUP($A33,'Data shares'!$C:$FA,93)</f>
        <v>8.0399999999999999E-2</v>
      </c>
      <c r="K33" s="86">
        <f>VLOOKUP($A33,'Data shares'!$C:$FA,94)</f>
        <v>11505575</v>
      </c>
      <c r="L33" s="86">
        <f>VLOOKUP($A33,'Data shares'!$C:$FA,96)</f>
        <v>901660</v>
      </c>
      <c r="M33" s="87">
        <f>VLOOKUP($A33,'Data shares'!$C:$FA,97)</f>
        <v>8.5000000000000006E-2</v>
      </c>
      <c r="N33" s="86">
        <f>VLOOKUP($A33,'Data shares'!$C:$FA,78)</f>
        <v>1317210</v>
      </c>
      <c r="O33" s="87">
        <f>VLOOKUP($A33,'Data shares'!$C:$FA,81)</f>
        <v>5.5500000000000001E-2</v>
      </c>
    </row>
    <row r="34" spans="1:15" x14ac:dyDescent="0.25">
      <c r="A34" s="100" t="str">
        <f>'OI(Value)'!A34</f>
        <v>BDL</v>
      </c>
      <c r="B34" s="82">
        <f>VLOOKUP(A34,'Data shares'!$C$2:$CV$215,98,0)</f>
        <v>10358250</v>
      </c>
      <c r="C34" s="82">
        <f>VLOOKUP(A34,'Data shares'!$C$2:$CX$215,100,0)</f>
        <v>96600</v>
      </c>
      <c r="D34" s="141">
        <f>VLOOKUP(A34,'Data shares'!$C$2:$CY$538,101,0)</f>
        <v>9.4000000000000004E-3</v>
      </c>
      <c r="E34" s="86">
        <f>VLOOKUP($A34,'Data shares'!$C:$FA,74)</f>
        <v>5236350</v>
      </c>
      <c r="F34" s="86">
        <f>VLOOKUP($A34,'Data shares'!$C:$FA,76)</f>
        <v>-68950</v>
      </c>
      <c r="G34" s="87">
        <f>VLOOKUP(A34,'Data shares'!$C$2:$CA$215,77,0)</f>
        <v>-1.2999999999999999E-2</v>
      </c>
      <c r="H34" s="86">
        <f>VLOOKUP($A34,'Data shares'!$C:$FA,90)</f>
        <v>2696750</v>
      </c>
      <c r="I34" s="86">
        <f>VLOOKUP($A34,'Data shares'!$C:$FA,92)</f>
        <v>107800</v>
      </c>
      <c r="J34" s="87">
        <f>VLOOKUP($A34,'Data shares'!$C:$FA,93)</f>
        <v>4.1599999999999998E-2</v>
      </c>
      <c r="K34" s="86">
        <f>VLOOKUP($A34,'Data shares'!$C:$FA,94)</f>
        <v>2425150</v>
      </c>
      <c r="L34" s="86">
        <f>VLOOKUP($A34,'Data shares'!$C:$FA,96)</f>
        <v>57750</v>
      </c>
      <c r="M34" s="87">
        <f>VLOOKUP($A34,'Data shares'!$C:$FA,97)</f>
        <v>2.4400000000000002E-2</v>
      </c>
      <c r="N34" s="86">
        <f>VLOOKUP($A34,'Data shares'!$C:$FA,78)</f>
        <v>4854150</v>
      </c>
      <c r="O34" s="87">
        <f>VLOOKUP($A34,'Data shares'!$C:$FA,81)</f>
        <v>-1.4500000000000001E-2</v>
      </c>
    </row>
    <row r="35" spans="1:15" x14ac:dyDescent="0.25">
      <c r="A35" s="100" t="str">
        <f>'OI(Value)'!A35</f>
        <v>BEL</v>
      </c>
      <c r="B35" s="82">
        <f>VLOOKUP(A35,'Data shares'!$C$2:$CV$215,98,0)</f>
        <v>194035125</v>
      </c>
      <c r="C35" s="82">
        <f>VLOOKUP(A35,'Data shares'!$C$2:$CX$215,100,0)</f>
        <v>2629125</v>
      </c>
      <c r="D35" s="141">
        <f>VLOOKUP(A35,'Data shares'!$C$2:$CY$538,101,0)</f>
        <v>1.37E-2</v>
      </c>
      <c r="E35" s="86">
        <f>VLOOKUP($A35,'Data shares'!$C:$FA,74)</f>
        <v>123735600</v>
      </c>
      <c r="F35" s="86">
        <f>VLOOKUP($A35,'Data shares'!$C:$FA,76)</f>
        <v>632700</v>
      </c>
      <c r="G35" s="87">
        <f>VLOOKUP(A35,'Data shares'!$C$2:$CA$215,77,0)</f>
        <v>5.1000000000000004E-3</v>
      </c>
      <c r="H35" s="86">
        <f>VLOOKUP($A35,'Data shares'!$C:$FA,90)</f>
        <v>41759625</v>
      </c>
      <c r="I35" s="86">
        <f>VLOOKUP($A35,'Data shares'!$C:$FA,92)</f>
        <v>1553250</v>
      </c>
      <c r="J35" s="87">
        <f>VLOOKUP($A35,'Data shares'!$C:$FA,93)</f>
        <v>3.8600000000000002E-2</v>
      </c>
      <c r="K35" s="86">
        <f>VLOOKUP($A35,'Data shares'!$C:$FA,94)</f>
        <v>28539900</v>
      </c>
      <c r="L35" s="86">
        <f>VLOOKUP($A35,'Data shares'!$C:$FA,96)</f>
        <v>443175</v>
      </c>
      <c r="M35" s="87">
        <f>VLOOKUP($A35,'Data shares'!$C:$FA,97)</f>
        <v>1.5800000000000002E-2</v>
      </c>
      <c r="N35" s="86">
        <f>VLOOKUP($A35,'Data shares'!$C:$FA,78)</f>
        <v>118845000</v>
      </c>
      <c r="O35" s="87">
        <f>VLOOKUP($A35,'Data shares'!$C:$FA,81)</f>
        <v>2.8999999999999998E-3</v>
      </c>
    </row>
    <row r="36" spans="1:15" x14ac:dyDescent="0.25">
      <c r="A36" s="100" t="str">
        <f>'OI(Value)'!A36</f>
        <v>BHARATFORG</v>
      </c>
      <c r="B36" s="82">
        <f>VLOOKUP(A36,'Data shares'!$C$2:$CV$215,98,0)</f>
        <v>12681000</v>
      </c>
      <c r="C36" s="82">
        <f>VLOOKUP(A36,'Data shares'!$C$2:$CX$215,100,0)</f>
        <v>397000</v>
      </c>
      <c r="D36" s="141">
        <f>VLOOKUP(A36,'Data shares'!$C$2:$CY$538,101,0)</f>
        <v>3.2300000000000002E-2</v>
      </c>
      <c r="E36" s="86">
        <f>VLOOKUP($A36,'Data shares'!$C:$FA,74)</f>
        <v>8365000</v>
      </c>
      <c r="F36" s="86">
        <f>VLOOKUP($A36,'Data shares'!$C:$FA,76)</f>
        <v>266500</v>
      </c>
      <c r="G36" s="87">
        <f>VLOOKUP(A36,'Data shares'!$C$2:$CA$215,77,0)</f>
        <v>3.2899999999999999E-2</v>
      </c>
      <c r="H36" s="86">
        <f>VLOOKUP($A36,'Data shares'!$C:$FA,90)</f>
        <v>2725000</v>
      </c>
      <c r="I36" s="86">
        <f>VLOOKUP($A36,'Data shares'!$C:$FA,92)</f>
        <v>40000</v>
      </c>
      <c r="J36" s="87">
        <f>VLOOKUP($A36,'Data shares'!$C:$FA,93)</f>
        <v>1.49E-2</v>
      </c>
      <c r="K36" s="86">
        <f>VLOOKUP($A36,'Data shares'!$C:$FA,94)</f>
        <v>1591000</v>
      </c>
      <c r="L36" s="86">
        <f>VLOOKUP($A36,'Data shares'!$C:$FA,96)</f>
        <v>90500</v>
      </c>
      <c r="M36" s="87">
        <f>VLOOKUP($A36,'Data shares'!$C:$FA,97)</f>
        <v>6.0299999999999999E-2</v>
      </c>
      <c r="N36" s="86">
        <f>VLOOKUP($A36,'Data shares'!$C:$FA,78)</f>
        <v>8230500</v>
      </c>
      <c r="O36" s="87">
        <f>VLOOKUP($A36,'Data shares'!$C:$FA,81)</f>
        <v>3.32E-2</v>
      </c>
    </row>
    <row r="37" spans="1:15" x14ac:dyDescent="0.25">
      <c r="A37" s="100" t="str">
        <f>'OI(Value)'!A37</f>
        <v>BHARTIARTL</v>
      </c>
      <c r="B37" s="82">
        <f>VLOOKUP(A37,'Data shares'!$C$2:$CV$215,98,0)</f>
        <v>59259575</v>
      </c>
      <c r="C37" s="82">
        <f>VLOOKUP(A37,'Data shares'!$C$2:$CX$215,100,0)</f>
        <v>1314325</v>
      </c>
      <c r="D37" s="141">
        <f>VLOOKUP(A37,'Data shares'!$C$2:$CY$538,101,0)</f>
        <v>2.2700000000000001E-2</v>
      </c>
      <c r="E37" s="86">
        <f>VLOOKUP($A37,'Data shares'!$C:$FA,74)</f>
        <v>48456650</v>
      </c>
      <c r="F37" s="86">
        <f>VLOOKUP($A37,'Data shares'!$C:$FA,76)</f>
        <v>194750</v>
      </c>
      <c r="G37" s="87">
        <f>VLOOKUP(A37,'Data shares'!$C$2:$CA$215,77,0)</f>
        <v>4.0000000000000001E-3</v>
      </c>
      <c r="H37" s="86">
        <f>VLOOKUP($A37,'Data shares'!$C:$FA,90)</f>
        <v>6517475</v>
      </c>
      <c r="I37" s="86">
        <f>VLOOKUP($A37,'Data shares'!$C:$FA,92)</f>
        <v>661675</v>
      </c>
      <c r="J37" s="87">
        <f>VLOOKUP($A37,'Data shares'!$C:$FA,93)</f>
        <v>0.113</v>
      </c>
      <c r="K37" s="86">
        <f>VLOOKUP($A37,'Data shares'!$C:$FA,94)</f>
        <v>4285450</v>
      </c>
      <c r="L37" s="86">
        <f>VLOOKUP($A37,'Data shares'!$C:$FA,96)</f>
        <v>457900</v>
      </c>
      <c r="M37" s="87">
        <f>VLOOKUP($A37,'Data shares'!$C:$FA,97)</f>
        <v>0.1196</v>
      </c>
      <c r="N37" s="86">
        <f>VLOOKUP($A37,'Data shares'!$C:$FA,78)</f>
        <v>46449300</v>
      </c>
      <c r="O37" s="87">
        <f>VLOOKUP($A37,'Data shares'!$C:$FA,81)</f>
        <v>3.3E-3</v>
      </c>
    </row>
    <row r="38" spans="1:15" x14ac:dyDescent="0.25">
      <c r="A38" s="100" t="str">
        <f>'OI(Value)'!A38</f>
        <v>BHEL</v>
      </c>
      <c r="B38" s="82">
        <f>VLOOKUP(A38,'Data shares'!$C$2:$CV$215,98,0)</f>
        <v>115683750</v>
      </c>
      <c r="C38" s="82">
        <f>VLOOKUP(A38,'Data shares'!$C$2:$CX$215,100,0)</f>
        <v>6000750</v>
      </c>
      <c r="D38" s="141">
        <f>VLOOKUP(A38,'Data shares'!$C$2:$CY$538,101,0)</f>
        <v>5.4699999999999999E-2</v>
      </c>
      <c r="E38" s="86">
        <f>VLOOKUP($A38,'Data shares'!$C:$FA,74)</f>
        <v>68331375</v>
      </c>
      <c r="F38" s="86">
        <f>VLOOKUP($A38,'Data shares'!$C:$FA,76)</f>
        <v>1548750</v>
      </c>
      <c r="G38" s="87">
        <f>VLOOKUP(A38,'Data shares'!$C$2:$CA$215,77,0)</f>
        <v>2.3199999999999998E-2</v>
      </c>
      <c r="H38" s="86">
        <f>VLOOKUP($A38,'Data shares'!$C:$FA,90)</f>
        <v>29904000</v>
      </c>
      <c r="I38" s="86">
        <f>VLOOKUP($A38,'Data shares'!$C:$FA,92)</f>
        <v>2021250</v>
      </c>
      <c r="J38" s="87">
        <f>VLOOKUP($A38,'Data shares'!$C:$FA,93)</f>
        <v>7.2499999999999995E-2</v>
      </c>
      <c r="K38" s="86">
        <f>VLOOKUP($A38,'Data shares'!$C:$FA,94)</f>
        <v>17448375</v>
      </c>
      <c r="L38" s="86">
        <f>VLOOKUP($A38,'Data shares'!$C:$FA,96)</f>
        <v>2430750</v>
      </c>
      <c r="M38" s="87">
        <f>VLOOKUP($A38,'Data shares'!$C:$FA,97)</f>
        <v>0.16189999999999999</v>
      </c>
      <c r="N38" s="86">
        <f>VLOOKUP($A38,'Data shares'!$C:$FA,78)</f>
        <v>66780000</v>
      </c>
      <c r="O38" s="87">
        <f>VLOOKUP($A38,'Data shares'!$C:$FA,81)</f>
        <v>2.2499999999999999E-2</v>
      </c>
    </row>
    <row r="39" spans="1:15" x14ac:dyDescent="0.25">
      <c r="A39" s="100" t="str">
        <f>'OI(Value)'!A39</f>
        <v>BIOCON</v>
      </c>
      <c r="B39" s="82">
        <f>VLOOKUP(A39,'Data shares'!$C$2:$CV$215,98,0)</f>
        <v>65297500</v>
      </c>
      <c r="C39" s="82">
        <f>VLOOKUP(A39,'Data shares'!$C$2:$CX$215,100,0)</f>
        <v>2095000</v>
      </c>
      <c r="D39" s="141">
        <f>VLOOKUP(A39,'Data shares'!$C$2:$CY$538,101,0)</f>
        <v>3.3099999999999997E-2</v>
      </c>
      <c r="E39" s="86">
        <f>VLOOKUP($A39,'Data shares'!$C:$FA,74)</f>
        <v>45000000</v>
      </c>
      <c r="F39" s="86">
        <f>VLOOKUP($A39,'Data shares'!$C:$FA,76)</f>
        <v>315000</v>
      </c>
      <c r="G39" s="87">
        <f>VLOOKUP(A39,'Data shares'!$C$2:$CA$215,77,0)</f>
        <v>7.0000000000000001E-3</v>
      </c>
      <c r="H39" s="86">
        <f>VLOOKUP($A39,'Data shares'!$C:$FA,90)</f>
        <v>12312500</v>
      </c>
      <c r="I39" s="86">
        <f>VLOOKUP($A39,'Data shares'!$C:$FA,92)</f>
        <v>1077500</v>
      </c>
      <c r="J39" s="87">
        <f>VLOOKUP($A39,'Data shares'!$C:$FA,93)</f>
        <v>9.5899999999999999E-2</v>
      </c>
      <c r="K39" s="86">
        <f>VLOOKUP($A39,'Data shares'!$C:$FA,94)</f>
        <v>7985000</v>
      </c>
      <c r="L39" s="86">
        <f>VLOOKUP($A39,'Data shares'!$C:$FA,96)</f>
        <v>702500</v>
      </c>
      <c r="M39" s="87">
        <f>VLOOKUP($A39,'Data shares'!$C:$FA,97)</f>
        <v>9.6500000000000002E-2</v>
      </c>
      <c r="N39" s="86">
        <f>VLOOKUP($A39,'Data shares'!$C:$FA,78)</f>
        <v>44287500</v>
      </c>
      <c r="O39" s="87">
        <f>VLOOKUP($A39,'Data shares'!$C:$FA,81)</f>
        <v>3.5999999999999999E-3</v>
      </c>
    </row>
    <row r="40" spans="1:15" x14ac:dyDescent="0.25">
      <c r="A40" s="100" t="str">
        <f>'OI(Value)'!A40</f>
        <v>BLUESTARCO</v>
      </c>
      <c r="B40" s="82">
        <f>VLOOKUP(A40,'Data shares'!$C$2:$CV$215,98,0)</f>
        <v>2826525</v>
      </c>
      <c r="C40" s="82">
        <f>VLOOKUP(A40,'Data shares'!$C$2:$CX$215,100,0)</f>
        <v>192075</v>
      </c>
      <c r="D40" s="141">
        <f>VLOOKUP(A40,'Data shares'!$C$2:$CY$538,101,0)</f>
        <v>7.2900000000000006E-2</v>
      </c>
      <c r="E40" s="86">
        <f>VLOOKUP($A40,'Data shares'!$C:$FA,74)</f>
        <v>2422875</v>
      </c>
      <c r="F40" s="86">
        <f>VLOOKUP($A40,'Data shares'!$C:$FA,76)</f>
        <v>90350</v>
      </c>
      <c r="G40" s="87">
        <f>VLOOKUP(A40,'Data shares'!$C$2:$CA$215,77,0)</f>
        <v>3.8699999999999998E-2</v>
      </c>
      <c r="H40" s="86">
        <f>VLOOKUP($A40,'Data shares'!$C:$FA,90)</f>
        <v>204100</v>
      </c>
      <c r="I40" s="86">
        <f>VLOOKUP($A40,'Data shares'!$C:$FA,92)</f>
        <v>41925</v>
      </c>
      <c r="J40" s="87">
        <f>VLOOKUP($A40,'Data shares'!$C:$FA,93)</f>
        <v>0.25850000000000001</v>
      </c>
      <c r="K40" s="86">
        <f>VLOOKUP($A40,'Data shares'!$C:$FA,94)</f>
        <v>199550</v>
      </c>
      <c r="L40" s="86">
        <f>VLOOKUP($A40,'Data shares'!$C:$FA,96)</f>
        <v>59800</v>
      </c>
      <c r="M40" s="87">
        <f>VLOOKUP($A40,'Data shares'!$C:$FA,97)</f>
        <v>0.4279</v>
      </c>
      <c r="N40" s="86">
        <f>VLOOKUP($A40,'Data shares'!$C:$FA,78)</f>
        <v>2405650</v>
      </c>
      <c r="O40" s="87">
        <f>VLOOKUP($A40,'Data shares'!$C:$FA,81)</f>
        <v>3.8399999999999997E-2</v>
      </c>
    </row>
    <row r="41" spans="1:15" x14ac:dyDescent="0.25">
      <c r="A41" s="100" t="str">
        <f>'OI(Value)'!A41</f>
        <v>BOSCHLTD</v>
      </c>
      <c r="B41" s="82">
        <f>VLOOKUP(A41,'Data shares'!$C$2:$CV$215,98,0)</f>
        <v>257825</v>
      </c>
      <c r="C41" s="82">
        <f>VLOOKUP(A41,'Data shares'!$C$2:$CX$215,100,0)</f>
        <v>14250</v>
      </c>
      <c r="D41" s="141">
        <f>VLOOKUP(A41,'Data shares'!$C$2:$CY$538,101,0)</f>
        <v>5.8500000000000003E-2</v>
      </c>
      <c r="E41" s="86">
        <f>VLOOKUP($A41,'Data shares'!$C:$FA,74)</f>
        <v>192575</v>
      </c>
      <c r="F41" s="86">
        <f>VLOOKUP($A41,'Data shares'!$C:$FA,76)</f>
        <v>550</v>
      </c>
      <c r="G41" s="87">
        <f>VLOOKUP(A41,'Data shares'!$C$2:$CA$215,77,0)</f>
        <v>2.8999999999999998E-3</v>
      </c>
      <c r="H41" s="86">
        <f>VLOOKUP($A41,'Data shares'!$C:$FA,90)</f>
        <v>31100</v>
      </c>
      <c r="I41" s="86">
        <f>VLOOKUP($A41,'Data shares'!$C:$FA,92)</f>
        <v>4775</v>
      </c>
      <c r="J41" s="87">
        <f>VLOOKUP($A41,'Data shares'!$C:$FA,93)</f>
        <v>0.18140000000000001</v>
      </c>
      <c r="K41" s="86">
        <f>VLOOKUP($A41,'Data shares'!$C:$FA,94)</f>
        <v>34150</v>
      </c>
      <c r="L41" s="86">
        <f>VLOOKUP($A41,'Data shares'!$C:$FA,96)</f>
        <v>8925</v>
      </c>
      <c r="M41" s="87">
        <f>VLOOKUP($A41,'Data shares'!$C:$FA,97)</f>
        <v>0.3538</v>
      </c>
      <c r="N41" s="86">
        <f>VLOOKUP($A41,'Data shares'!$C:$FA,78)</f>
        <v>190250</v>
      </c>
      <c r="O41" s="87">
        <f>VLOOKUP($A41,'Data shares'!$C:$FA,81)</f>
        <v>2.2000000000000001E-3</v>
      </c>
    </row>
    <row r="42" spans="1:15" x14ac:dyDescent="0.25">
      <c r="A42" s="100" t="str">
        <f>'OI(Value)'!A42</f>
        <v>BPCL</v>
      </c>
      <c r="B42" s="82">
        <f>VLOOKUP(A42,'Data shares'!$C$2:$CV$215,98,0)</f>
        <v>45107025</v>
      </c>
      <c r="C42" s="82">
        <f>VLOOKUP(A42,'Data shares'!$C$2:$CX$215,100,0)</f>
        <v>2474675</v>
      </c>
      <c r="D42" s="141">
        <f>VLOOKUP(A42,'Data shares'!$C$2:$CY$538,101,0)</f>
        <v>5.8000000000000003E-2</v>
      </c>
      <c r="E42" s="86">
        <f>VLOOKUP($A42,'Data shares'!$C:$FA,74)</f>
        <v>27608525</v>
      </c>
      <c r="F42" s="86">
        <f>VLOOKUP($A42,'Data shares'!$C:$FA,76)</f>
        <v>997375</v>
      </c>
      <c r="G42" s="87">
        <f>VLOOKUP(A42,'Data shares'!$C$2:$CA$215,77,0)</f>
        <v>3.7499999999999999E-2</v>
      </c>
      <c r="H42" s="86">
        <f>VLOOKUP($A42,'Data shares'!$C:$FA,90)</f>
        <v>10552425</v>
      </c>
      <c r="I42" s="86">
        <f>VLOOKUP($A42,'Data shares'!$C:$FA,92)</f>
        <v>1631350</v>
      </c>
      <c r="J42" s="87">
        <f>VLOOKUP($A42,'Data shares'!$C:$FA,93)</f>
        <v>0.18290000000000001</v>
      </c>
      <c r="K42" s="86">
        <f>VLOOKUP($A42,'Data shares'!$C:$FA,94)</f>
        <v>6946075</v>
      </c>
      <c r="L42" s="86">
        <f>VLOOKUP($A42,'Data shares'!$C:$FA,96)</f>
        <v>-154050</v>
      </c>
      <c r="M42" s="87">
        <f>VLOOKUP($A42,'Data shares'!$C:$FA,97)</f>
        <v>-2.1700000000000001E-2</v>
      </c>
      <c r="N42" s="86">
        <f>VLOOKUP($A42,'Data shares'!$C:$FA,78)</f>
        <v>26540050</v>
      </c>
      <c r="O42" s="87">
        <f>VLOOKUP($A42,'Data shares'!$C:$FA,81)</f>
        <v>3.3399999999999999E-2</v>
      </c>
    </row>
    <row r="43" spans="1:15" x14ac:dyDescent="0.25">
      <c r="A43" s="100" t="str">
        <f>'OI(Value)'!A43</f>
        <v>BRITANNIA</v>
      </c>
      <c r="B43" s="82">
        <f>VLOOKUP(A43,'Data shares'!$C$2:$CV$215,98,0)</f>
        <v>3503125</v>
      </c>
      <c r="C43" s="82">
        <f>VLOOKUP(A43,'Data shares'!$C$2:$CX$215,100,0)</f>
        <v>219625</v>
      </c>
      <c r="D43" s="141">
        <f>VLOOKUP(A43,'Data shares'!$C$2:$CY$538,101,0)</f>
        <v>6.6900000000000001E-2</v>
      </c>
      <c r="E43" s="86">
        <f>VLOOKUP($A43,'Data shares'!$C:$FA,74)</f>
        <v>2865875</v>
      </c>
      <c r="F43" s="86">
        <f>VLOOKUP($A43,'Data shares'!$C:$FA,76)</f>
        <v>18000</v>
      </c>
      <c r="G43" s="87">
        <f>VLOOKUP(A43,'Data shares'!$C$2:$CA$215,77,0)</f>
        <v>6.3E-3</v>
      </c>
      <c r="H43" s="86">
        <f>VLOOKUP($A43,'Data shares'!$C:$FA,90)</f>
        <v>443750</v>
      </c>
      <c r="I43" s="86">
        <f>VLOOKUP($A43,'Data shares'!$C:$FA,92)</f>
        <v>155125</v>
      </c>
      <c r="J43" s="87">
        <f>VLOOKUP($A43,'Data shares'!$C:$FA,93)</f>
        <v>0.53749999999999998</v>
      </c>
      <c r="K43" s="86">
        <f>VLOOKUP($A43,'Data shares'!$C:$FA,94)</f>
        <v>193500</v>
      </c>
      <c r="L43" s="86">
        <f>VLOOKUP($A43,'Data shares'!$C:$FA,96)</f>
        <v>46500</v>
      </c>
      <c r="M43" s="87">
        <f>VLOOKUP($A43,'Data shares'!$C:$FA,97)</f>
        <v>0.31630000000000003</v>
      </c>
      <c r="N43" s="86">
        <f>VLOOKUP($A43,'Data shares'!$C:$FA,78)</f>
        <v>2855625</v>
      </c>
      <c r="O43" s="87">
        <f>VLOOKUP($A43,'Data shares'!$C:$FA,81)</f>
        <v>6.3E-3</v>
      </c>
    </row>
    <row r="44" spans="1:15" x14ac:dyDescent="0.25">
      <c r="A44" s="100" t="str">
        <f>'OI(Value)'!A44</f>
        <v>BSE</v>
      </c>
      <c r="B44" s="82">
        <f>VLOOKUP(A44,'Data shares'!$C$2:$CV$215,98,0)</f>
        <v>23062125</v>
      </c>
      <c r="C44" s="82">
        <f>VLOOKUP(A44,'Data shares'!$C$2:$CX$215,100,0)</f>
        <v>750750</v>
      </c>
      <c r="D44" s="141">
        <f>VLOOKUP(A44,'Data shares'!$C$2:$CY$538,101,0)</f>
        <v>3.3599999999999998E-2</v>
      </c>
      <c r="E44" s="86">
        <f>VLOOKUP($A44,'Data shares'!$C:$FA,74)</f>
        <v>12046125</v>
      </c>
      <c r="F44" s="86">
        <f>VLOOKUP($A44,'Data shares'!$C:$FA,76)</f>
        <v>123375</v>
      </c>
      <c r="G44" s="87">
        <f>VLOOKUP(A44,'Data shares'!$C$2:$CA$215,77,0)</f>
        <v>1.03E-2</v>
      </c>
      <c r="H44" s="86">
        <f>VLOOKUP($A44,'Data shares'!$C:$FA,90)</f>
        <v>6651750</v>
      </c>
      <c r="I44" s="86">
        <f>VLOOKUP($A44,'Data shares'!$C:$FA,92)</f>
        <v>479250</v>
      </c>
      <c r="J44" s="87">
        <f>VLOOKUP($A44,'Data shares'!$C:$FA,93)</f>
        <v>7.7600000000000002E-2</v>
      </c>
      <c r="K44" s="86">
        <f>VLOOKUP($A44,'Data shares'!$C:$FA,94)</f>
        <v>4364250</v>
      </c>
      <c r="L44" s="86">
        <f>VLOOKUP($A44,'Data shares'!$C:$FA,96)</f>
        <v>148125</v>
      </c>
      <c r="M44" s="87">
        <f>VLOOKUP($A44,'Data shares'!$C:$FA,97)</f>
        <v>3.5099999999999999E-2</v>
      </c>
      <c r="N44" s="86">
        <f>VLOOKUP($A44,'Data shares'!$C:$FA,78)</f>
        <v>11524500</v>
      </c>
      <c r="O44" s="87">
        <f>VLOOKUP($A44,'Data shares'!$C:$FA,81)</f>
        <v>0.01</v>
      </c>
    </row>
    <row r="45" spans="1:15" x14ac:dyDescent="0.25">
      <c r="A45" s="100" t="str">
        <f>'OI(Value)'!A45</f>
        <v>CAMS</v>
      </c>
      <c r="B45" s="82">
        <f>VLOOKUP(A45,'Data shares'!$C$2:$CV$215,98,0)</f>
        <v>12054000</v>
      </c>
      <c r="C45" s="82">
        <f>VLOOKUP(A45,'Data shares'!$C$2:$CX$215,100,0)</f>
        <v>180750</v>
      </c>
      <c r="D45" s="141">
        <f>VLOOKUP(A45,'Data shares'!$C$2:$CY$538,101,0)</f>
        <v>1.52E-2</v>
      </c>
      <c r="E45" s="86">
        <f>VLOOKUP($A45,'Data shares'!$C:$FA,74)</f>
        <v>7763250</v>
      </c>
      <c r="F45" s="86">
        <f>VLOOKUP($A45,'Data shares'!$C:$FA,76)</f>
        <v>-21000</v>
      </c>
      <c r="G45" s="87">
        <f>VLOOKUP(A45,'Data shares'!$C$2:$CA$215,77,0)</f>
        <v>-2.7000000000000001E-3</v>
      </c>
      <c r="H45" s="86">
        <f>VLOOKUP($A45,'Data shares'!$C:$FA,90)</f>
        <v>2170500</v>
      </c>
      <c r="I45" s="86">
        <f>VLOOKUP($A45,'Data shares'!$C:$FA,92)</f>
        <v>120750</v>
      </c>
      <c r="J45" s="87">
        <f>VLOOKUP($A45,'Data shares'!$C:$FA,93)</f>
        <v>5.8900000000000001E-2</v>
      </c>
      <c r="K45" s="86">
        <f>VLOOKUP($A45,'Data shares'!$C:$FA,94)</f>
        <v>2120250</v>
      </c>
      <c r="L45" s="86">
        <f>VLOOKUP($A45,'Data shares'!$C:$FA,96)</f>
        <v>81000</v>
      </c>
      <c r="M45" s="87">
        <f>VLOOKUP($A45,'Data shares'!$C:$FA,97)</f>
        <v>3.9699999999999999E-2</v>
      </c>
      <c r="N45" s="86">
        <f>VLOOKUP($A45,'Data shares'!$C:$FA,78)</f>
        <v>7354500</v>
      </c>
      <c r="O45" s="87">
        <f>VLOOKUP($A45,'Data shares'!$C:$FA,81)</f>
        <v>-7.1000000000000004E-3</v>
      </c>
    </row>
    <row r="46" spans="1:15" x14ac:dyDescent="0.25">
      <c r="A46" s="100" t="str">
        <f>'OI(Value)'!A46</f>
        <v>CANBK</v>
      </c>
      <c r="B46" s="82">
        <f>VLOOKUP(A46,'Data shares'!$C$2:$CV$215,98,0)</f>
        <v>273489750</v>
      </c>
      <c r="C46" s="82">
        <f>VLOOKUP(A46,'Data shares'!$C$2:$CX$215,100,0)</f>
        <v>18913500</v>
      </c>
      <c r="D46" s="141">
        <f>VLOOKUP(A46,'Data shares'!$C$2:$CY$538,101,0)</f>
        <v>7.4300000000000005E-2</v>
      </c>
      <c r="E46" s="86">
        <f>VLOOKUP($A46,'Data shares'!$C:$FA,74)</f>
        <v>145867500</v>
      </c>
      <c r="F46" s="86">
        <f>VLOOKUP($A46,'Data shares'!$C:$FA,76)</f>
        <v>9261000</v>
      </c>
      <c r="G46" s="87">
        <f>VLOOKUP(A46,'Data shares'!$C$2:$CA$215,77,0)</f>
        <v>6.7799999999999999E-2</v>
      </c>
      <c r="H46" s="86">
        <f>VLOOKUP($A46,'Data shares'!$C:$FA,90)</f>
        <v>67014000</v>
      </c>
      <c r="I46" s="86">
        <f>VLOOKUP($A46,'Data shares'!$C:$FA,92)</f>
        <v>6540750</v>
      </c>
      <c r="J46" s="87">
        <f>VLOOKUP($A46,'Data shares'!$C:$FA,93)</f>
        <v>0.1082</v>
      </c>
      <c r="K46" s="86">
        <f>VLOOKUP($A46,'Data shares'!$C:$FA,94)</f>
        <v>60608250</v>
      </c>
      <c r="L46" s="86">
        <f>VLOOKUP($A46,'Data shares'!$C:$FA,96)</f>
        <v>3111750</v>
      </c>
      <c r="M46" s="87">
        <f>VLOOKUP($A46,'Data shares'!$C:$FA,97)</f>
        <v>5.4100000000000002E-2</v>
      </c>
      <c r="N46" s="86">
        <f>VLOOKUP($A46,'Data shares'!$C:$FA,78)</f>
        <v>139941000</v>
      </c>
      <c r="O46" s="87">
        <f>VLOOKUP($A46,'Data shares'!$C:$FA,81)</f>
        <v>6.1699999999999998E-2</v>
      </c>
    </row>
    <row r="47" spans="1:15" x14ac:dyDescent="0.25">
      <c r="A47" s="100" t="str">
        <f>'OI(Value)'!A47</f>
        <v>CDSL</v>
      </c>
      <c r="B47" s="82">
        <f>VLOOKUP(A47,'Data shares'!$C$2:$CV$215,98,0)</f>
        <v>19568575</v>
      </c>
      <c r="C47" s="82">
        <f>VLOOKUP(A47,'Data shares'!$C$2:$CX$215,100,0)</f>
        <v>462650</v>
      </c>
      <c r="D47" s="141">
        <f>VLOOKUP(A47,'Data shares'!$C$2:$CY$538,101,0)</f>
        <v>2.4199999999999999E-2</v>
      </c>
      <c r="E47" s="86">
        <f>VLOOKUP($A47,'Data shares'!$C:$FA,74)</f>
        <v>10451425</v>
      </c>
      <c r="F47" s="86">
        <f>VLOOKUP($A47,'Data shares'!$C:$FA,76)</f>
        <v>107350</v>
      </c>
      <c r="G47" s="87">
        <f>VLOOKUP(A47,'Data shares'!$C$2:$CA$215,77,0)</f>
        <v>1.04E-2</v>
      </c>
      <c r="H47" s="86">
        <f>VLOOKUP($A47,'Data shares'!$C:$FA,90)</f>
        <v>5184150</v>
      </c>
      <c r="I47" s="86">
        <f>VLOOKUP($A47,'Data shares'!$C:$FA,92)</f>
        <v>273600</v>
      </c>
      <c r="J47" s="87">
        <f>VLOOKUP($A47,'Data shares'!$C:$FA,93)</f>
        <v>5.57E-2</v>
      </c>
      <c r="K47" s="86">
        <f>VLOOKUP($A47,'Data shares'!$C:$FA,94)</f>
        <v>3933000</v>
      </c>
      <c r="L47" s="86">
        <f>VLOOKUP($A47,'Data shares'!$C:$FA,96)</f>
        <v>81700</v>
      </c>
      <c r="M47" s="87">
        <f>VLOOKUP($A47,'Data shares'!$C:$FA,97)</f>
        <v>2.12E-2</v>
      </c>
      <c r="N47" s="86">
        <f>VLOOKUP($A47,'Data shares'!$C:$FA,78)</f>
        <v>9827750</v>
      </c>
      <c r="O47" s="87">
        <f>VLOOKUP($A47,'Data shares'!$C:$FA,81)</f>
        <v>8.0000000000000002E-3</v>
      </c>
    </row>
    <row r="48" spans="1:15" x14ac:dyDescent="0.25">
      <c r="A48" s="100" t="str">
        <f>'OI(Value)'!A48</f>
        <v>CGPOWER</v>
      </c>
      <c r="B48" s="82">
        <f>VLOOKUP(A48,'Data shares'!$C$2:$CV$215,98,0)</f>
        <v>20749350</v>
      </c>
      <c r="C48" s="82">
        <f>VLOOKUP(A48,'Data shares'!$C$2:$CX$215,100,0)</f>
        <v>1196800</v>
      </c>
      <c r="D48" s="141">
        <f>VLOOKUP(A48,'Data shares'!$C$2:$CY$538,101,0)</f>
        <v>6.1199999999999997E-2</v>
      </c>
      <c r="E48" s="86">
        <f>VLOOKUP($A48,'Data shares'!$C:$FA,74)</f>
        <v>14682050</v>
      </c>
      <c r="F48" s="86">
        <f>VLOOKUP($A48,'Data shares'!$C:$FA,76)</f>
        <v>436900</v>
      </c>
      <c r="G48" s="87">
        <f>VLOOKUP(A48,'Data shares'!$C$2:$CA$215,77,0)</f>
        <v>3.0700000000000002E-2</v>
      </c>
      <c r="H48" s="86">
        <f>VLOOKUP($A48,'Data shares'!$C:$FA,90)</f>
        <v>3587850</v>
      </c>
      <c r="I48" s="86">
        <f>VLOOKUP($A48,'Data shares'!$C:$FA,92)</f>
        <v>558450</v>
      </c>
      <c r="J48" s="87">
        <f>VLOOKUP($A48,'Data shares'!$C:$FA,93)</f>
        <v>0.18429999999999999</v>
      </c>
      <c r="K48" s="86">
        <f>VLOOKUP($A48,'Data shares'!$C:$FA,94)</f>
        <v>2479450</v>
      </c>
      <c r="L48" s="86">
        <f>VLOOKUP($A48,'Data shares'!$C:$FA,96)</f>
        <v>201450</v>
      </c>
      <c r="M48" s="87">
        <f>VLOOKUP($A48,'Data shares'!$C:$FA,97)</f>
        <v>8.8400000000000006E-2</v>
      </c>
      <c r="N48" s="86">
        <f>VLOOKUP($A48,'Data shares'!$C:$FA,78)</f>
        <v>14284250</v>
      </c>
      <c r="O48" s="87">
        <f>VLOOKUP($A48,'Data shares'!$C:$FA,81)</f>
        <v>3.0300000000000001E-2</v>
      </c>
    </row>
    <row r="49" spans="1:15" x14ac:dyDescent="0.25">
      <c r="A49" s="100" t="str">
        <f>'OI(Value)'!A49</f>
        <v>CHOLAFIN</v>
      </c>
      <c r="B49" s="82">
        <f>VLOOKUP(A49,'Data shares'!$C$2:$CV$215,98,0)</f>
        <v>18989375</v>
      </c>
      <c r="C49" s="82">
        <f>VLOOKUP(A49,'Data shares'!$C$2:$CX$215,100,0)</f>
        <v>340000</v>
      </c>
      <c r="D49" s="141">
        <f>VLOOKUP(A49,'Data shares'!$C$2:$CY$538,101,0)</f>
        <v>1.8200000000000001E-2</v>
      </c>
      <c r="E49" s="86">
        <f>VLOOKUP($A49,'Data shares'!$C:$FA,74)</f>
        <v>12083125</v>
      </c>
      <c r="F49" s="86">
        <f>VLOOKUP($A49,'Data shares'!$C:$FA,76)</f>
        <v>23750</v>
      </c>
      <c r="G49" s="87">
        <f>VLOOKUP(A49,'Data shares'!$C$2:$CA$215,77,0)</f>
        <v>2E-3</v>
      </c>
      <c r="H49" s="86">
        <f>VLOOKUP($A49,'Data shares'!$C:$FA,90)</f>
        <v>3416875</v>
      </c>
      <c r="I49" s="86">
        <f>VLOOKUP($A49,'Data shares'!$C:$FA,92)</f>
        <v>90000</v>
      </c>
      <c r="J49" s="87">
        <f>VLOOKUP($A49,'Data shares'!$C:$FA,93)</f>
        <v>2.7099999999999999E-2</v>
      </c>
      <c r="K49" s="86">
        <f>VLOOKUP($A49,'Data shares'!$C:$FA,94)</f>
        <v>3489375</v>
      </c>
      <c r="L49" s="86">
        <f>VLOOKUP($A49,'Data shares'!$C:$FA,96)</f>
        <v>226250</v>
      </c>
      <c r="M49" s="87">
        <f>VLOOKUP($A49,'Data shares'!$C:$FA,97)</f>
        <v>6.93E-2</v>
      </c>
      <c r="N49" s="86">
        <f>VLOOKUP($A49,'Data shares'!$C:$FA,78)</f>
        <v>11928750</v>
      </c>
      <c r="O49" s="87">
        <f>VLOOKUP($A49,'Data shares'!$C:$FA,81)</f>
        <v>8.9999999999999998E-4</v>
      </c>
    </row>
    <row r="50" spans="1:15" x14ac:dyDescent="0.25">
      <c r="A50" s="100" t="str">
        <f>'OI(Value)'!A50</f>
        <v>CIPLA</v>
      </c>
      <c r="B50" s="82">
        <f>VLOOKUP(A50,'Data shares'!$C$2:$CV$215,98,0)</f>
        <v>17350125</v>
      </c>
      <c r="C50" s="82">
        <f>VLOOKUP(A50,'Data shares'!$C$2:$CX$215,100,0)</f>
        <v>439500</v>
      </c>
      <c r="D50" s="141">
        <f>VLOOKUP(A50,'Data shares'!$C$2:$CY$538,101,0)</f>
        <v>2.5999999999999999E-2</v>
      </c>
      <c r="E50" s="86">
        <f>VLOOKUP($A50,'Data shares'!$C:$FA,74)</f>
        <v>12344250</v>
      </c>
      <c r="F50" s="86">
        <f>VLOOKUP($A50,'Data shares'!$C:$FA,76)</f>
        <v>-51375</v>
      </c>
      <c r="G50" s="87">
        <f>VLOOKUP(A50,'Data shares'!$C$2:$CA$215,77,0)</f>
        <v>-4.1000000000000003E-3</v>
      </c>
      <c r="H50" s="86">
        <f>VLOOKUP($A50,'Data shares'!$C:$FA,90)</f>
        <v>2703750</v>
      </c>
      <c r="I50" s="86">
        <f>VLOOKUP($A50,'Data shares'!$C:$FA,92)</f>
        <v>227625</v>
      </c>
      <c r="J50" s="87">
        <f>VLOOKUP($A50,'Data shares'!$C:$FA,93)</f>
        <v>9.1899999999999996E-2</v>
      </c>
      <c r="K50" s="86">
        <f>VLOOKUP($A50,'Data shares'!$C:$FA,94)</f>
        <v>2302125</v>
      </c>
      <c r="L50" s="86">
        <f>VLOOKUP($A50,'Data shares'!$C:$FA,96)</f>
        <v>263250</v>
      </c>
      <c r="M50" s="87">
        <f>VLOOKUP($A50,'Data shares'!$C:$FA,97)</f>
        <v>0.12909999999999999</v>
      </c>
      <c r="N50" s="86">
        <f>VLOOKUP($A50,'Data shares'!$C:$FA,78)</f>
        <v>12198000</v>
      </c>
      <c r="O50" s="87">
        <f>VLOOKUP($A50,'Data shares'!$C:$FA,81)</f>
        <v>-5.0000000000000001E-3</v>
      </c>
    </row>
    <row r="51" spans="1:15" x14ac:dyDescent="0.25">
      <c r="A51" s="100" t="str">
        <f>'OI(Value)'!A51</f>
        <v>COALINDIA</v>
      </c>
      <c r="B51" s="82">
        <f>VLOOKUP(A51,'Data shares'!$C$2:$CV$215,98,0)</f>
        <v>108673650</v>
      </c>
      <c r="C51" s="82">
        <f>VLOOKUP(A51,'Data shares'!$C$2:$CX$215,100,0)</f>
        <v>2401650</v>
      </c>
      <c r="D51" s="141">
        <f>VLOOKUP(A51,'Data shares'!$C$2:$CY$538,101,0)</f>
        <v>2.2599999999999999E-2</v>
      </c>
      <c r="E51" s="86">
        <f>VLOOKUP($A51,'Data shares'!$C:$FA,74)</f>
        <v>58338900</v>
      </c>
      <c r="F51" s="86">
        <f>VLOOKUP($A51,'Data shares'!$C:$FA,76)</f>
        <v>60750</v>
      </c>
      <c r="G51" s="87">
        <f>VLOOKUP(A51,'Data shares'!$C$2:$CA$215,77,0)</f>
        <v>1E-3</v>
      </c>
      <c r="H51" s="86">
        <f>VLOOKUP($A51,'Data shares'!$C:$FA,90)</f>
        <v>32269050</v>
      </c>
      <c r="I51" s="86">
        <f>VLOOKUP($A51,'Data shares'!$C:$FA,92)</f>
        <v>1044900</v>
      </c>
      <c r="J51" s="87">
        <f>VLOOKUP($A51,'Data shares'!$C:$FA,93)</f>
        <v>3.3500000000000002E-2</v>
      </c>
      <c r="K51" s="86">
        <f>VLOOKUP($A51,'Data shares'!$C:$FA,94)</f>
        <v>18065700</v>
      </c>
      <c r="L51" s="86">
        <f>VLOOKUP($A51,'Data shares'!$C:$FA,96)</f>
        <v>1296000</v>
      </c>
      <c r="M51" s="87">
        <f>VLOOKUP($A51,'Data shares'!$C:$FA,97)</f>
        <v>7.7299999999999994E-2</v>
      </c>
      <c r="N51" s="86">
        <f>VLOOKUP($A51,'Data shares'!$C:$FA,78)</f>
        <v>55601100</v>
      </c>
      <c r="O51" s="87">
        <f>VLOOKUP($A51,'Data shares'!$C:$FA,81)</f>
        <v>-4.7999999999999996E-3</v>
      </c>
    </row>
    <row r="52" spans="1:15" x14ac:dyDescent="0.25">
      <c r="A52" s="100" t="str">
        <f>'OI(Value)'!A52</f>
        <v>COFORGE</v>
      </c>
      <c r="B52" s="82">
        <f>VLOOKUP(A52,'Data shares'!$C$2:$CV$215,98,0)</f>
        <v>32110875</v>
      </c>
      <c r="C52" s="82">
        <f>VLOOKUP(A52,'Data shares'!$C$2:$CX$215,100,0)</f>
        <v>485625</v>
      </c>
      <c r="D52" s="141">
        <f>VLOOKUP(A52,'Data shares'!$C$2:$CY$538,101,0)</f>
        <v>1.54E-2</v>
      </c>
      <c r="E52" s="86">
        <f>VLOOKUP($A52,'Data shares'!$C:$FA,74)</f>
        <v>17448750</v>
      </c>
      <c r="F52" s="86">
        <f>VLOOKUP($A52,'Data shares'!$C:$FA,76)</f>
        <v>109875</v>
      </c>
      <c r="G52" s="87">
        <f>VLOOKUP(A52,'Data shares'!$C$2:$CA$215,77,0)</f>
        <v>6.3E-3</v>
      </c>
      <c r="H52" s="86">
        <f>VLOOKUP($A52,'Data shares'!$C:$FA,90)</f>
        <v>9793500</v>
      </c>
      <c r="I52" s="86">
        <f>VLOOKUP($A52,'Data shares'!$C:$FA,92)</f>
        <v>331125</v>
      </c>
      <c r="J52" s="87">
        <f>VLOOKUP($A52,'Data shares'!$C:$FA,93)</f>
        <v>3.5000000000000003E-2</v>
      </c>
      <c r="K52" s="86">
        <f>VLOOKUP($A52,'Data shares'!$C:$FA,94)</f>
        <v>4868625</v>
      </c>
      <c r="L52" s="86">
        <f>VLOOKUP($A52,'Data shares'!$C:$FA,96)</f>
        <v>44625</v>
      </c>
      <c r="M52" s="87">
        <f>VLOOKUP($A52,'Data shares'!$C:$FA,97)</f>
        <v>9.2999999999999992E-3</v>
      </c>
      <c r="N52" s="86">
        <f>VLOOKUP($A52,'Data shares'!$C:$FA,78)</f>
        <v>16963875</v>
      </c>
      <c r="O52" s="87">
        <f>VLOOKUP($A52,'Data shares'!$C:$FA,81)</f>
        <v>5.1000000000000004E-3</v>
      </c>
    </row>
    <row r="53" spans="1:15" x14ac:dyDescent="0.25">
      <c r="A53" s="100" t="str">
        <f>'OI(Value)'!A53</f>
        <v>COLPAL</v>
      </c>
      <c r="B53" s="82">
        <f>VLOOKUP(A53,'Data shares'!$C$2:$CV$215,98,0)</f>
        <v>9200025</v>
      </c>
      <c r="C53" s="82">
        <f>VLOOKUP(A53,'Data shares'!$C$2:$CX$215,100,0)</f>
        <v>158400</v>
      </c>
      <c r="D53" s="141">
        <f>VLOOKUP(A53,'Data shares'!$C$2:$CY$538,101,0)</f>
        <v>1.7500000000000002E-2</v>
      </c>
      <c r="E53" s="86">
        <f>VLOOKUP($A53,'Data shares'!$C:$FA,74)</f>
        <v>6478425</v>
      </c>
      <c r="F53" s="86">
        <f>VLOOKUP($A53,'Data shares'!$C:$FA,76)</f>
        <v>17550</v>
      </c>
      <c r="G53" s="87">
        <f>VLOOKUP(A53,'Data shares'!$C$2:$CA$215,77,0)</f>
        <v>2.7000000000000001E-3</v>
      </c>
      <c r="H53" s="86">
        <f>VLOOKUP($A53,'Data shares'!$C:$FA,90)</f>
        <v>1347300</v>
      </c>
      <c r="I53" s="86">
        <f>VLOOKUP($A53,'Data shares'!$C:$FA,92)</f>
        <v>105075</v>
      </c>
      <c r="J53" s="87">
        <f>VLOOKUP($A53,'Data shares'!$C:$FA,93)</f>
        <v>8.4599999999999995E-2</v>
      </c>
      <c r="K53" s="86">
        <f>VLOOKUP($A53,'Data shares'!$C:$FA,94)</f>
        <v>1374300</v>
      </c>
      <c r="L53" s="86">
        <f>VLOOKUP($A53,'Data shares'!$C:$FA,96)</f>
        <v>35775</v>
      </c>
      <c r="M53" s="87">
        <f>VLOOKUP($A53,'Data shares'!$C:$FA,97)</f>
        <v>2.6700000000000002E-2</v>
      </c>
      <c r="N53" s="86">
        <f>VLOOKUP($A53,'Data shares'!$C:$FA,78)</f>
        <v>6231600</v>
      </c>
      <c r="O53" s="87">
        <f>VLOOKUP($A53,'Data shares'!$C:$FA,81)</f>
        <v>3.0000000000000001E-3</v>
      </c>
    </row>
    <row r="54" spans="1:15" x14ac:dyDescent="0.25">
      <c r="A54" s="100" t="str">
        <f>'OI(Value)'!A54</f>
        <v>CONCOR</v>
      </c>
      <c r="B54" s="82">
        <f>VLOOKUP(A54,'Data shares'!$C$2:$CV$215,98,0)</f>
        <v>55700000</v>
      </c>
      <c r="C54" s="82">
        <f>VLOOKUP(A54,'Data shares'!$C$2:$CX$215,100,0)</f>
        <v>631250</v>
      </c>
      <c r="D54" s="141">
        <f>VLOOKUP(A54,'Data shares'!$C$2:$CY$538,101,0)</f>
        <v>1.15E-2</v>
      </c>
      <c r="E54" s="86">
        <f>VLOOKUP($A54,'Data shares'!$C:$FA,74)</f>
        <v>36321250</v>
      </c>
      <c r="F54" s="86">
        <f>VLOOKUP($A54,'Data shares'!$C:$FA,76)</f>
        <v>140000</v>
      </c>
      <c r="G54" s="87">
        <f>VLOOKUP(A54,'Data shares'!$C$2:$CA$215,77,0)</f>
        <v>3.8999999999999998E-3</v>
      </c>
      <c r="H54" s="86">
        <f>VLOOKUP($A54,'Data shares'!$C:$FA,90)</f>
        <v>11392500</v>
      </c>
      <c r="I54" s="86">
        <f>VLOOKUP($A54,'Data shares'!$C:$FA,92)</f>
        <v>295000</v>
      </c>
      <c r="J54" s="87">
        <f>VLOOKUP($A54,'Data shares'!$C:$FA,93)</f>
        <v>2.6599999999999999E-2</v>
      </c>
      <c r="K54" s="86">
        <f>VLOOKUP($A54,'Data shares'!$C:$FA,94)</f>
        <v>7986250</v>
      </c>
      <c r="L54" s="86">
        <f>VLOOKUP($A54,'Data shares'!$C:$FA,96)</f>
        <v>196250</v>
      </c>
      <c r="M54" s="87">
        <f>VLOOKUP($A54,'Data shares'!$C:$FA,97)</f>
        <v>2.52E-2</v>
      </c>
      <c r="N54" s="86">
        <f>VLOOKUP($A54,'Data shares'!$C:$FA,78)</f>
        <v>34091250</v>
      </c>
      <c r="O54" s="87">
        <f>VLOOKUP($A54,'Data shares'!$C:$FA,81)</f>
        <v>2.5999999999999999E-3</v>
      </c>
    </row>
    <row r="55" spans="1:15" x14ac:dyDescent="0.25">
      <c r="A55" s="100" t="str">
        <f>'OI(Value)'!A55</f>
        <v>CROMPTON</v>
      </c>
      <c r="B55" s="82">
        <f>VLOOKUP(A55,'Data shares'!$C$2:$CV$215,98,0)</f>
        <v>77038200</v>
      </c>
      <c r="C55" s="82">
        <f>VLOOKUP(A55,'Data shares'!$C$2:$CX$215,100,0)</f>
        <v>736200</v>
      </c>
      <c r="D55" s="141">
        <f>VLOOKUP(A55,'Data shares'!$C$2:$CY$538,101,0)</f>
        <v>9.5999999999999992E-3</v>
      </c>
      <c r="E55" s="86">
        <f>VLOOKUP($A55,'Data shares'!$C:$FA,74)</f>
        <v>54453600</v>
      </c>
      <c r="F55" s="86">
        <f>VLOOKUP($A55,'Data shares'!$C:$FA,76)</f>
        <v>28800</v>
      </c>
      <c r="G55" s="87">
        <f>VLOOKUP(A55,'Data shares'!$C$2:$CA$215,77,0)</f>
        <v>5.0000000000000001E-4</v>
      </c>
      <c r="H55" s="86">
        <f>VLOOKUP($A55,'Data shares'!$C:$FA,90)</f>
        <v>13516200</v>
      </c>
      <c r="I55" s="86">
        <f>VLOOKUP($A55,'Data shares'!$C:$FA,92)</f>
        <v>786600</v>
      </c>
      <c r="J55" s="87">
        <f>VLOOKUP($A55,'Data shares'!$C:$FA,93)</f>
        <v>6.1800000000000001E-2</v>
      </c>
      <c r="K55" s="86">
        <f>VLOOKUP($A55,'Data shares'!$C:$FA,94)</f>
        <v>9068400</v>
      </c>
      <c r="L55" s="86">
        <f>VLOOKUP($A55,'Data shares'!$C:$FA,96)</f>
        <v>-79200</v>
      </c>
      <c r="M55" s="87">
        <f>VLOOKUP($A55,'Data shares'!$C:$FA,97)</f>
        <v>-8.6999999999999994E-3</v>
      </c>
      <c r="N55" s="86">
        <f>VLOOKUP($A55,'Data shares'!$C:$FA,78)</f>
        <v>51973200</v>
      </c>
      <c r="O55" s="87">
        <f>VLOOKUP($A55,'Data shares'!$C:$FA,81)</f>
        <v>-1.1999999999999999E-3</v>
      </c>
    </row>
    <row r="56" spans="1:15" x14ac:dyDescent="0.25">
      <c r="A56" s="100" t="str">
        <f>'OI(Value)'!A56</f>
        <v>CUMMINSIND</v>
      </c>
      <c r="B56" s="82">
        <f>VLOOKUP(A56,'Data shares'!$C$2:$CV$215,98,0)</f>
        <v>4276200</v>
      </c>
      <c r="C56" s="82">
        <f>VLOOKUP(A56,'Data shares'!$C$2:$CX$215,100,0)</f>
        <v>143000</v>
      </c>
      <c r="D56" s="141">
        <f>VLOOKUP(A56,'Data shares'!$C$2:$CY$538,101,0)</f>
        <v>3.4599999999999999E-2</v>
      </c>
      <c r="E56" s="86">
        <f>VLOOKUP($A56,'Data shares'!$C:$FA,74)</f>
        <v>3276400</v>
      </c>
      <c r="F56" s="86">
        <f>VLOOKUP($A56,'Data shares'!$C:$FA,76)</f>
        <v>-2800</v>
      </c>
      <c r="G56" s="87">
        <f>VLOOKUP(A56,'Data shares'!$C$2:$CA$215,77,0)</f>
        <v>-8.9999999999999998E-4</v>
      </c>
      <c r="H56" s="86">
        <f>VLOOKUP($A56,'Data shares'!$C:$FA,90)</f>
        <v>560600</v>
      </c>
      <c r="I56" s="86">
        <f>VLOOKUP($A56,'Data shares'!$C:$FA,92)</f>
        <v>90200</v>
      </c>
      <c r="J56" s="87">
        <f>VLOOKUP($A56,'Data shares'!$C:$FA,93)</f>
        <v>0.1918</v>
      </c>
      <c r="K56" s="86">
        <f>VLOOKUP($A56,'Data shares'!$C:$FA,94)</f>
        <v>439200</v>
      </c>
      <c r="L56" s="86">
        <f>VLOOKUP($A56,'Data shares'!$C:$FA,96)</f>
        <v>55600</v>
      </c>
      <c r="M56" s="87">
        <f>VLOOKUP($A56,'Data shares'!$C:$FA,97)</f>
        <v>0.1449</v>
      </c>
      <c r="N56" s="86">
        <f>VLOOKUP($A56,'Data shares'!$C:$FA,78)</f>
        <v>3251400</v>
      </c>
      <c r="O56" s="87">
        <f>VLOOKUP($A56,'Data shares'!$C:$FA,81)</f>
        <v>-1.6000000000000001E-3</v>
      </c>
    </row>
    <row r="57" spans="1:15" x14ac:dyDescent="0.25">
      <c r="A57" s="100" t="str">
        <f>'OI(Value)'!A57</f>
        <v>DABUR</v>
      </c>
      <c r="B57" s="82">
        <f>VLOOKUP(A57,'Data shares'!$C$2:$CV$215,98,0)</f>
        <v>36821250</v>
      </c>
      <c r="C57" s="82">
        <f>VLOOKUP(A57,'Data shares'!$C$2:$CX$215,100,0)</f>
        <v>1742500</v>
      </c>
      <c r="D57" s="141">
        <f>VLOOKUP(A57,'Data shares'!$C$2:$CY$538,101,0)</f>
        <v>4.9700000000000001E-2</v>
      </c>
      <c r="E57" s="86">
        <f>VLOOKUP($A57,'Data shares'!$C:$FA,74)</f>
        <v>21130000</v>
      </c>
      <c r="F57" s="86">
        <f>VLOOKUP($A57,'Data shares'!$C:$FA,76)</f>
        <v>396250</v>
      </c>
      <c r="G57" s="87">
        <f>VLOOKUP(A57,'Data shares'!$C$2:$CA$215,77,0)</f>
        <v>1.9099999999999999E-2</v>
      </c>
      <c r="H57" s="86">
        <f>VLOOKUP($A57,'Data shares'!$C:$FA,90)</f>
        <v>9543750</v>
      </c>
      <c r="I57" s="86">
        <f>VLOOKUP($A57,'Data shares'!$C:$FA,92)</f>
        <v>877500</v>
      </c>
      <c r="J57" s="87">
        <f>VLOOKUP($A57,'Data shares'!$C:$FA,93)</f>
        <v>0.1013</v>
      </c>
      <c r="K57" s="86">
        <f>VLOOKUP($A57,'Data shares'!$C:$FA,94)</f>
        <v>6147500</v>
      </c>
      <c r="L57" s="86">
        <f>VLOOKUP($A57,'Data shares'!$C:$FA,96)</f>
        <v>468750</v>
      </c>
      <c r="M57" s="87">
        <f>VLOOKUP($A57,'Data shares'!$C:$FA,97)</f>
        <v>8.2500000000000004E-2</v>
      </c>
      <c r="N57" s="86">
        <f>VLOOKUP($A57,'Data shares'!$C:$FA,78)</f>
        <v>20660000</v>
      </c>
      <c r="O57" s="87">
        <f>VLOOKUP($A57,'Data shares'!$C:$FA,81)</f>
        <v>1.8200000000000001E-2</v>
      </c>
    </row>
    <row r="58" spans="1:15" x14ac:dyDescent="0.25">
      <c r="A58" s="100" t="str">
        <f>'OI(Value)'!A58</f>
        <v>DALBHARAT</v>
      </c>
      <c r="B58" s="82">
        <f>VLOOKUP(A58,'Data shares'!$C$2:$CV$215,98,0)</f>
        <v>3839550</v>
      </c>
      <c r="C58" s="82">
        <f>VLOOKUP(A58,'Data shares'!$C$2:$CX$215,100,0)</f>
        <v>82875</v>
      </c>
      <c r="D58" s="141">
        <f>VLOOKUP(A58,'Data shares'!$C$2:$CY$538,101,0)</f>
        <v>2.2100000000000002E-2</v>
      </c>
      <c r="E58" s="86">
        <f>VLOOKUP($A58,'Data shares'!$C:$FA,74)</f>
        <v>2752425</v>
      </c>
      <c r="F58" s="86">
        <f>VLOOKUP($A58,'Data shares'!$C:$FA,76)</f>
        <v>15275</v>
      </c>
      <c r="G58" s="87">
        <f>VLOOKUP(A58,'Data shares'!$C$2:$CA$215,77,0)</f>
        <v>5.5999999999999999E-3</v>
      </c>
      <c r="H58" s="86">
        <f>VLOOKUP($A58,'Data shares'!$C:$FA,90)</f>
        <v>684450</v>
      </c>
      <c r="I58" s="86">
        <f>VLOOKUP($A58,'Data shares'!$C:$FA,92)</f>
        <v>51025</v>
      </c>
      <c r="J58" s="87">
        <f>VLOOKUP($A58,'Data shares'!$C:$FA,93)</f>
        <v>8.0600000000000005E-2</v>
      </c>
      <c r="K58" s="86">
        <f>VLOOKUP($A58,'Data shares'!$C:$FA,94)</f>
        <v>402675</v>
      </c>
      <c r="L58" s="86">
        <f>VLOOKUP($A58,'Data shares'!$C:$FA,96)</f>
        <v>16575</v>
      </c>
      <c r="M58" s="87">
        <f>VLOOKUP($A58,'Data shares'!$C:$FA,97)</f>
        <v>4.2900000000000001E-2</v>
      </c>
      <c r="N58" s="86">
        <f>VLOOKUP($A58,'Data shares'!$C:$FA,78)</f>
        <v>2696200</v>
      </c>
      <c r="O58" s="87">
        <f>VLOOKUP($A58,'Data shares'!$C:$FA,81)</f>
        <v>4.7999999999999996E-3</v>
      </c>
    </row>
    <row r="59" spans="1:15" x14ac:dyDescent="0.25">
      <c r="A59" s="100" t="str">
        <f>'OI(Value)'!A59</f>
        <v>DELHIVERY</v>
      </c>
      <c r="B59" s="82">
        <f>VLOOKUP(A59,'Data shares'!$C$2:$CV$215,98,0)</f>
        <v>23080225</v>
      </c>
      <c r="C59" s="82">
        <f>VLOOKUP(A59,'Data shares'!$C$2:$CX$215,100,0)</f>
        <v>595525</v>
      </c>
      <c r="D59" s="141">
        <f>VLOOKUP(A59,'Data shares'!$C$2:$CY$538,101,0)</f>
        <v>2.6499999999999999E-2</v>
      </c>
      <c r="E59" s="86">
        <f>VLOOKUP($A59,'Data shares'!$C:$FA,74)</f>
        <v>17073100</v>
      </c>
      <c r="F59" s="86">
        <f>VLOOKUP($A59,'Data shares'!$C:$FA,76)</f>
        <v>80925</v>
      </c>
      <c r="G59" s="87">
        <f>VLOOKUP(A59,'Data shares'!$C$2:$CA$215,77,0)</f>
        <v>4.7999999999999996E-3</v>
      </c>
      <c r="H59" s="86">
        <f>VLOOKUP($A59,'Data shares'!$C:$FA,90)</f>
        <v>3160225</v>
      </c>
      <c r="I59" s="86">
        <f>VLOOKUP($A59,'Data shares'!$C:$FA,92)</f>
        <v>363125</v>
      </c>
      <c r="J59" s="87">
        <f>VLOOKUP($A59,'Data shares'!$C:$FA,93)</f>
        <v>0.1298</v>
      </c>
      <c r="K59" s="86">
        <f>VLOOKUP($A59,'Data shares'!$C:$FA,94)</f>
        <v>2846900</v>
      </c>
      <c r="L59" s="86">
        <f>VLOOKUP($A59,'Data shares'!$C:$FA,96)</f>
        <v>151475</v>
      </c>
      <c r="M59" s="87">
        <f>VLOOKUP($A59,'Data shares'!$C:$FA,97)</f>
        <v>5.62E-2</v>
      </c>
      <c r="N59" s="86">
        <f>VLOOKUP($A59,'Data shares'!$C:$FA,78)</f>
        <v>16824100</v>
      </c>
      <c r="O59" s="87">
        <f>VLOOKUP($A59,'Data shares'!$C:$FA,81)</f>
        <v>2.8E-3</v>
      </c>
    </row>
    <row r="60" spans="1:15" x14ac:dyDescent="0.25">
      <c r="A60" s="100" t="str">
        <f>'OI(Value)'!A60</f>
        <v>DIVISLAB</v>
      </c>
      <c r="B60" s="82">
        <f>VLOOKUP(A60,'Data shares'!$C$2:$CV$215,98,0)</f>
        <v>4223100</v>
      </c>
      <c r="C60" s="82">
        <f>VLOOKUP(A60,'Data shares'!$C$2:$CX$215,100,0)</f>
        <v>177700</v>
      </c>
      <c r="D60" s="141">
        <f>VLOOKUP(A60,'Data shares'!$C$2:$CY$538,101,0)</f>
        <v>4.3900000000000002E-2</v>
      </c>
      <c r="E60" s="86">
        <f>VLOOKUP($A60,'Data shares'!$C:$FA,74)</f>
        <v>3366600</v>
      </c>
      <c r="F60" s="86">
        <f>VLOOKUP($A60,'Data shares'!$C:$FA,76)</f>
        <v>53000</v>
      </c>
      <c r="G60" s="87">
        <f>VLOOKUP(A60,'Data shares'!$C$2:$CA$215,77,0)</f>
        <v>1.6E-2</v>
      </c>
      <c r="H60" s="86">
        <f>VLOOKUP($A60,'Data shares'!$C:$FA,90)</f>
        <v>546900</v>
      </c>
      <c r="I60" s="86">
        <f>VLOOKUP($A60,'Data shares'!$C:$FA,92)</f>
        <v>100700</v>
      </c>
      <c r="J60" s="87">
        <f>VLOOKUP($A60,'Data shares'!$C:$FA,93)</f>
        <v>0.22570000000000001</v>
      </c>
      <c r="K60" s="86">
        <f>VLOOKUP($A60,'Data shares'!$C:$FA,94)</f>
        <v>309600</v>
      </c>
      <c r="L60" s="86">
        <f>VLOOKUP($A60,'Data shares'!$C:$FA,96)</f>
        <v>24000</v>
      </c>
      <c r="M60" s="87">
        <f>VLOOKUP($A60,'Data shares'!$C:$FA,97)</f>
        <v>8.4000000000000005E-2</v>
      </c>
      <c r="N60" s="86">
        <f>VLOOKUP($A60,'Data shares'!$C:$FA,78)</f>
        <v>3336000</v>
      </c>
      <c r="O60" s="87">
        <f>VLOOKUP($A60,'Data shares'!$C:$FA,81)</f>
        <v>1.52E-2</v>
      </c>
    </row>
    <row r="61" spans="1:15" x14ac:dyDescent="0.25">
      <c r="A61" s="100" t="str">
        <f>'OI(Value)'!A61</f>
        <v>DIXON</v>
      </c>
      <c r="B61" s="82">
        <f>VLOOKUP(A61,'Data shares'!$C$2:$CV$215,98,0)</f>
        <v>6563950</v>
      </c>
      <c r="C61" s="82">
        <f>VLOOKUP(A61,'Data shares'!$C$2:$CX$215,100,0)</f>
        <v>135500</v>
      </c>
      <c r="D61" s="141">
        <f>VLOOKUP(A61,'Data shares'!$C$2:$CY$538,101,0)</f>
        <v>2.1100000000000001E-2</v>
      </c>
      <c r="E61" s="86">
        <f>VLOOKUP($A61,'Data shares'!$C:$FA,74)</f>
        <v>2831300</v>
      </c>
      <c r="F61" s="86">
        <f>VLOOKUP($A61,'Data shares'!$C:$FA,76)</f>
        <v>24850</v>
      </c>
      <c r="G61" s="87">
        <f>VLOOKUP(A61,'Data shares'!$C$2:$CA$215,77,0)</f>
        <v>8.8999999999999999E-3</v>
      </c>
      <c r="H61" s="86">
        <f>VLOOKUP($A61,'Data shares'!$C:$FA,90)</f>
        <v>2260850</v>
      </c>
      <c r="I61" s="86">
        <f>VLOOKUP($A61,'Data shares'!$C:$FA,92)</f>
        <v>34650</v>
      </c>
      <c r="J61" s="87">
        <f>VLOOKUP($A61,'Data shares'!$C:$FA,93)</f>
        <v>1.5599999999999999E-2</v>
      </c>
      <c r="K61" s="86">
        <f>VLOOKUP($A61,'Data shares'!$C:$FA,94)</f>
        <v>1471800</v>
      </c>
      <c r="L61" s="86">
        <f>VLOOKUP($A61,'Data shares'!$C:$FA,96)</f>
        <v>76000</v>
      </c>
      <c r="M61" s="87">
        <f>VLOOKUP($A61,'Data shares'!$C:$FA,97)</f>
        <v>5.4399999999999997E-2</v>
      </c>
      <c r="N61" s="86">
        <f>VLOOKUP($A61,'Data shares'!$C:$FA,78)</f>
        <v>2667900</v>
      </c>
      <c r="O61" s="87">
        <f>VLOOKUP($A61,'Data shares'!$C:$FA,81)</f>
        <v>6.6E-3</v>
      </c>
    </row>
    <row r="62" spans="1:15" x14ac:dyDescent="0.25">
      <c r="A62" s="100" t="str">
        <f>'OI(Value)'!A62</f>
        <v>DLF</v>
      </c>
      <c r="B62" s="82">
        <f>VLOOKUP(A62,'Data shares'!$C$2:$CV$215,98,0)</f>
        <v>66320925</v>
      </c>
      <c r="C62" s="82">
        <f>VLOOKUP(A62,'Data shares'!$C$2:$CX$215,100,0)</f>
        <v>1023000</v>
      </c>
      <c r="D62" s="141">
        <f>VLOOKUP(A62,'Data shares'!$C$2:$CY$538,101,0)</f>
        <v>1.5699999999999999E-2</v>
      </c>
      <c r="E62" s="86">
        <f>VLOOKUP($A62,'Data shares'!$C:$FA,74)</f>
        <v>48271575</v>
      </c>
      <c r="F62" s="86">
        <f>VLOOKUP($A62,'Data shares'!$C:$FA,76)</f>
        <v>389400</v>
      </c>
      <c r="G62" s="87">
        <f>VLOOKUP(A62,'Data shares'!$C$2:$CA$215,77,0)</f>
        <v>8.0999999999999996E-3</v>
      </c>
      <c r="H62" s="86">
        <f>VLOOKUP($A62,'Data shares'!$C:$FA,90)</f>
        <v>9740775</v>
      </c>
      <c r="I62" s="86">
        <f>VLOOKUP($A62,'Data shares'!$C:$FA,92)</f>
        <v>490050</v>
      </c>
      <c r="J62" s="87">
        <f>VLOOKUP($A62,'Data shares'!$C:$FA,93)</f>
        <v>5.2999999999999999E-2</v>
      </c>
      <c r="K62" s="86">
        <f>VLOOKUP($A62,'Data shares'!$C:$FA,94)</f>
        <v>8308575</v>
      </c>
      <c r="L62" s="86">
        <f>VLOOKUP($A62,'Data shares'!$C:$FA,96)</f>
        <v>143550</v>
      </c>
      <c r="M62" s="87">
        <f>VLOOKUP($A62,'Data shares'!$C:$FA,97)</f>
        <v>1.7600000000000001E-2</v>
      </c>
      <c r="N62" s="86">
        <f>VLOOKUP($A62,'Data shares'!$C:$FA,78)</f>
        <v>47299725</v>
      </c>
      <c r="O62" s="87">
        <f>VLOOKUP($A62,'Data shares'!$C:$FA,81)</f>
        <v>7.7999999999999996E-3</v>
      </c>
    </row>
    <row r="63" spans="1:15" x14ac:dyDescent="0.25">
      <c r="A63" s="100" t="str">
        <f>'OI(Value)'!A63</f>
        <v>DMART</v>
      </c>
      <c r="B63" s="82">
        <f>VLOOKUP(A63,'Data shares'!$C$2:$CV$215,98,0)</f>
        <v>7528500</v>
      </c>
      <c r="C63" s="82">
        <f>VLOOKUP(A63,'Data shares'!$C$2:$CX$215,100,0)</f>
        <v>599550</v>
      </c>
      <c r="D63" s="141">
        <f>VLOOKUP(A63,'Data shares'!$C$2:$CY$538,101,0)</f>
        <v>8.6499999999999994E-2</v>
      </c>
      <c r="E63" s="86">
        <f>VLOOKUP($A63,'Data shares'!$C:$FA,74)</f>
        <v>5423100</v>
      </c>
      <c r="F63" s="86">
        <f>VLOOKUP($A63,'Data shares'!$C:$FA,76)</f>
        <v>274050</v>
      </c>
      <c r="G63" s="87">
        <f>VLOOKUP(A63,'Data shares'!$C$2:$CA$215,77,0)</f>
        <v>5.3199999999999997E-2</v>
      </c>
      <c r="H63" s="86">
        <f>VLOOKUP($A63,'Data shares'!$C:$FA,90)</f>
        <v>1157850</v>
      </c>
      <c r="I63" s="86">
        <f>VLOOKUP($A63,'Data shares'!$C:$FA,92)</f>
        <v>193950</v>
      </c>
      <c r="J63" s="87">
        <f>VLOOKUP($A63,'Data shares'!$C:$FA,93)</f>
        <v>0.20119999999999999</v>
      </c>
      <c r="K63" s="86">
        <f>VLOOKUP($A63,'Data shares'!$C:$FA,94)</f>
        <v>947550</v>
      </c>
      <c r="L63" s="86">
        <f>VLOOKUP($A63,'Data shares'!$C:$FA,96)</f>
        <v>131550</v>
      </c>
      <c r="M63" s="87">
        <f>VLOOKUP($A63,'Data shares'!$C:$FA,97)</f>
        <v>0.16120000000000001</v>
      </c>
      <c r="N63" s="86">
        <f>VLOOKUP($A63,'Data shares'!$C:$FA,78)</f>
        <v>5280150</v>
      </c>
      <c r="O63" s="87">
        <f>VLOOKUP($A63,'Data shares'!$C:$FA,81)</f>
        <v>4.7699999999999999E-2</v>
      </c>
    </row>
    <row r="64" spans="1:15" x14ac:dyDescent="0.25">
      <c r="A64" s="100" t="str">
        <f>'OI(Value)'!A64</f>
        <v>DRREDDY</v>
      </c>
      <c r="B64" s="82">
        <f>VLOOKUP(A64,'Data shares'!$C$2:$CV$215,98,0)</f>
        <v>18085000</v>
      </c>
      <c r="C64" s="82">
        <f>VLOOKUP(A64,'Data shares'!$C$2:$CX$215,100,0)</f>
        <v>2057500</v>
      </c>
      <c r="D64" s="141">
        <f>VLOOKUP(A64,'Data shares'!$C$2:$CY$538,101,0)</f>
        <v>0.12839999999999999</v>
      </c>
      <c r="E64" s="86">
        <f>VLOOKUP($A64,'Data shares'!$C:$FA,74)</f>
        <v>12440625</v>
      </c>
      <c r="F64" s="86">
        <f>VLOOKUP($A64,'Data shares'!$C:$FA,76)</f>
        <v>198750</v>
      </c>
      <c r="G64" s="87">
        <f>VLOOKUP(A64,'Data shares'!$C$2:$CA$215,77,0)</f>
        <v>1.6199999999999999E-2</v>
      </c>
      <c r="H64" s="86">
        <f>VLOOKUP($A64,'Data shares'!$C:$FA,90)</f>
        <v>3600625</v>
      </c>
      <c r="I64" s="86">
        <f>VLOOKUP($A64,'Data shares'!$C:$FA,92)</f>
        <v>1243125</v>
      </c>
      <c r="J64" s="87">
        <f>VLOOKUP($A64,'Data shares'!$C:$FA,93)</f>
        <v>0.52729999999999999</v>
      </c>
      <c r="K64" s="86">
        <f>VLOOKUP($A64,'Data shares'!$C:$FA,94)</f>
        <v>2043750</v>
      </c>
      <c r="L64" s="86">
        <f>VLOOKUP($A64,'Data shares'!$C:$FA,96)</f>
        <v>615625</v>
      </c>
      <c r="M64" s="87">
        <f>VLOOKUP($A64,'Data shares'!$C:$FA,97)</f>
        <v>0.43109999999999998</v>
      </c>
      <c r="N64" s="86">
        <f>VLOOKUP($A64,'Data shares'!$C:$FA,78)</f>
        <v>12300625</v>
      </c>
      <c r="O64" s="87">
        <f>VLOOKUP($A64,'Data shares'!$C:$FA,81)</f>
        <v>1.2699999999999999E-2</v>
      </c>
    </row>
    <row r="65" spans="1:15" x14ac:dyDescent="0.25">
      <c r="A65" s="100" t="str">
        <f>'OI(Value)'!A65</f>
        <v>EICHERMOT</v>
      </c>
      <c r="B65" s="82">
        <f>VLOOKUP(A65,'Data shares'!$C$2:$CV$215,98,0)</f>
        <v>4813000</v>
      </c>
      <c r="C65" s="82">
        <f>VLOOKUP(A65,'Data shares'!$C$2:$CX$215,100,0)</f>
        <v>163400</v>
      </c>
      <c r="D65" s="141">
        <f>VLOOKUP(A65,'Data shares'!$C$2:$CY$538,101,0)</f>
        <v>3.5099999999999999E-2</v>
      </c>
      <c r="E65" s="86">
        <f>VLOOKUP($A65,'Data shares'!$C:$FA,74)</f>
        <v>2962600</v>
      </c>
      <c r="F65" s="86">
        <f>VLOOKUP($A65,'Data shares'!$C:$FA,76)</f>
        <v>23900</v>
      </c>
      <c r="G65" s="87">
        <f>VLOOKUP(A65,'Data shares'!$C$2:$CA$215,77,0)</f>
        <v>8.0999999999999996E-3</v>
      </c>
      <c r="H65" s="86">
        <f>VLOOKUP($A65,'Data shares'!$C:$FA,90)</f>
        <v>1002100</v>
      </c>
      <c r="I65" s="86">
        <f>VLOOKUP($A65,'Data shares'!$C:$FA,92)</f>
        <v>56300</v>
      </c>
      <c r="J65" s="87">
        <f>VLOOKUP($A65,'Data shares'!$C:$FA,93)</f>
        <v>5.9499999999999997E-2</v>
      </c>
      <c r="K65" s="86">
        <f>VLOOKUP($A65,'Data shares'!$C:$FA,94)</f>
        <v>848300</v>
      </c>
      <c r="L65" s="86">
        <f>VLOOKUP($A65,'Data shares'!$C:$FA,96)</f>
        <v>83200</v>
      </c>
      <c r="M65" s="87">
        <f>VLOOKUP($A65,'Data shares'!$C:$FA,97)</f>
        <v>0.1087</v>
      </c>
      <c r="N65" s="86">
        <f>VLOOKUP($A65,'Data shares'!$C:$FA,78)</f>
        <v>2912300</v>
      </c>
      <c r="O65" s="87">
        <f>VLOOKUP($A65,'Data shares'!$C:$FA,81)</f>
        <v>4.7000000000000002E-3</v>
      </c>
    </row>
    <row r="66" spans="1:15" x14ac:dyDescent="0.25">
      <c r="A66" s="100" t="str">
        <f>'OI(Value)'!A66</f>
        <v>ETERNAL</v>
      </c>
      <c r="B66" s="82">
        <f>VLOOKUP(A66,'Data shares'!$C$2:$CV$215,98,0)</f>
        <v>349847475</v>
      </c>
      <c r="C66" s="82">
        <f>VLOOKUP(A66,'Data shares'!$C$2:$CX$215,100,0)</f>
        <v>2762075</v>
      </c>
      <c r="D66" s="141">
        <f>VLOOKUP(A66,'Data shares'!$C$2:$CY$538,101,0)</f>
        <v>8.0000000000000002E-3</v>
      </c>
      <c r="E66" s="86">
        <f>VLOOKUP($A66,'Data shares'!$C:$FA,74)</f>
        <v>285888100</v>
      </c>
      <c r="F66" s="86">
        <f>VLOOKUP($A66,'Data shares'!$C:$FA,76)</f>
        <v>-2633550</v>
      </c>
      <c r="G66" s="87">
        <f>VLOOKUP(A66,'Data shares'!$C$2:$CA$215,77,0)</f>
        <v>-9.1000000000000004E-3</v>
      </c>
      <c r="H66" s="86">
        <f>VLOOKUP($A66,'Data shares'!$C:$FA,90)</f>
        <v>34059125</v>
      </c>
      <c r="I66" s="86">
        <f>VLOOKUP($A66,'Data shares'!$C:$FA,92)</f>
        <v>2383775</v>
      </c>
      <c r="J66" s="87">
        <f>VLOOKUP($A66,'Data shares'!$C:$FA,93)</f>
        <v>7.5300000000000006E-2</v>
      </c>
      <c r="K66" s="86">
        <f>VLOOKUP($A66,'Data shares'!$C:$FA,94)</f>
        <v>29900250</v>
      </c>
      <c r="L66" s="86">
        <f>VLOOKUP($A66,'Data shares'!$C:$FA,96)</f>
        <v>3011850</v>
      </c>
      <c r="M66" s="87">
        <f>VLOOKUP($A66,'Data shares'!$C:$FA,97)</f>
        <v>0.112</v>
      </c>
      <c r="N66" s="86">
        <f>VLOOKUP($A66,'Data shares'!$C:$FA,78)</f>
        <v>281130250</v>
      </c>
      <c r="O66" s="87">
        <f>VLOOKUP($A66,'Data shares'!$C:$FA,81)</f>
        <v>-9.7999999999999997E-3</v>
      </c>
    </row>
    <row r="67" spans="1:15" x14ac:dyDescent="0.25">
      <c r="A67" s="100" t="str">
        <f>'OI(Value)'!A67</f>
        <v>EXIDEIND</v>
      </c>
      <c r="B67" s="82">
        <f>VLOOKUP(A67,'Data shares'!$C$2:$CV$215,98,0)</f>
        <v>47214000</v>
      </c>
      <c r="C67" s="82">
        <f>VLOOKUP(A67,'Data shares'!$C$2:$CX$215,100,0)</f>
        <v>1085400</v>
      </c>
      <c r="D67" s="141">
        <f>VLOOKUP(A67,'Data shares'!$C$2:$CY$538,101,0)</f>
        <v>2.35E-2</v>
      </c>
      <c r="E67" s="86">
        <f>VLOOKUP($A67,'Data shares'!$C:$FA,74)</f>
        <v>30987000</v>
      </c>
      <c r="F67" s="86">
        <f>VLOOKUP($A67,'Data shares'!$C:$FA,76)</f>
        <v>59400</v>
      </c>
      <c r="G67" s="87">
        <f>VLOOKUP(A67,'Data shares'!$C$2:$CA$215,77,0)</f>
        <v>1.9E-3</v>
      </c>
      <c r="H67" s="86">
        <f>VLOOKUP($A67,'Data shares'!$C:$FA,90)</f>
        <v>9208800</v>
      </c>
      <c r="I67" s="86">
        <f>VLOOKUP($A67,'Data shares'!$C:$FA,92)</f>
        <v>597600</v>
      </c>
      <c r="J67" s="87">
        <f>VLOOKUP($A67,'Data shares'!$C:$FA,93)</f>
        <v>6.9400000000000003E-2</v>
      </c>
      <c r="K67" s="86">
        <f>VLOOKUP($A67,'Data shares'!$C:$FA,94)</f>
        <v>7018200</v>
      </c>
      <c r="L67" s="86">
        <f>VLOOKUP($A67,'Data shares'!$C:$FA,96)</f>
        <v>428400</v>
      </c>
      <c r="M67" s="87">
        <f>VLOOKUP($A67,'Data shares'!$C:$FA,97)</f>
        <v>6.5000000000000002E-2</v>
      </c>
      <c r="N67" s="86">
        <f>VLOOKUP($A67,'Data shares'!$C:$FA,78)</f>
        <v>29763000</v>
      </c>
      <c r="O67" s="87">
        <f>VLOOKUP($A67,'Data shares'!$C:$FA,81)</f>
        <v>-8.0000000000000004E-4</v>
      </c>
    </row>
    <row r="68" spans="1:15" x14ac:dyDescent="0.25">
      <c r="A68" s="100" t="str">
        <f>'OI(Value)'!A68</f>
        <v>FEDERALBNK</v>
      </c>
      <c r="B68" s="82">
        <f>VLOOKUP(A68,'Data shares'!$C$2:$CV$215,98,0)</f>
        <v>91655000</v>
      </c>
      <c r="C68" s="82">
        <f>VLOOKUP(A68,'Data shares'!$C$2:$CX$215,100,0)</f>
        <v>4445000</v>
      </c>
      <c r="D68" s="141">
        <f>VLOOKUP(A68,'Data shares'!$C$2:$CY$538,101,0)</f>
        <v>5.0999999999999997E-2</v>
      </c>
      <c r="E68" s="86">
        <f>VLOOKUP($A68,'Data shares'!$C:$FA,74)</f>
        <v>54085000</v>
      </c>
      <c r="F68" s="86">
        <f>VLOOKUP($A68,'Data shares'!$C:$FA,76)</f>
        <v>-255000</v>
      </c>
      <c r="G68" s="87">
        <f>VLOOKUP(A68,'Data shares'!$C$2:$CA$215,77,0)</f>
        <v>-4.7000000000000002E-3</v>
      </c>
      <c r="H68" s="86">
        <f>VLOOKUP($A68,'Data shares'!$C:$FA,90)</f>
        <v>19895000</v>
      </c>
      <c r="I68" s="86">
        <f>VLOOKUP($A68,'Data shares'!$C:$FA,92)</f>
        <v>1735000</v>
      </c>
      <c r="J68" s="87">
        <f>VLOOKUP($A68,'Data shares'!$C:$FA,93)</f>
        <v>9.5500000000000002E-2</v>
      </c>
      <c r="K68" s="86">
        <f>VLOOKUP($A68,'Data shares'!$C:$FA,94)</f>
        <v>17675000</v>
      </c>
      <c r="L68" s="86">
        <f>VLOOKUP($A68,'Data shares'!$C:$FA,96)</f>
        <v>2965000</v>
      </c>
      <c r="M68" s="87">
        <f>VLOOKUP($A68,'Data shares'!$C:$FA,97)</f>
        <v>0.2016</v>
      </c>
      <c r="N68" s="86">
        <f>VLOOKUP($A68,'Data shares'!$C:$FA,78)</f>
        <v>52080000</v>
      </c>
      <c r="O68" s="87">
        <f>VLOOKUP($A68,'Data shares'!$C:$FA,81)</f>
        <v>-7.0000000000000001E-3</v>
      </c>
    </row>
    <row r="69" spans="1:15" x14ac:dyDescent="0.25">
      <c r="A69" s="100" t="str">
        <f>'OI(Value)'!A69</f>
        <v>FINNIFTY</v>
      </c>
      <c r="B69" s="82">
        <f>VLOOKUP(A69,'Data shares'!$C$2:$CV$215,98,0)</f>
        <v>348900</v>
      </c>
      <c r="C69" s="82">
        <f>VLOOKUP(A69,'Data shares'!$C$2:$CX$215,100,0)</f>
        <v>64260</v>
      </c>
      <c r="D69" s="141">
        <f>VLOOKUP(A69,'Data shares'!$C$2:$CY$538,101,0)</f>
        <v>0.2258</v>
      </c>
      <c r="E69" s="86">
        <f>VLOOKUP($A69,'Data shares'!$C:$FA,74)</f>
        <v>35340</v>
      </c>
      <c r="F69" s="86">
        <f>VLOOKUP($A69,'Data shares'!$C:$FA,76)</f>
        <v>3720</v>
      </c>
      <c r="G69" s="87">
        <f>VLOOKUP(A69,'Data shares'!$C$2:$CA$215,77,0)</f>
        <v>0.1176</v>
      </c>
      <c r="H69" s="86">
        <f>VLOOKUP($A69,'Data shares'!$C:$FA,90)</f>
        <v>169020</v>
      </c>
      <c r="I69" s="86">
        <f>VLOOKUP($A69,'Data shares'!$C:$FA,92)</f>
        <v>31020</v>
      </c>
      <c r="J69" s="87">
        <f>VLOOKUP($A69,'Data shares'!$C:$FA,93)</f>
        <v>0.2248</v>
      </c>
      <c r="K69" s="86">
        <f>VLOOKUP($A69,'Data shares'!$C:$FA,94)</f>
        <v>144540</v>
      </c>
      <c r="L69" s="86">
        <f>VLOOKUP($A69,'Data shares'!$C:$FA,96)</f>
        <v>29520</v>
      </c>
      <c r="M69" s="87">
        <f>VLOOKUP($A69,'Data shares'!$C:$FA,97)</f>
        <v>0.25669999999999998</v>
      </c>
      <c r="N69" s="86">
        <f>VLOOKUP($A69,'Data shares'!$C:$FA,78)</f>
        <v>35220</v>
      </c>
      <c r="O69" s="87">
        <f>VLOOKUP($A69,'Data shares'!$C:$FA,81)</f>
        <v>0.1181</v>
      </c>
    </row>
    <row r="70" spans="1:15" x14ac:dyDescent="0.25">
      <c r="A70" s="100" t="str">
        <f>'OI(Value)'!A70</f>
        <v>FORTIS</v>
      </c>
      <c r="B70" s="82">
        <f>VLOOKUP(A70,'Data shares'!$C$2:$CV$215,98,0)</f>
        <v>14782350</v>
      </c>
      <c r="C70" s="82">
        <f>VLOOKUP(A70,'Data shares'!$C$2:$CX$215,100,0)</f>
        <v>701375</v>
      </c>
      <c r="D70" s="141">
        <f>VLOOKUP(A70,'Data shares'!$C$2:$CY$538,101,0)</f>
        <v>4.9799999999999997E-2</v>
      </c>
      <c r="E70" s="86">
        <f>VLOOKUP($A70,'Data shares'!$C:$FA,74)</f>
        <v>11662975</v>
      </c>
      <c r="F70" s="86">
        <f>VLOOKUP($A70,'Data shares'!$C:$FA,76)</f>
        <v>125550</v>
      </c>
      <c r="G70" s="87">
        <f>VLOOKUP(A70,'Data shares'!$C$2:$CA$215,77,0)</f>
        <v>1.09E-2</v>
      </c>
      <c r="H70" s="86">
        <f>VLOOKUP($A70,'Data shares'!$C:$FA,90)</f>
        <v>1939825</v>
      </c>
      <c r="I70" s="86">
        <f>VLOOKUP($A70,'Data shares'!$C:$FA,92)</f>
        <v>504525</v>
      </c>
      <c r="J70" s="87">
        <f>VLOOKUP($A70,'Data shares'!$C:$FA,93)</f>
        <v>0.35149999999999998</v>
      </c>
      <c r="K70" s="86">
        <f>VLOOKUP($A70,'Data shares'!$C:$FA,94)</f>
        <v>1179550</v>
      </c>
      <c r="L70" s="86">
        <f>VLOOKUP($A70,'Data shares'!$C:$FA,96)</f>
        <v>71300</v>
      </c>
      <c r="M70" s="87">
        <f>VLOOKUP($A70,'Data shares'!$C:$FA,97)</f>
        <v>6.4299999999999996E-2</v>
      </c>
      <c r="N70" s="86">
        <f>VLOOKUP($A70,'Data shares'!$C:$FA,78)</f>
        <v>11527350</v>
      </c>
      <c r="O70" s="87">
        <f>VLOOKUP($A70,'Data shares'!$C:$FA,81)</f>
        <v>9.7999999999999997E-3</v>
      </c>
    </row>
    <row r="71" spans="1:15" x14ac:dyDescent="0.25">
      <c r="A71" s="100" t="str">
        <f>'OI(Value)'!A71</f>
        <v>GAIL</v>
      </c>
      <c r="B71" s="82">
        <f>VLOOKUP(A71,'Data shares'!$C$2:$CV$215,98,0)</f>
        <v>135100350</v>
      </c>
      <c r="C71" s="82">
        <f>VLOOKUP(A71,'Data shares'!$C$2:$CX$215,100,0)</f>
        <v>2910600</v>
      </c>
      <c r="D71" s="141">
        <f>VLOOKUP(A71,'Data shares'!$C$2:$CY$538,101,0)</f>
        <v>2.1999999999999999E-2</v>
      </c>
      <c r="E71" s="86">
        <f>VLOOKUP($A71,'Data shares'!$C:$FA,74)</f>
        <v>84709800</v>
      </c>
      <c r="F71" s="86">
        <f>VLOOKUP($A71,'Data shares'!$C:$FA,76)</f>
        <v>97650</v>
      </c>
      <c r="G71" s="87">
        <f>VLOOKUP(A71,'Data shares'!$C$2:$CA$215,77,0)</f>
        <v>1.1999999999999999E-3</v>
      </c>
      <c r="H71" s="86">
        <f>VLOOKUP($A71,'Data shares'!$C:$FA,90)</f>
        <v>25177950</v>
      </c>
      <c r="I71" s="86">
        <f>VLOOKUP($A71,'Data shares'!$C:$FA,92)</f>
        <v>1726200</v>
      </c>
      <c r="J71" s="87">
        <f>VLOOKUP($A71,'Data shares'!$C:$FA,93)</f>
        <v>7.3599999999999999E-2</v>
      </c>
      <c r="K71" s="86">
        <f>VLOOKUP($A71,'Data shares'!$C:$FA,94)</f>
        <v>25212600</v>
      </c>
      <c r="L71" s="86">
        <f>VLOOKUP($A71,'Data shares'!$C:$FA,96)</f>
        <v>1086750</v>
      </c>
      <c r="M71" s="87">
        <f>VLOOKUP($A71,'Data shares'!$C:$FA,97)</f>
        <v>4.4999999999999998E-2</v>
      </c>
      <c r="N71" s="86">
        <f>VLOOKUP($A71,'Data shares'!$C:$FA,78)</f>
        <v>81859050</v>
      </c>
      <c r="O71" s="87">
        <f>VLOOKUP($A71,'Data shares'!$C:$FA,81)</f>
        <v>5.0000000000000001E-4</v>
      </c>
    </row>
    <row r="72" spans="1:15" x14ac:dyDescent="0.25">
      <c r="A72" s="100" t="str">
        <f>'OI(Value)'!A72</f>
        <v>GLENMARK</v>
      </c>
      <c r="B72" s="82">
        <f>VLOOKUP(A72,'Data shares'!$C$2:$CV$215,98,0)</f>
        <v>15630375</v>
      </c>
      <c r="C72" s="82">
        <f>VLOOKUP(A72,'Data shares'!$C$2:$CX$215,100,0)</f>
        <v>154125</v>
      </c>
      <c r="D72" s="141">
        <f>VLOOKUP(A72,'Data shares'!$C$2:$CY$538,101,0)</f>
        <v>0.01</v>
      </c>
      <c r="E72" s="86">
        <f>VLOOKUP($A72,'Data shares'!$C:$FA,74)</f>
        <v>12190500</v>
      </c>
      <c r="F72" s="86">
        <f>VLOOKUP($A72,'Data shares'!$C:$FA,76)</f>
        <v>-35625</v>
      </c>
      <c r="G72" s="87">
        <f>VLOOKUP(A72,'Data shares'!$C$2:$CA$215,77,0)</f>
        <v>-2.8999999999999998E-3</v>
      </c>
      <c r="H72" s="86">
        <f>VLOOKUP($A72,'Data shares'!$C:$FA,90)</f>
        <v>2184750</v>
      </c>
      <c r="I72" s="86">
        <f>VLOOKUP($A72,'Data shares'!$C:$FA,92)</f>
        <v>130500</v>
      </c>
      <c r="J72" s="87">
        <f>VLOOKUP($A72,'Data shares'!$C:$FA,93)</f>
        <v>6.3500000000000001E-2</v>
      </c>
      <c r="K72" s="86">
        <f>VLOOKUP($A72,'Data shares'!$C:$FA,94)</f>
        <v>1255125</v>
      </c>
      <c r="L72" s="86">
        <f>VLOOKUP($A72,'Data shares'!$C:$FA,96)</f>
        <v>59250</v>
      </c>
      <c r="M72" s="87">
        <f>VLOOKUP($A72,'Data shares'!$C:$FA,97)</f>
        <v>4.9500000000000002E-2</v>
      </c>
      <c r="N72" s="86">
        <f>VLOOKUP($A72,'Data shares'!$C:$FA,78)</f>
        <v>12150000</v>
      </c>
      <c r="O72" s="87">
        <f>VLOOKUP($A72,'Data shares'!$C:$FA,81)</f>
        <v>-3.0000000000000001E-3</v>
      </c>
    </row>
    <row r="73" spans="1:15" x14ac:dyDescent="0.25">
      <c r="A73" s="100" t="str">
        <f>'OI(Value)'!A73</f>
        <v>GMRAIRPORT</v>
      </c>
      <c r="B73" s="82">
        <f>VLOOKUP(A73,'Data shares'!$C$2:$CV$215,98,0)</f>
        <v>290997000</v>
      </c>
      <c r="C73" s="82">
        <f>VLOOKUP(A73,'Data shares'!$C$2:$CX$215,100,0)</f>
        <v>6709950</v>
      </c>
      <c r="D73" s="141">
        <f>VLOOKUP(A73,'Data shares'!$C$2:$CY$538,101,0)</f>
        <v>2.3599999999999999E-2</v>
      </c>
      <c r="E73" s="86">
        <f>VLOOKUP($A73,'Data shares'!$C:$FA,74)</f>
        <v>170482950</v>
      </c>
      <c r="F73" s="86">
        <f>VLOOKUP($A73,'Data shares'!$C:$FA,76)</f>
        <v>2748150</v>
      </c>
      <c r="G73" s="87">
        <f>VLOOKUP(A73,'Data shares'!$C$2:$CA$215,77,0)</f>
        <v>1.6400000000000001E-2</v>
      </c>
      <c r="H73" s="86">
        <f>VLOOKUP($A73,'Data shares'!$C:$FA,90)</f>
        <v>74555775</v>
      </c>
      <c r="I73" s="86">
        <f>VLOOKUP($A73,'Data shares'!$C:$FA,92)</f>
        <v>1750725</v>
      </c>
      <c r="J73" s="87">
        <f>VLOOKUP($A73,'Data shares'!$C:$FA,93)</f>
        <v>2.4E-2</v>
      </c>
      <c r="K73" s="86">
        <f>VLOOKUP($A73,'Data shares'!$C:$FA,94)</f>
        <v>45958275</v>
      </c>
      <c r="L73" s="86">
        <f>VLOOKUP($A73,'Data shares'!$C:$FA,96)</f>
        <v>2211075</v>
      </c>
      <c r="M73" s="87">
        <f>VLOOKUP($A73,'Data shares'!$C:$FA,97)</f>
        <v>5.0500000000000003E-2</v>
      </c>
      <c r="N73" s="86">
        <f>VLOOKUP($A73,'Data shares'!$C:$FA,78)</f>
        <v>166758300</v>
      </c>
      <c r="O73" s="87">
        <f>VLOOKUP($A73,'Data shares'!$C:$FA,81)</f>
        <v>1.5900000000000001E-2</v>
      </c>
    </row>
    <row r="74" spans="1:15" x14ac:dyDescent="0.25">
      <c r="A74" s="100" t="str">
        <f>'OI(Value)'!A74</f>
        <v>GODREJCP</v>
      </c>
      <c r="B74" s="82">
        <f>VLOOKUP(A74,'Data shares'!$C$2:$CV$215,98,0)</f>
        <v>11059500</v>
      </c>
      <c r="C74" s="82">
        <f>VLOOKUP(A74,'Data shares'!$C$2:$CX$215,100,0)</f>
        <v>3500</v>
      </c>
      <c r="D74" s="141">
        <f>VLOOKUP(A74,'Data shares'!$C$2:$CY$538,101,0)</f>
        <v>2.9999999999999997E-4</v>
      </c>
      <c r="E74" s="86">
        <f>VLOOKUP($A74,'Data shares'!$C:$FA,74)</f>
        <v>9499000</v>
      </c>
      <c r="F74" s="86">
        <f>VLOOKUP($A74,'Data shares'!$C:$FA,76)</f>
        <v>-127500</v>
      </c>
      <c r="G74" s="87">
        <f>VLOOKUP(A74,'Data shares'!$C$2:$CA$215,77,0)</f>
        <v>-1.32E-2</v>
      </c>
      <c r="H74" s="86">
        <f>VLOOKUP($A74,'Data shares'!$C:$FA,90)</f>
        <v>874000</v>
      </c>
      <c r="I74" s="86">
        <f>VLOOKUP($A74,'Data shares'!$C:$FA,92)</f>
        <v>48000</v>
      </c>
      <c r="J74" s="87">
        <f>VLOOKUP($A74,'Data shares'!$C:$FA,93)</f>
        <v>5.8099999999999999E-2</v>
      </c>
      <c r="K74" s="86">
        <f>VLOOKUP($A74,'Data shares'!$C:$FA,94)</f>
        <v>686500</v>
      </c>
      <c r="L74" s="86">
        <f>VLOOKUP($A74,'Data shares'!$C:$FA,96)</f>
        <v>83000</v>
      </c>
      <c r="M74" s="87">
        <f>VLOOKUP($A74,'Data shares'!$C:$FA,97)</f>
        <v>0.13750000000000001</v>
      </c>
      <c r="N74" s="86">
        <f>VLOOKUP($A74,'Data shares'!$C:$FA,78)</f>
        <v>9467000</v>
      </c>
      <c r="O74" s="87">
        <f>VLOOKUP($A74,'Data shares'!$C:$FA,81)</f>
        <v>-1.35E-2</v>
      </c>
    </row>
    <row r="75" spans="1:15" x14ac:dyDescent="0.25">
      <c r="A75" s="100" t="str">
        <f>'OI(Value)'!A75</f>
        <v>GODREJPROP</v>
      </c>
      <c r="B75" s="82">
        <f>VLOOKUP(A75,'Data shares'!$C$2:$CV$215,98,0)</f>
        <v>12066450</v>
      </c>
      <c r="C75" s="82">
        <f>VLOOKUP(A75,'Data shares'!$C$2:$CX$215,100,0)</f>
        <v>248325</v>
      </c>
      <c r="D75" s="141">
        <f>VLOOKUP(A75,'Data shares'!$C$2:$CY$538,101,0)</f>
        <v>2.1000000000000001E-2</v>
      </c>
      <c r="E75" s="86">
        <f>VLOOKUP($A75,'Data shares'!$C:$FA,74)</f>
        <v>9127800</v>
      </c>
      <c r="F75" s="86">
        <f>VLOOKUP($A75,'Data shares'!$C:$FA,76)</f>
        <v>91300</v>
      </c>
      <c r="G75" s="87">
        <f>VLOOKUP(A75,'Data shares'!$C$2:$CA$215,77,0)</f>
        <v>1.01E-2</v>
      </c>
      <c r="H75" s="86">
        <f>VLOOKUP($A75,'Data shares'!$C:$FA,90)</f>
        <v>1621675</v>
      </c>
      <c r="I75" s="86">
        <f>VLOOKUP($A75,'Data shares'!$C:$FA,92)</f>
        <v>100375</v>
      </c>
      <c r="J75" s="87">
        <f>VLOOKUP($A75,'Data shares'!$C:$FA,93)</f>
        <v>6.6000000000000003E-2</v>
      </c>
      <c r="K75" s="86">
        <f>VLOOKUP($A75,'Data shares'!$C:$FA,94)</f>
        <v>1316975</v>
      </c>
      <c r="L75" s="86">
        <f>VLOOKUP($A75,'Data shares'!$C:$FA,96)</f>
        <v>56650</v>
      </c>
      <c r="M75" s="87">
        <f>VLOOKUP($A75,'Data shares'!$C:$FA,97)</f>
        <v>4.4900000000000002E-2</v>
      </c>
      <c r="N75" s="86">
        <f>VLOOKUP($A75,'Data shares'!$C:$FA,78)</f>
        <v>8969400</v>
      </c>
      <c r="O75" s="87">
        <f>VLOOKUP($A75,'Data shares'!$C:$FA,81)</f>
        <v>9.4000000000000004E-3</v>
      </c>
    </row>
    <row r="76" spans="1:15" x14ac:dyDescent="0.25">
      <c r="A76" s="100" t="str">
        <f>'OI(Value)'!A76</f>
        <v>GRASIM</v>
      </c>
      <c r="B76" s="82">
        <f>VLOOKUP(A76,'Data shares'!$C$2:$CV$215,98,0)</f>
        <v>17761000</v>
      </c>
      <c r="C76" s="82">
        <f>VLOOKUP(A76,'Data shares'!$C$2:$CX$215,100,0)</f>
        <v>322750</v>
      </c>
      <c r="D76" s="141">
        <f>VLOOKUP(A76,'Data shares'!$C$2:$CY$538,101,0)</f>
        <v>1.8499999999999999E-2</v>
      </c>
      <c r="E76" s="86">
        <f>VLOOKUP($A76,'Data shares'!$C:$FA,74)</f>
        <v>15745000</v>
      </c>
      <c r="F76" s="86">
        <f>VLOOKUP($A76,'Data shares'!$C:$FA,76)</f>
        <v>146500</v>
      </c>
      <c r="G76" s="87">
        <f>VLOOKUP(A76,'Data shares'!$C$2:$CA$215,77,0)</f>
        <v>9.4000000000000004E-3</v>
      </c>
      <c r="H76" s="86">
        <f>VLOOKUP($A76,'Data shares'!$C:$FA,90)</f>
        <v>989250</v>
      </c>
      <c r="I76" s="86">
        <f>VLOOKUP($A76,'Data shares'!$C:$FA,92)</f>
        <v>104250</v>
      </c>
      <c r="J76" s="87">
        <f>VLOOKUP($A76,'Data shares'!$C:$FA,93)</f>
        <v>0.1178</v>
      </c>
      <c r="K76" s="86">
        <f>VLOOKUP($A76,'Data shares'!$C:$FA,94)</f>
        <v>1026750</v>
      </c>
      <c r="L76" s="86">
        <f>VLOOKUP($A76,'Data shares'!$C:$FA,96)</f>
        <v>72000</v>
      </c>
      <c r="M76" s="87">
        <f>VLOOKUP($A76,'Data shares'!$C:$FA,97)</f>
        <v>7.5399999999999995E-2</v>
      </c>
      <c r="N76" s="86">
        <f>VLOOKUP($A76,'Data shares'!$C:$FA,78)</f>
        <v>15697500</v>
      </c>
      <c r="O76" s="87">
        <f>VLOOKUP($A76,'Data shares'!$C:$FA,81)</f>
        <v>8.6999999999999994E-3</v>
      </c>
    </row>
    <row r="77" spans="1:15" x14ac:dyDescent="0.25">
      <c r="A77" s="100" t="str">
        <f>'OI(Value)'!A77</f>
        <v>HAL</v>
      </c>
      <c r="B77" s="82">
        <f>VLOOKUP(A77,'Data shares'!$C$2:$CV$215,98,0)</f>
        <v>15756450</v>
      </c>
      <c r="C77" s="82">
        <f>VLOOKUP(A77,'Data shares'!$C$2:$CX$215,100,0)</f>
        <v>316050</v>
      </c>
      <c r="D77" s="141">
        <f>VLOOKUP(A77,'Data shares'!$C$2:$CY$538,101,0)</f>
        <v>2.0500000000000001E-2</v>
      </c>
      <c r="E77" s="86">
        <f>VLOOKUP($A77,'Data shares'!$C:$FA,74)</f>
        <v>9637950</v>
      </c>
      <c r="F77" s="86">
        <f>VLOOKUP($A77,'Data shares'!$C:$FA,76)</f>
        <v>5100</v>
      </c>
      <c r="G77" s="87">
        <f>VLOOKUP(A77,'Data shares'!$C$2:$CA$215,77,0)</f>
        <v>5.0000000000000001E-4</v>
      </c>
      <c r="H77" s="86">
        <f>VLOOKUP($A77,'Data shares'!$C:$FA,90)</f>
        <v>3594450</v>
      </c>
      <c r="I77" s="86">
        <f>VLOOKUP($A77,'Data shares'!$C:$FA,92)</f>
        <v>190950</v>
      </c>
      <c r="J77" s="87">
        <f>VLOOKUP($A77,'Data shares'!$C:$FA,93)</f>
        <v>5.6099999999999997E-2</v>
      </c>
      <c r="K77" s="86">
        <f>VLOOKUP($A77,'Data shares'!$C:$FA,94)</f>
        <v>2524050</v>
      </c>
      <c r="L77" s="86">
        <f>VLOOKUP($A77,'Data shares'!$C:$FA,96)</f>
        <v>120000</v>
      </c>
      <c r="M77" s="87">
        <f>VLOOKUP($A77,'Data shares'!$C:$FA,97)</f>
        <v>4.99E-2</v>
      </c>
      <c r="N77" s="86">
        <f>VLOOKUP($A77,'Data shares'!$C:$FA,78)</f>
        <v>8899500</v>
      </c>
      <c r="O77" s="87">
        <f>VLOOKUP($A77,'Data shares'!$C:$FA,81)</f>
        <v>-1.7399999999999999E-2</v>
      </c>
    </row>
    <row r="78" spans="1:15" x14ac:dyDescent="0.25">
      <c r="A78" s="100" t="str">
        <f>'OI(Value)'!A78</f>
        <v>HAVELLS</v>
      </c>
      <c r="B78" s="82">
        <f>VLOOKUP(A78,'Data shares'!$C$2:$CV$215,98,0)</f>
        <v>10642500</v>
      </c>
      <c r="C78" s="82">
        <f>VLOOKUP(A78,'Data shares'!$C$2:$CX$215,100,0)</f>
        <v>353000</v>
      </c>
      <c r="D78" s="141">
        <f>VLOOKUP(A78,'Data shares'!$C$2:$CY$538,101,0)</f>
        <v>3.4299999999999997E-2</v>
      </c>
      <c r="E78" s="86">
        <f>VLOOKUP($A78,'Data shares'!$C:$FA,74)</f>
        <v>7828500</v>
      </c>
      <c r="F78" s="86">
        <f>VLOOKUP($A78,'Data shares'!$C:$FA,76)</f>
        <v>21500</v>
      </c>
      <c r="G78" s="87">
        <f>VLOOKUP(A78,'Data shares'!$C$2:$CA$215,77,0)</f>
        <v>2.8E-3</v>
      </c>
      <c r="H78" s="86">
        <f>VLOOKUP($A78,'Data shares'!$C:$FA,90)</f>
        <v>1335000</v>
      </c>
      <c r="I78" s="86">
        <f>VLOOKUP($A78,'Data shares'!$C:$FA,92)</f>
        <v>202500</v>
      </c>
      <c r="J78" s="87">
        <f>VLOOKUP($A78,'Data shares'!$C:$FA,93)</f>
        <v>0.17879999999999999</v>
      </c>
      <c r="K78" s="86">
        <f>VLOOKUP($A78,'Data shares'!$C:$FA,94)</f>
        <v>1479000</v>
      </c>
      <c r="L78" s="86">
        <f>VLOOKUP($A78,'Data shares'!$C:$FA,96)</f>
        <v>129000</v>
      </c>
      <c r="M78" s="87">
        <f>VLOOKUP($A78,'Data shares'!$C:$FA,97)</f>
        <v>9.5600000000000004E-2</v>
      </c>
      <c r="N78" s="86">
        <f>VLOOKUP($A78,'Data shares'!$C:$FA,78)</f>
        <v>7598500</v>
      </c>
      <c r="O78" s="87">
        <f>VLOOKUP($A78,'Data shares'!$C:$FA,81)</f>
        <v>1.6999999999999999E-3</v>
      </c>
    </row>
    <row r="79" spans="1:15" x14ac:dyDescent="0.25">
      <c r="A79" s="100" t="str">
        <f>'OI(Value)'!A79</f>
        <v>HCLTECH</v>
      </c>
      <c r="B79" s="82">
        <f>VLOOKUP(A79,'Data shares'!$C$2:$CV$215,98,0)</f>
        <v>21844900</v>
      </c>
      <c r="C79" s="82">
        <f>VLOOKUP(A79,'Data shares'!$C$2:$CX$215,100,0)</f>
        <v>1035300</v>
      </c>
      <c r="D79" s="141">
        <f>VLOOKUP(A79,'Data shares'!$C$2:$CY$538,101,0)</f>
        <v>4.9799999999999997E-2</v>
      </c>
      <c r="E79" s="86">
        <f>VLOOKUP($A79,'Data shares'!$C:$FA,74)</f>
        <v>15955450</v>
      </c>
      <c r="F79" s="86">
        <f>VLOOKUP($A79,'Data shares'!$C:$FA,76)</f>
        <v>47950</v>
      </c>
      <c r="G79" s="87">
        <f>VLOOKUP(A79,'Data shares'!$C$2:$CA$215,77,0)</f>
        <v>3.0000000000000001E-3</v>
      </c>
      <c r="H79" s="86">
        <f>VLOOKUP($A79,'Data shares'!$C:$FA,90)</f>
        <v>3659600</v>
      </c>
      <c r="I79" s="86">
        <f>VLOOKUP($A79,'Data shares'!$C:$FA,92)</f>
        <v>778050</v>
      </c>
      <c r="J79" s="87">
        <f>VLOOKUP($A79,'Data shares'!$C:$FA,93)</f>
        <v>0.27</v>
      </c>
      <c r="K79" s="86">
        <f>VLOOKUP($A79,'Data shares'!$C:$FA,94)</f>
        <v>2229850</v>
      </c>
      <c r="L79" s="86">
        <f>VLOOKUP($A79,'Data shares'!$C:$FA,96)</f>
        <v>209300</v>
      </c>
      <c r="M79" s="87">
        <f>VLOOKUP($A79,'Data shares'!$C:$FA,97)</f>
        <v>0.1036</v>
      </c>
      <c r="N79" s="86">
        <f>VLOOKUP($A79,'Data shares'!$C:$FA,78)</f>
        <v>15740900</v>
      </c>
      <c r="O79" s="87">
        <f>VLOOKUP($A79,'Data shares'!$C:$FA,81)</f>
        <v>1.6999999999999999E-3</v>
      </c>
    </row>
    <row r="80" spans="1:15" x14ac:dyDescent="0.25">
      <c r="A80" s="100" t="str">
        <f>'OI(Value)'!A80</f>
        <v>HDFCAMC</v>
      </c>
      <c r="B80" s="82">
        <f>VLOOKUP(A80,'Data shares'!$C$2:$CV$215,98,0)</f>
        <v>7870200</v>
      </c>
      <c r="C80" s="82">
        <f>VLOOKUP(A80,'Data shares'!$C$2:$CX$215,100,0)</f>
        <v>191700</v>
      </c>
      <c r="D80" s="141">
        <f>VLOOKUP(A80,'Data shares'!$C$2:$CY$538,101,0)</f>
        <v>2.5000000000000001E-2</v>
      </c>
      <c r="E80" s="86">
        <f>VLOOKUP($A80,'Data shares'!$C:$FA,74)</f>
        <v>5935800</v>
      </c>
      <c r="F80" s="86">
        <f>VLOOKUP($A80,'Data shares'!$C:$FA,76)</f>
        <v>9900</v>
      </c>
      <c r="G80" s="87">
        <f>VLOOKUP(A80,'Data shares'!$C$2:$CA$215,77,0)</f>
        <v>1.6999999999999999E-3</v>
      </c>
      <c r="H80" s="86">
        <f>VLOOKUP($A80,'Data shares'!$C:$FA,90)</f>
        <v>1116900</v>
      </c>
      <c r="I80" s="86">
        <f>VLOOKUP($A80,'Data shares'!$C:$FA,92)</f>
        <v>110700</v>
      </c>
      <c r="J80" s="87">
        <f>VLOOKUP($A80,'Data shares'!$C:$FA,93)</f>
        <v>0.11</v>
      </c>
      <c r="K80" s="86">
        <f>VLOOKUP($A80,'Data shares'!$C:$FA,94)</f>
        <v>817500</v>
      </c>
      <c r="L80" s="86">
        <f>VLOOKUP($A80,'Data shares'!$C:$FA,96)</f>
        <v>71100</v>
      </c>
      <c r="M80" s="87">
        <f>VLOOKUP($A80,'Data shares'!$C:$FA,97)</f>
        <v>9.5299999999999996E-2</v>
      </c>
      <c r="N80" s="86">
        <f>VLOOKUP($A80,'Data shares'!$C:$FA,78)</f>
        <v>5859300</v>
      </c>
      <c r="O80" s="87">
        <f>VLOOKUP($A80,'Data shares'!$C:$FA,81)</f>
        <v>1.2999999999999999E-3</v>
      </c>
    </row>
    <row r="81" spans="1:15" x14ac:dyDescent="0.25">
      <c r="A81" s="100" t="str">
        <f>'OI(Value)'!A81</f>
        <v>HDFCBANK</v>
      </c>
      <c r="B81" s="82">
        <f>VLOOKUP(A81,'Data shares'!$C$2:$CV$215,98,0)</f>
        <v>259107750</v>
      </c>
      <c r="C81" s="82">
        <f>VLOOKUP(A81,'Data shares'!$C$2:$CX$215,100,0)</f>
        <v>3300550</v>
      </c>
      <c r="D81" s="141">
        <f>VLOOKUP(A81,'Data shares'!$C$2:$CY$538,101,0)</f>
        <v>1.29E-2</v>
      </c>
      <c r="E81" s="86">
        <f>VLOOKUP($A81,'Data shares'!$C:$FA,74)</f>
        <v>219615000</v>
      </c>
      <c r="F81" s="86">
        <f>VLOOKUP($A81,'Data shares'!$C:$FA,76)</f>
        <v>-208450</v>
      </c>
      <c r="G81" s="87">
        <f>VLOOKUP(A81,'Data shares'!$C$2:$CA$215,77,0)</f>
        <v>-8.9999999999999998E-4</v>
      </c>
      <c r="H81" s="86">
        <f>VLOOKUP($A81,'Data shares'!$C:$FA,90)</f>
        <v>21236050</v>
      </c>
      <c r="I81" s="86">
        <f>VLOOKUP($A81,'Data shares'!$C:$FA,92)</f>
        <v>2219800</v>
      </c>
      <c r="J81" s="87">
        <f>VLOOKUP($A81,'Data shares'!$C:$FA,93)</f>
        <v>0.1167</v>
      </c>
      <c r="K81" s="86">
        <f>VLOOKUP($A81,'Data shares'!$C:$FA,94)</f>
        <v>18256700</v>
      </c>
      <c r="L81" s="86">
        <f>VLOOKUP($A81,'Data shares'!$C:$FA,96)</f>
        <v>1289200</v>
      </c>
      <c r="M81" s="87">
        <f>VLOOKUP($A81,'Data shares'!$C:$FA,97)</f>
        <v>7.5999999999999998E-2</v>
      </c>
      <c r="N81" s="86">
        <f>VLOOKUP($A81,'Data shares'!$C:$FA,78)</f>
        <v>217689450</v>
      </c>
      <c r="O81" s="87">
        <f>VLOOKUP($A81,'Data shares'!$C:$FA,81)</f>
        <v>-2.3999999999999998E-3</v>
      </c>
    </row>
    <row r="82" spans="1:15" x14ac:dyDescent="0.25">
      <c r="A82" s="100" t="str">
        <f>'OI(Value)'!A82</f>
        <v>HDFCLIFE</v>
      </c>
      <c r="B82" s="82">
        <f>VLOOKUP(A82,'Data shares'!$C$2:$CV$215,98,0)</f>
        <v>46096600</v>
      </c>
      <c r="C82" s="82">
        <f>VLOOKUP(A82,'Data shares'!$C$2:$CX$215,100,0)</f>
        <v>1820500</v>
      </c>
      <c r="D82" s="141">
        <f>VLOOKUP(A82,'Data shares'!$C$2:$CY$538,101,0)</f>
        <v>4.1099999999999998E-2</v>
      </c>
      <c r="E82" s="86">
        <f>VLOOKUP($A82,'Data shares'!$C:$FA,74)</f>
        <v>34578500</v>
      </c>
      <c r="F82" s="86">
        <f>VLOOKUP($A82,'Data shares'!$C:$FA,76)</f>
        <v>126500</v>
      </c>
      <c r="G82" s="87">
        <f>VLOOKUP(A82,'Data shares'!$C$2:$CA$215,77,0)</f>
        <v>3.7000000000000002E-3</v>
      </c>
      <c r="H82" s="86">
        <f>VLOOKUP($A82,'Data shares'!$C:$FA,90)</f>
        <v>6964100</v>
      </c>
      <c r="I82" s="86">
        <f>VLOOKUP($A82,'Data shares'!$C:$FA,92)</f>
        <v>1293600</v>
      </c>
      <c r="J82" s="87">
        <f>VLOOKUP($A82,'Data shares'!$C:$FA,93)</f>
        <v>0.2281</v>
      </c>
      <c r="K82" s="86">
        <f>VLOOKUP($A82,'Data shares'!$C:$FA,94)</f>
        <v>4554000</v>
      </c>
      <c r="L82" s="86">
        <f>VLOOKUP($A82,'Data shares'!$C:$FA,96)</f>
        <v>400400</v>
      </c>
      <c r="M82" s="87">
        <f>VLOOKUP($A82,'Data shares'!$C:$FA,97)</f>
        <v>9.64E-2</v>
      </c>
      <c r="N82" s="86">
        <f>VLOOKUP($A82,'Data shares'!$C:$FA,78)</f>
        <v>34196800</v>
      </c>
      <c r="O82" s="87">
        <f>VLOOKUP($A82,'Data shares'!$C:$FA,81)</f>
        <v>3.2000000000000002E-3</v>
      </c>
    </row>
    <row r="83" spans="1:15" x14ac:dyDescent="0.25">
      <c r="A83" s="100" t="str">
        <f>'OI(Value)'!A83</f>
        <v>HEROMOTOCO</v>
      </c>
      <c r="B83" s="82">
        <f>VLOOKUP(A83,'Data shares'!$C$2:$CV$215,98,0)</f>
        <v>8304900</v>
      </c>
      <c r="C83" s="82">
        <f>VLOOKUP(A83,'Data shares'!$C$2:$CX$215,100,0)</f>
        <v>72450</v>
      </c>
      <c r="D83" s="141">
        <f>VLOOKUP(A83,'Data shares'!$C$2:$CY$538,101,0)</f>
        <v>8.8000000000000005E-3</v>
      </c>
      <c r="E83" s="86">
        <f>VLOOKUP($A83,'Data shares'!$C:$FA,74)</f>
        <v>5772300</v>
      </c>
      <c r="F83" s="86">
        <f>VLOOKUP($A83,'Data shares'!$C:$FA,76)</f>
        <v>24900</v>
      </c>
      <c r="G83" s="87">
        <f>VLOOKUP(A83,'Data shares'!$C$2:$CA$215,77,0)</f>
        <v>4.3E-3</v>
      </c>
      <c r="H83" s="86">
        <f>VLOOKUP($A83,'Data shares'!$C:$FA,90)</f>
        <v>1491300</v>
      </c>
      <c r="I83" s="86">
        <f>VLOOKUP($A83,'Data shares'!$C:$FA,92)</f>
        <v>-2250</v>
      </c>
      <c r="J83" s="87">
        <f>VLOOKUP($A83,'Data shares'!$C:$FA,93)</f>
        <v>-1.5E-3</v>
      </c>
      <c r="K83" s="86">
        <f>VLOOKUP($A83,'Data shares'!$C:$FA,94)</f>
        <v>1041300</v>
      </c>
      <c r="L83" s="86">
        <f>VLOOKUP($A83,'Data shares'!$C:$FA,96)</f>
        <v>49800</v>
      </c>
      <c r="M83" s="87">
        <f>VLOOKUP($A83,'Data shares'!$C:$FA,97)</f>
        <v>5.0200000000000002E-2</v>
      </c>
      <c r="N83" s="86">
        <f>VLOOKUP($A83,'Data shares'!$C:$FA,78)</f>
        <v>5684400</v>
      </c>
      <c r="O83" s="87">
        <f>VLOOKUP($A83,'Data shares'!$C:$FA,81)</f>
        <v>2.8999999999999998E-3</v>
      </c>
    </row>
    <row r="84" spans="1:15" x14ac:dyDescent="0.25">
      <c r="A84" s="100" t="str">
        <f>'OI(Value)'!A84</f>
        <v>HINDALCO</v>
      </c>
      <c r="B84" s="82">
        <f>VLOOKUP(A84,'Data shares'!$C$2:$CV$215,98,0)</f>
        <v>84615300</v>
      </c>
      <c r="C84" s="82">
        <f>VLOOKUP(A84,'Data shares'!$C$2:$CX$215,100,0)</f>
        <v>53200</v>
      </c>
      <c r="D84" s="141">
        <f>VLOOKUP(A84,'Data shares'!$C$2:$CY$538,101,0)</f>
        <v>5.9999999999999995E-4</v>
      </c>
      <c r="E84" s="86">
        <f>VLOOKUP($A84,'Data shares'!$C:$FA,74)</f>
        <v>66119900</v>
      </c>
      <c r="F84" s="86">
        <f>VLOOKUP($A84,'Data shares'!$C:$FA,76)</f>
        <v>-800100</v>
      </c>
      <c r="G84" s="87">
        <f>VLOOKUP(A84,'Data shares'!$C$2:$CA$215,77,0)</f>
        <v>-1.2E-2</v>
      </c>
      <c r="H84" s="86">
        <f>VLOOKUP($A84,'Data shares'!$C:$FA,90)</f>
        <v>9578100</v>
      </c>
      <c r="I84" s="86">
        <f>VLOOKUP($A84,'Data shares'!$C:$FA,92)</f>
        <v>394100</v>
      </c>
      <c r="J84" s="87">
        <f>VLOOKUP($A84,'Data shares'!$C:$FA,93)</f>
        <v>4.2900000000000001E-2</v>
      </c>
      <c r="K84" s="86">
        <f>VLOOKUP($A84,'Data shares'!$C:$FA,94)</f>
        <v>8917300</v>
      </c>
      <c r="L84" s="86">
        <f>VLOOKUP($A84,'Data shares'!$C:$FA,96)</f>
        <v>459200</v>
      </c>
      <c r="M84" s="87">
        <f>VLOOKUP($A84,'Data shares'!$C:$FA,97)</f>
        <v>5.4300000000000001E-2</v>
      </c>
      <c r="N84" s="86">
        <f>VLOOKUP($A84,'Data shares'!$C:$FA,78)</f>
        <v>65576000</v>
      </c>
      <c r="O84" s="87">
        <f>VLOOKUP($A84,'Data shares'!$C:$FA,81)</f>
        <v>-1.29E-2</v>
      </c>
    </row>
    <row r="85" spans="1:15" x14ac:dyDescent="0.25">
      <c r="A85" s="100" t="str">
        <f>'OI(Value)'!A85</f>
        <v>HINDPETRO</v>
      </c>
      <c r="B85" s="82">
        <f>VLOOKUP(A85,'Data shares'!$C$2:$CV$215,98,0)</f>
        <v>55233900</v>
      </c>
      <c r="C85" s="82">
        <f>VLOOKUP(A85,'Data shares'!$C$2:$CX$215,100,0)</f>
        <v>530550</v>
      </c>
      <c r="D85" s="141">
        <f>VLOOKUP(A85,'Data shares'!$C$2:$CY$538,101,0)</f>
        <v>9.7000000000000003E-3</v>
      </c>
      <c r="E85" s="86">
        <f>VLOOKUP($A85,'Data shares'!$C:$FA,74)</f>
        <v>36018675</v>
      </c>
      <c r="F85" s="86">
        <f>VLOOKUP($A85,'Data shares'!$C:$FA,76)</f>
        <v>617625</v>
      </c>
      <c r="G85" s="87">
        <f>VLOOKUP(A85,'Data shares'!$C$2:$CA$215,77,0)</f>
        <v>1.7399999999999999E-2</v>
      </c>
      <c r="H85" s="86">
        <f>VLOOKUP($A85,'Data shares'!$C:$FA,90)</f>
        <v>10843875</v>
      </c>
      <c r="I85" s="86">
        <f>VLOOKUP($A85,'Data shares'!$C:$FA,92)</f>
        <v>208575</v>
      </c>
      <c r="J85" s="87">
        <f>VLOOKUP($A85,'Data shares'!$C:$FA,93)</f>
        <v>1.9599999999999999E-2</v>
      </c>
      <c r="K85" s="86">
        <f>VLOOKUP($A85,'Data shares'!$C:$FA,94)</f>
        <v>8371350</v>
      </c>
      <c r="L85" s="86">
        <f>VLOOKUP($A85,'Data shares'!$C:$FA,96)</f>
        <v>-295650</v>
      </c>
      <c r="M85" s="87">
        <f>VLOOKUP($A85,'Data shares'!$C:$FA,97)</f>
        <v>-3.4099999999999998E-2</v>
      </c>
      <c r="N85" s="86">
        <f>VLOOKUP($A85,'Data shares'!$C:$FA,78)</f>
        <v>35309925</v>
      </c>
      <c r="O85" s="87">
        <f>VLOOKUP($A85,'Data shares'!$C:$FA,81)</f>
        <v>1.7999999999999999E-2</v>
      </c>
    </row>
    <row r="86" spans="1:15" x14ac:dyDescent="0.25">
      <c r="A86" s="100" t="str">
        <f>'OI(Value)'!A86</f>
        <v>HINDUNILVR</v>
      </c>
      <c r="B86" s="82">
        <f>VLOOKUP(A86,'Data shares'!$C$2:$CV$215,98,0)</f>
        <v>19476600</v>
      </c>
      <c r="C86" s="82">
        <f>VLOOKUP(A86,'Data shares'!$C$2:$CX$215,100,0)</f>
        <v>945300</v>
      </c>
      <c r="D86" s="141">
        <f>VLOOKUP(A86,'Data shares'!$C$2:$CY$538,101,0)</f>
        <v>5.0999999999999997E-2</v>
      </c>
      <c r="E86" s="86">
        <f>VLOOKUP($A86,'Data shares'!$C:$FA,74)</f>
        <v>12162900</v>
      </c>
      <c r="F86" s="86">
        <f>VLOOKUP($A86,'Data shares'!$C:$FA,76)</f>
        <v>-288000</v>
      </c>
      <c r="G86" s="87">
        <f>VLOOKUP(A86,'Data shares'!$C$2:$CA$215,77,0)</f>
        <v>-2.3099999999999999E-2</v>
      </c>
      <c r="H86" s="86">
        <f>VLOOKUP($A86,'Data shares'!$C:$FA,90)</f>
        <v>4322700</v>
      </c>
      <c r="I86" s="86">
        <f>VLOOKUP($A86,'Data shares'!$C:$FA,92)</f>
        <v>880500</v>
      </c>
      <c r="J86" s="87">
        <f>VLOOKUP($A86,'Data shares'!$C:$FA,93)</f>
        <v>0.25580000000000003</v>
      </c>
      <c r="K86" s="86">
        <f>VLOOKUP($A86,'Data shares'!$C:$FA,94)</f>
        <v>2991000</v>
      </c>
      <c r="L86" s="86">
        <f>VLOOKUP($A86,'Data shares'!$C:$FA,96)</f>
        <v>352800</v>
      </c>
      <c r="M86" s="87">
        <f>VLOOKUP($A86,'Data shares'!$C:$FA,97)</f>
        <v>0.13370000000000001</v>
      </c>
      <c r="N86" s="86">
        <f>VLOOKUP($A86,'Data shares'!$C:$FA,78)</f>
        <v>11907900</v>
      </c>
      <c r="O86" s="87">
        <f>VLOOKUP($A86,'Data shares'!$C:$FA,81)</f>
        <v>-2.52E-2</v>
      </c>
    </row>
    <row r="87" spans="1:15" x14ac:dyDescent="0.25">
      <c r="A87" s="100" t="str">
        <f>'OI(Value)'!A87</f>
        <v>HINDZINC</v>
      </c>
      <c r="B87" s="82">
        <f>VLOOKUP(A87,'Data shares'!$C$2:$CV$215,98,0)</f>
        <v>92129800</v>
      </c>
      <c r="C87" s="82">
        <f>VLOOKUP(A87,'Data shares'!$C$2:$CX$215,100,0)</f>
        <v>-197225</v>
      </c>
      <c r="D87" s="141">
        <f>VLOOKUP(A87,'Data shares'!$C$2:$CY$538,101,0)</f>
        <v>-2.0999999999999999E-3</v>
      </c>
      <c r="E87" s="86">
        <f>VLOOKUP($A87,'Data shares'!$C:$FA,74)</f>
        <v>34968850</v>
      </c>
      <c r="F87" s="86">
        <f>VLOOKUP($A87,'Data shares'!$C:$FA,76)</f>
        <v>-204575</v>
      </c>
      <c r="G87" s="87">
        <f>VLOOKUP(A87,'Data shares'!$C$2:$CA$215,77,0)</f>
        <v>-5.7999999999999996E-3</v>
      </c>
      <c r="H87" s="86">
        <f>VLOOKUP($A87,'Data shares'!$C:$FA,90)</f>
        <v>34987225</v>
      </c>
      <c r="I87" s="86">
        <f>VLOOKUP($A87,'Data shares'!$C:$FA,92)</f>
        <v>-132300</v>
      </c>
      <c r="J87" s="87">
        <f>VLOOKUP($A87,'Data shares'!$C:$FA,93)</f>
        <v>-3.8E-3</v>
      </c>
      <c r="K87" s="86">
        <f>VLOOKUP($A87,'Data shares'!$C:$FA,94)</f>
        <v>22173725</v>
      </c>
      <c r="L87" s="86">
        <f>VLOOKUP($A87,'Data shares'!$C:$FA,96)</f>
        <v>139650</v>
      </c>
      <c r="M87" s="87">
        <f>VLOOKUP($A87,'Data shares'!$C:$FA,97)</f>
        <v>6.3E-3</v>
      </c>
      <c r="N87" s="86">
        <f>VLOOKUP($A87,'Data shares'!$C:$FA,78)</f>
        <v>32498025</v>
      </c>
      <c r="O87" s="87">
        <f>VLOOKUP($A87,'Data shares'!$C:$FA,81)</f>
        <v>-7.4999999999999997E-3</v>
      </c>
    </row>
    <row r="88" spans="1:15" x14ac:dyDescent="0.25">
      <c r="A88" s="100" t="str">
        <f>'OI(Value)'!A88</f>
        <v>HUDCO</v>
      </c>
      <c r="B88" s="82">
        <f>VLOOKUP(A88,'Data shares'!$C$2:$CV$215,98,0)</f>
        <v>63689025</v>
      </c>
      <c r="C88" s="82">
        <f>VLOOKUP(A88,'Data shares'!$C$2:$CX$215,100,0)</f>
        <v>-194250</v>
      </c>
      <c r="D88" s="141">
        <f>VLOOKUP(A88,'Data shares'!$C$2:$CY$538,101,0)</f>
        <v>-3.0000000000000001E-3</v>
      </c>
      <c r="E88" s="86">
        <f>VLOOKUP($A88,'Data shares'!$C:$FA,74)</f>
        <v>41020050</v>
      </c>
      <c r="F88" s="86">
        <f>VLOOKUP($A88,'Data shares'!$C:$FA,76)</f>
        <v>-532800</v>
      </c>
      <c r="G88" s="87">
        <f>VLOOKUP(A88,'Data shares'!$C$2:$CA$215,77,0)</f>
        <v>-1.2800000000000001E-2</v>
      </c>
      <c r="H88" s="86">
        <f>VLOOKUP($A88,'Data shares'!$C:$FA,90)</f>
        <v>11926950</v>
      </c>
      <c r="I88" s="86">
        <f>VLOOKUP($A88,'Data shares'!$C:$FA,92)</f>
        <v>210900</v>
      </c>
      <c r="J88" s="87">
        <f>VLOOKUP($A88,'Data shares'!$C:$FA,93)</f>
        <v>1.7999999999999999E-2</v>
      </c>
      <c r="K88" s="86">
        <f>VLOOKUP($A88,'Data shares'!$C:$FA,94)</f>
        <v>10742025</v>
      </c>
      <c r="L88" s="86">
        <f>VLOOKUP($A88,'Data shares'!$C:$FA,96)</f>
        <v>127650</v>
      </c>
      <c r="M88" s="87">
        <f>VLOOKUP($A88,'Data shares'!$C:$FA,97)</f>
        <v>1.2E-2</v>
      </c>
      <c r="N88" s="86">
        <f>VLOOKUP($A88,'Data shares'!$C:$FA,78)</f>
        <v>40015500</v>
      </c>
      <c r="O88" s="87">
        <f>VLOOKUP($A88,'Data shares'!$C:$FA,81)</f>
        <v>-1.3299999999999999E-2</v>
      </c>
    </row>
    <row r="89" spans="1:15" x14ac:dyDescent="0.25">
      <c r="A89" s="100" t="str">
        <f>'OI(Value)'!A89</f>
        <v>ICICIBANK</v>
      </c>
      <c r="B89" s="82">
        <f>VLOOKUP(A89,'Data shares'!$C$2:$CV$215,98,0)</f>
        <v>166563600</v>
      </c>
      <c r="C89" s="82">
        <f>VLOOKUP(A89,'Data shares'!$C$2:$CX$215,100,0)</f>
        <v>4783100</v>
      </c>
      <c r="D89" s="141">
        <f>VLOOKUP(A89,'Data shares'!$C$2:$CY$538,101,0)</f>
        <v>2.9600000000000001E-2</v>
      </c>
      <c r="E89" s="86">
        <f>VLOOKUP($A89,'Data shares'!$C:$FA,74)</f>
        <v>122446100</v>
      </c>
      <c r="F89" s="86">
        <f>VLOOKUP($A89,'Data shares'!$C:$FA,76)</f>
        <v>1052800</v>
      </c>
      <c r="G89" s="87">
        <f>VLOOKUP(A89,'Data shares'!$C$2:$CA$215,77,0)</f>
        <v>8.6999999999999994E-3</v>
      </c>
      <c r="H89" s="86">
        <f>VLOOKUP($A89,'Data shares'!$C:$FA,90)</f>
        <v>24249400</v>
      </c>
      <c r="I89" s="86">
        <f>VLOOKUP($A89,'Data shares'!$C:$FA,92)</f>
        <v>2590000</v>
      </c>
      <c r="J89" s="87">
        <f>VLOOKUP($A89,'Data shares'!$C:$FA,93)</f>
        <v>0.1196</v>
      </c>
      <c r="K89" s="86">
        <f>VLOOKUP($A89,'Data shares'!$C:$FA,94)</f>
        <v>19868100</v>
      </c>
      <c r="L89" s="86">
        <f>VLOOKUP($A89,'Data shares'!$C:$FA,96)</f>
        <v>1140300</v>
      </c>
      <c r="M89" s="87">
        <f>VLOOKUP($A89,'Data shares'!$C:$FA,97)</f>
        <v>6.0900000000000003E-2</v>
      </c>
      <c r="N89" s="86">
        <f>VLOOKUP($A89,'Data shares'!$C:$FA,78)</f>
        <v>120106000</v>
      </c>
      <c r="O89" s="87">
        <f>VLOOKUP($A89,'Data shares'!$C:$FA,81)</f>
        <v>7.4000000000000003E-3</v>
      </c>
    </row>
    <row r="90" spans="1:15" x14ac:dyDescent="0.25">
      <c r="A90" s="100" t="str">
        <f>'OI(Value)'!A90</f>
        <v>ICICIGI</v>
      </c>
      <c r="B90" s="82">
        <f>VLOOKUP(A90,'Data shares'!$C$2:$CV$215,98,0)</f>
        <v>6175325</v>
      </c>
      <c r="C90" s="82">
        <f>VLOOKUP(A90,'Data shares'!$C$2:$CX$215,100,0)</f>
        <v>242125</v>
      </c>
      <c r="D90" s="141">
        <f>VLOOKUP(A90,'Data shares'!$C$2:$CY$538,101,0)</f>
        <v>4.0800000000000003E-2</v>
      </c>
      <c r="E90" s="86">
        <f>VLOOKUP($A90,'Data shares'!$C:$FA,74)</f>
        <v>5331950</v>
      </c>
      <c r="F90" s="86">
        <f>VLOOKUP($A90,'Data shares'!$C:$FA,76)</f>
        <v>64025</v>
      </c>
      <c r="G90" s="87">
        <f>VLOOKUP(A90,'Data shares'!$C$2:$CA$215,77,0)</f>
        <v>1.2200000000000001E-2</v>
      </c>
      <c r="H90" s="86">
        <f>VLOOKUP($A90,'Data shares'!$C:$FA,90)</f>
        <v>355225</v>
      </c>
      <c r="I90" s="86">
        <f>VLOOKUP($A90,'Data shares'!$C:$FA,92)</f>
        <v>63050</v>
      </c>
      <c r="J90" s="87">
        <f>VLOOKUP($A90,'Data shares'!$C:$FA,93)</f>
        <v>0.21579999999999999</v>
      </c>
      <c r="K90" s="86">
        <f>VLOOKUP($A90,'Data shares'!$C:$FA,94)</f>
        <v>488150</v>
      </c>
      <c r="L90" s="86">
        <f>VLOOKUP($A90,'Data shares'!$C:$FA,96)</f>
        <v>115050</v>
      </c>
      <c r="M90" s="87">
        <f>VLOOKUP($A90,'Data shares'!$C:$FA,97)</f>
        <v>0.30840000000000001</v>
      </c>
      <c r="N90" s="86">
        <f>VLOOKUP($A90,'Data shares'!$C:$FA,78)</f>
        <v>5304650</v>
      </c>
      <c r="O90" s="87">
        <f>VLOOKUP($A90,'Data shares'!$C:$FA,81)</f>
        <v>1.14E-2</v>
      </c>
    </row>
    <row r="91" spans="1:15" x14ac:dyDescent="0.25">
      <c r="A91" s="100" t="str">
        <f>'OI(Value)'!A91</f>
        <v>ICICIPRULI</v>
      </c>
      <c r="B91" s="82">
        <f>VLOOKUP(A91,'Data shares'!$C$2:$CV$215,98,0)</f>
        <v>20621025</v>
      </c>
      <c r="C91" s="82">
        <f>VLOOKUP(A91,'Data shares'!$C$2:$CX$215,100,0)</f>
        <v>470825</v>
      </c>
      <c r="D91" s="141">
        <f>VLOOKUP(A91,'Data shares'!$C$2:$CY$538,101,0)</f>
        <v>2.3400000000000001E-2</v>
      </c>
      <c r="E91" s="86">
        <f>VLOOKUP($A91,'Data shares'!$C:$FA,74)</f>
        <v>16851650</v>
      </c>
      <c r="F91" s="86">
        <f>VLOOKUP($A91,'Data shares'!$C:$FA,76)</f>
        <v>217375</v>
      </c>
      <c r="G91" s="87">
        <f>VLOOKUP(A91,'Data shares'!$C$2:$CA$215,77,0)</f>
        <v>1.3100000000000001E-2</v>
      </c>
      <c r="H91" s="86">
        <f>VLOOKUP($A91,'Data shares'!$C:$FA,90)</f>
        <v>1827800</v>
      </c>
      <c r="I91" s="86">
        <f>VLOOKUP($A91,'Data shares'!$C:$FA,92)</f>
        <v>14800</v>
      </c>
      <c r="J91" s="87">
        <f>VLOOKUP($A91,'Data shares'!$C:$FA,93)</f>
        <v>8.2000000000000007E-3</v>
      </c>
      <c r="K91" s="86">
        <f>VLOOKUP($A91,'Data shares'!$C:$FA,94)</f>
        <v>1941575</v>
      </c>
      <c r="L91" s="86">
        <f>VLOOKUP($A91,'Data shares'!$C:$FA,96)</f>
        <v>238650</v>
      </c>
      <c r="M91" s="87">
        <f>VLOOKUP($A91,'Data shares'!$C:$FA,97)</f>
        <v>0.1401</v>
      </c>
      <c r="N91" s="86">
        <f>VLOOKUP($A91,'Data shares'!$C:$FA,78)</f>
        <v>16759150</v>
      </c>
      <c r="O91" s="87">
        <f>VLOOKUP($A91,'Data shares'!$C:$FA,81)</f>
        <v>1.2999999999999999E-2</v>
      </c>
    </row>
    <row r="92" spans="1:15" x14ac:dyDescent="0.25">
      <c r="A92" s="100" t="str">
        <f>'OI(Value)'!A92</f>
        <v>IDEA</v>
      </c>
      <c r="B92" s="82">
        <f>VLOOKUP(A92,'Data shares'!$C$2:$CV$215,98,0)</f>
        <v>11018014200</v>
      </c>
      <c r="C92" s="82">
        <f>VLOOKUP(A92,'Data shares'!$C$2:$CX$215,100,0)</f>
        <v>525198300</v>
      </c>
      <c r="D92" s="141">
        <f>VLOOKUP(A92,'Data shares'!$C$2:$CY$538,101,0)</f>
        <v>5.0099999999999999E-2</v>
      </c>
      <c r="E92" s="86">
        <f>VLOOKUP($A92,'Data shares'!$C:$FA,74)</f>
        <v>7062373275</v>
      </c>
      <c r="F92" s="86">
        <f>VLOOKUP($A92,'Data shares'!$C:$FA,76)</f>
        <v>235938975</v>
      </c>
      <c r="G92" s="87">
        <f>VLOOKUP(A92,'Data shares'!$C$2:$CA$215,77,0)</f>
        <v>3.4599999999999999E-2</v>
      </c>
      <c r="H92" s="86">
        <f>VLOOKUP($A92,'Data shares'!$C:$FA,90)</f>
        <v>2458311150</v>
      </c>
      <c r="I92" s="86">
        <f>VLOOKUP($A92,'Data shares'!$C:$FA,92)</f>
        <v>105711525</v>
      </c>
      <c r="J92" s="87">
        <f>VLOOKUP($A92,'Data shares'!$C:$FA,93)</f>
        <v>4.4900000000000002E-2</v>
      </c>
      <c r="K92" s="86">
        <f>VLOOKUP($A92,'Data shares'!$C:$FA,94)</f>
        <v>1497329775</v>
      </c>
      <c r="L92" s="86">
        <f>VLOOKUP($A92,'Data shares'!$C:$FA,96)</f>
        <v>183547800</v>
      </c>
      <c r="M92" s="87">
        <f>VLOOKUP($A92,'Data shares'!$C:$FA,97)</f>
        <v>0.13969999999999999</v>
      </c>
      <c r="N92" s="86">
        <f>VLOOKUP($A92,'Data shares'!$C:$FA,78)</f>
        <v>6703711725</v>
      </c>
      <c r="O92" s="87">
        <f>VLOOKUP($A92,'Data shares'!$C:$FA,81)</f>
        <v>3.2800000000000003E-2</v>
      </c>
    </row>
    <row r="93" spans="1:15" x14ac:dyDescent="0.25">
      <c r="A93" s="100" t="str">
        <f>'OI(Value)'!A93</f>
        <v>IDFCFIRSTB</v>
      </c>
      <c r="B93" s="82">
        <f>VLOOKUP(A93,'Data shares'!$C$2:$CV$215,98,0)</f>
        <v>447676425</v>
      </c>
      <c r="C93" s="82">
        <f>VLOOKUP(A93,'Data shares'!$C$2:$CX$215,100,0)</f>
        <v>1947750</v>
      </c>
      <c r="D93" s="141">
        <f>VLOOKUP(A93,'Data shares'!$C$2:$CY$538,101,0)</f>
        <v>4.4000000000000003E-3</v>
      </c>
      <c r="E93" s="86">
        <f>VLOOKUP($A93,'Data shares'!$C:$FA,74)</f>
        <v>316546475</v>
      </c>
      <c r="F93" s="86">
        <f>VLOOKUP($A93,'Data shares'!$C:$FA,76)</f>
        <v>-4090275</v>
      </c>
      <c r="G93" s="87">
        <f>VLOOKUP(A93,'Data shares'!$C$2:$CA$215,77,0)</f>
        <v>-1.2800000000000001E-2</v>
      </c>
      <c r="H93" s="86">
        <f>VLOOKUP($A93,'Data shares'!$C:$FA,90)</f>
        <v>79616600</v>
      </c>
      <c r="I93" s="86">
        <f>VLOOKUP($A93,'Data shares'!$C:$FA,92)</f>
        <v>4099550</v>
      </c>
      <c r="J93" s="87">
        <f>VLOOKUP($A93,'Data shares'!$C:$FA,93)</f>
        <v>5.4300000000000001E-2</v>
      </c>
      <c r="K93" s="86">
        <f>VLOOKUP($A93,'Data shares'!$C:$FA,94)</f>
        <v>51513350</v>
      </c>
      <c r="L93" s="86">
        <f>VLOOKUP($A93,'Data shares'!$C:$FA,96)</f>
        <v>1938475</v>
      </c>
      <c r="M93" s="87">
        <f>VLOOKUP($A93,'Data shares'!$C:$FA,97)</f>
        <v>3.9100000000000003E-2</v>
      </c>
      <c r="N93" s="86">
        <f>VLOOKUP($A93,'Data shares'!$C:$FA,78)</f>
        <v>305314450</v>
      </c>
      <c r="O93" s="87">
        <f>VLOOKUP($A93,'Data shares'!$C:$FA,81)</f>
        <v>-1.47E-2</v>
      </c>
    </row>
    <row r="94" spans="1:15" x14ac:dyDescent="0.25">
      <c r="A94" s="100" t="str">
        <f>'OI(Value)'!A94</f>
        <v>IEX</v>
      </c>
      <c r="B94" s="82">
        <f>VLOOKUP(A94,'Data shares'!$C$2:$CV$215,98,0)</f>
        <v>118271250</v>
      </c>
      <c r="C94" s="82">
        <f>VLOOKUP(A94,'Data shares'!$C$2:$CX$215,100,0)</f>
        <v>4316250</v>
      </c>
      <c r="D94" s="141">
        <f>VLOOKUP(A94,'Data shares'!$C$2:$CY$538,101,0)</f>
        <v>3.7900000000000003E-2</v>
      </c>
      <c r="E94" s="86">
        <f>VLOOKUP($A94,'Data shares'!$C:$FA,74)</f>
        <v>60405000</v>
      </c>
      <c r="F94" s="86">
        <f>VLOOKUP($A94,'Data shares'!$C:$FA,76)</f>
        <v>232500</v>
      </c>
      <c r="G94" s="87">
        <f>VLOOKUP(A94,'Data shares'!$C$2:$CA$215,77,0)</f>
        <v>3.8999999999999998E-3</v>
      </c>
      <c r="H94" s="86">
        <f>VLOOKUP($A94,'Data shares'!$C:$FA,90)</f>
        <v>33551250</v>
      </c>
      <c r="I94" s="86">
        <f>VLOOKUP($A94,'Data shares'!$C:$FA,92)</f>
        <v>3281250</v>
      </c>
      <c r="J94" s="87">
        <f>VLOOKUP($A94,'Data shares'!$C:$FA,93)</f>
        <v>0.1084</v>
      </c>
      <c r="K94" s="86">
        <f>VLOOKUP($A94,'Data shares'!$C:$FA,94)</f>
        <v>24315000</v>
      </c>
      <c r="L94" s="86">
        <f>VLOOKUP($A94,'Data shares'!$C:$FA,96)</f>
        <v>802500</v>
      </c>
      <c r="M94" s="87">
        <f>VLOOKUP($A94,'Data shares'!$C:$FA,97)</f>
        <v>3.4099999999999998E-2</v>
      </c>
      <c r="N94" s="86">
        <f>VLOOKUP($A94,'Data shares'!$C:$FA,78)</f>
        <v>56763750</v>
      </c>
      <c r="O94" s="87">
        <f>VLOOKUP($A94,'Data shares'!$C:$FA,81)</f>
        <v>6.9999999999999999E-4</v>
      </c>
    </row>
    <row r="95" spans="1:15" x14ac:dyDescent="0.25">
      <c r="A95" s="100" t="str">
        <f>'OI(Value)'!A95</f>
        <v>IIFL</v>
      </c>
      <c r="B95" s="82">
        <f>VLOOKUP(A95,'Data shares'!$C$2:$CV$215,98,0)</f>
        <v>19611900</v>
      </c>
      <c r="C95" s="82">
        <f>VLOOKUP(A95,'Data shares'!$C$2:$CX$215,100,0)</f>
        <v>354750</v>
      </c>
      <c r="D95" s="141">
        <f>VLOOKUP(A95,'Data shares'!$C$2:$CY$538,101,0)</f>
        <v>1.84E-2</v>
      </c>
      <c r="E95" s="86">
        <f>VLOOKUP($A95,'Data shares'!$C:$FA,74)</f>
        <v>13272600</v>
      </c>
      <c r="F95" s="86">
        <f>VLOOKUP($A95,'Data shares'!$C:$FA,76)</f>
        <v>21450</v>
      </c>
      <c r="G95" s="87">
        <f>VLOOKUP(A95,'Data shares'!$C$2:$CA$215,77,0)</f>
        <v>1.6000000000000001E-3</v>
      </c>
      <c r="H95" s="86">
        <f>VLOOKUP($A95,'Data shares'!$C:$FA,90)</f>
        <v>3204300</v>
      </c>
      <c r="I95" s="86">
        <f>VLOOKUP($A95,'Data shares'!$C:$FA,92)</f>
        <v>-130350</v>
      </c>
      <c r="J95" s="87">
        <f>VLOOKUP($A95,'Data shares'!$C:$FA,93)</f>
        <v>-3.9100000000000003E-2</v>
      </c>
      <c r="K95" s="86">
        <f>VLOOKUP($A95,'Data shares'!$C:$FA,94)</f>
        <v>3135000</v>
      </c>
      <c r="L95" s="86">
        <f>VLOOKUP($A95,'Data shares'!$C:$FA,96)</f>
        <v>463650</v>
      </c>
      <c r="M95" s="87">
        <f>VLOOKUP($A95,'Data shares'!$C:$FA,97)</f>
        <v>0.1736</v>
      </c>
      <c r="N95" s="86">
        <f>VLOOKUP($A95,'Data shares'!$C:$FA,78)</f>
        <v>13272600</v>
      </c>
      <c r="O95" s="87">
        <f>VLOOKUP($A95,'Data shares'!$C:$FA,81)</f>
        <v>1.6000000000000001E-3</v>
      </c>
    </row>
    <row r="96" spans="1:15" x14ac:dyDescent="0.25">
      <c r="A96" s="100" t="str">
        <f>'OI(Value)'!A96</f>
        <v>INDHOTEL</v>
      </c>
      <c r="B96" s="82">
        <f>VLOOKUP(A96,'Data shares'!$C$2:$CV$215,98,0)</f>
        <v>34980000</v>
      </c>
      <c r="C96" s="82">
        <f>VLOOKUP(A96,'Data shares'!$C$2:$CX$215,100,0)</f>
        <v>1093000</v>
      </c>
      <c r="D96" s="141">
        <f>VLOOKUP(A96,'Data shares'!$C$2:$CY$538,101,0)</f>
        <v>3.2300000000000002E-2</v>
      </c>
      <c r="E96" s="86">
        <f>VLOOKUP($A96,'Data shares'!$C:$FA,74)</f>
        <v>26123000</v>
      </c>
      <c r="F96" s="86">
        <f>VLOOKUP($A96,'Data shares'!$C:$FA,76)</f>
        <v>376000</v>
      </c>
      <c r="G96" s="87">
        <f>VLOOKUP(A96,'Data shares'!$C$2:$CA$215,77,0)</f>
        <v>1.46E-2</v>
      </c>
      <c r="H96" s="86">
        <f>VLOOKUP($A96,'Data shares'!$C:$FA,90)</f>
        <v>5001000</v>
      </c>
      <c r="I96" s="86">
        <f>VLOOKUP($A96,'Data shares'!$C:$FA,92)</f>
        <v>482000</v>
      </c>
      <c r="J96" s="87">
        <f>VLOOKUP($A96,'Data shares'!$C:$FA,93)</f>
        <v>0.1067</v>
      </c>
      <c r="K96" s="86">
        <f>VLOOKUP($A96,'Data shares'!$C:$FA,94)</f>
        <v>3856000</v>
      </c>
      <c r="L96" s="86">
        <f>VLOOKUP($A96,'Data shares'!$C:$FA,96)</f>
        <v>235000</v>
      </c>
      <c r="M96" s="87">
        <f>VLOOKUP($A96,'Data shares'!$C:$FA,97)</f>
        <v>6.4899999999999999E-2</v>
      </c>
      <c r="N96" s="86">
        <f>VLOOKUP($A96,'Data shares'!$C:$FA,78)</f>
        <v>25652000</v>
      </c>
      <c r="O96" s="87">
        <f>VLOOKUP($A96,'Data shares'!$C:$FA,81)</f>
        <v>1.47E-2</v>
      </c>
    </row>
    <row r="97" spans="1:15" x14ac:dyDescent="0.25">
      <c r="A97" s="100" t="str">
        <f>'OI(Value)'!A97</f>
        <v>INDIANB</v>
      </c>
      <c r="B97" s="82">
        <f>VLOOKUP(A97,'Data shares'!$C$2:$CV$215,98,0)</f>
        <v>15704000</v>
      </c>
      <c r="C97" s="82">
        <f>VLOOKUP(A97,'Data shares'!$C$2:$CX$215,100,0)</f>
        <v>64000</v>
      </c>
      <c r="D97" s="141">
        <f>VLOOKUP(A97,'Data shares'!$C$2:$CY$538,101,0)</f>
        <v>4.1000000000000003E-3</v>
      </c>
      <c r="E97" s="86">
        <f>VLOOKUP($A97,'Data shares'!$C:$FA,74)</f>
        <v>9606000</v>
      </c>
      <c r="F97" s="86">
        <f>VLOOKUP($A97,'Data shares'!$C:$FA,76)</f>
        <v>-57000</v>
      </c>
      <c r="G97" s="87">
        <f>VLOOKUP(A97,'Data shares'!$C$2:$CA$215,77,0)</f>
        <v>-5.8999999999999999E-3</v>
      </c>
      <c r="H97" s="86">
        <f>VLOOKUP($A97,'Data shares'!$C:$FA,90)</f>
        <v>3410000</v>
      </c>
      <c r="I97" s="86">
        <f>VLOOKUP($A97,'Data shares'!$C:$FA,92)</f>
        <v>177000</v>
      </c>
      <c r="J97" s="87">
        <f>VLOOKUP($A97,'Data shares'!$C:$FA,93)</f>
        <v>5.4699999999999999E-2</v>
      </c>
      <c r="K97" s="86">
        <f>VLOOKUP($A97,'Data shares'!$C:$FA,94)</f>
        <v>2688000</v>
      </c>
      <c r="L97" s="86">
        <f>VLOOKUP($A97,'Data shares'!$C:$FA,96)</f>
        <v>-56000</v>
      </c>
      <c r="M97" s="87">
        <f>VLOOKUP($A97,'Data shares'!$C:$FA,97)</f>
        <v>-2.0400000000000001E-2</v>
      </c>
      <c r="N97" s="86">
        <f>VLOOKUP($A97,'Data shares'!$C:$FA,78)</f>
        <v>9473000</v>
      </c>
      <c r="O97" s="87">
        <f>VLOOKUP($A97,'Data shares'!$C:$FA,81)</f>
        <v>-8.2000000000000007E-3</v>
      </c>
    </row>
    <row r="98" spans="1:15" x14ac:dyDescent="0.25">
      <c r="A98" s="100" t="str">
        <f>'OI(Value)'!A98</f>
        <v>INDIAVIX</v>
      </c>
      <c r="B98" s="82">
        <f>VLOOKUP(A98,'Data shares'!$C$2:$CV$215,98,0)</f>
        <v>0</v>
      </c>
      <c r="C98" s="82">
        <f>VLOOKUP(A98,'Data shares'!$C$2:$CX$215,100,0)</f>
        <v>0</v>
      </c>
      <c r="D98" s="141">
        <f>VLOOKUP(A98,'Data shares'!$C$2:$CY$538,101,0)</f>
        <v>0</v>
      </c>
      <c r="E98" s="86">
        <f>VLOOKUP($A98,'Data shares'!$C:$FA,74)</f>
        <v>0</v>
      </c>
      <c r="F98" s="86">
        <f>VLOOKUP($A98,'Data shares'!$C:$FA,76)</f>
        <v>0</v>
      </c>
      <c r="G98" s="87">
        <f>VLOOKUP(A98,'Data shares'!$C$2:$CA$215,77,0)</f>
        <v>0</v>
      </c>
      <c r="H98" s="86">
        <f>VLOOKUP($A98,'Data shares'!$C:$FA,90)</f>
        <v>0</v>
      </c>
      <c r="I98" s="86">
        <f>VLOOKUP($A98,'Data shares'!$C:$FA,92)</f>
        <v>0</v>
      </c>
      <c r="J98" s="87">
        <f>VLOOKUP($A98,'Data shares'!$C:$FA,93)</f>
        <v>0</v>
      </c>
      <c r="K98" s="86">
        <f>VLOOKUP($A98,'Data shares'!$C:$FA,94)</f>
        <v>0</v>
      </c>
      <c r="L98" s="86">
        <f>VLOOKUP($A98,'Data shares'!$C:$FA,96)</f>
        <v>0</v>
      </c>
      <c r="M98" s="87">
        <f>VLOOKUP($A98,'Data shares'!$C:$FA,97)</f>
        <v>0</v>
      </c>
      <c r="N98" s="86">
        <f>VLOOKUP($A98,'Data shares'!$C:$FA,78)</f>
        <v>0</v>
      </c>
      <c r="O98" s="87">
        <f>VLOOKUP($A98,'Data shares'!$C:$FA,81)</f>
        <v>0</v>
      </c>
    </row>
    <row r="99" spans="1:15" x14ac:dyDescent="0.25">
      <c r="A99" s="100" t="str">
        <f>'OI(Value)'!A99</f>
        <v>INDIGO</v>
      </c>
      <c r="B99" s="82">
        <f>VLOOKUP(A99,'Data shares'!$C$2:$CV$215,98,0)</f>
        <v>15461850</v>
      </c>
      <c r="C99" s="82">
        <f>VLOOKUP(A99,'Data shares'!$C$2:$CX$215,100,0)</f>
        <v>365250</v>
      </c>
      <c r="D99" s="141">
        <f>VLOOKUP(A99,'Data shares'!$C$2:$CY$538,101,0)</f>
        <v>2.4199999999999999E-2</v>
      </c>
      <c r="E99" s="86">
        <f>VLOOKUP($A99,'Data shares'!$C:$FA,74)</f>
        <v>8514600</v>
      </c>
      <c r="F99" s="86">
        <f>VLOOKUP($A99,'Data shares'!$C:$FA,76)</f>
        <v>-76350</v>
      </c>
      <c r="G99" s="87">
        <f>VLOOKUP(A99,'Data shares'!$C$2:$CA$215,77,0)</f>
        <v>-8.8999999999999999E-3</v>
      </c>
      <c r="H99" s="86">
        <f>VLOOKUP($A99,'Data shares'!$C:$FA,90)</f>
        <v>3643200</v>
      </c>
      <c r="I99" s="86">
        <f>VLOOKUP($A99,'Data shares'!$C:$FA,92)</f>
        <v>347250</v>
      </c>
      <c r="J99" s="87">
        <f>VLOOKUP($A99,'Data shares'!$C:$FA,93)</f>
        <v>0.10539999999999999</v>
      </c>
      <c r="K99" s="86">
        <f>VLOOKUP($A99,'Data shares'!$C:$FA,94)</f>
        <v>3304050</v>
      </c>
      <c r="L99" s="86">
        <f>VLOOKUP($A99,'Data shares'!$C:$FA,96)</f>
        <v>94350</v>
      </c>
      <c r="M99" s="87">
        <f>VLOOKUP($A99,'Data shares'!$C:$FA,97)</f>
        <v>2.9399999999999999E-2</v>
      </c>
      <c r="N99" s="86">
        <f>VLOOKUP($A99,'Data shares'!$C:$FA,78)</f>
        <v>8285100</v>
      </c>
      <c r="O99" s="87">
        <f>VLOOKUP($A99,'Data shares'!$C:$FA,81)</f>
        <v>-1.1599999999999999E-2</v>
      </c>
    </row>
    <row r="100" spans="1:15" x14ac:dyDescent="0.25">
      <c r="A100" s="100" t="str">
        <f>'OI(Value)'!A100</f>
        <v>INDUSINDBK</v>
      </c>
      <c r="B100" s="82">
        <f>VLOOKUP(A100,'Data shares'!$C$2:$CV$215,98,0)</f>
        <v>64277500</v>
      </c>
      <c r="C100" s="82">
        <f>VLOOKUP(A100,'Data shares'!$C$2:$CX$215,100,0)</f>
        <v>3577000</v>
      </c>
      <c r="D100" s="141">
        <f>VLOOKUP(A100,'Data shares'!$C$2:$CY$538,101,0)</f>
        <v>5.8900000000000001E-2</v>
      </c>
      <c r="E100" s="86">
        <f>VLOOKUP($A100,'Data shares'!$C:$FA,74)</f>
        <v>45047100</v>
      </c>
      <c r="F100" s="86">
        <f>VLOOKUP($A100,'Data shares'!$C:$FA,76)</f>
        <v>256200</v>
      </c>
      <c r="G100" s="87">
        <f>VLOOKUP(A100,'Data shares'!$C$2:$CA$215,77,0)</f>
        <v>5.7000000000000002E-3</v>
      </c>
      <c r="H100" s="86">
        <f>VLOOKUP($A100,'Data shares'!$C:$FA,90)</f>
        <v>10129000</v>
      </c>
      <c r="I100" s="86">
        <f>VLOOKUP($A100,'Data shares'!$C:$FA,92)</f>
        <v>756700</v>
      </c>
      <c r="J100" s="87">
        <f>VLOOKUP($A100,'Data shares'!$C:$FA,93)</f>
        <v>8.0699999999999994E-2</v>
      </c>
      <c r="K100" s="86">
        <f>VLOOKUP($A100,'Data shares'!$C:$FA,94)</f>
        <v>9101400</v>
      </c>
      <c r="L100" s="86">
        <f>VLOOKUP($A100,'Data shares'!$C:$FA,96)</f>
        <v>2564100</v>
      </c>
      <c r="M100" s="87">
        <f>VLOOKUP($A100,'Data shares'!$C:$FA,97)</f>
        <v>0.39219999999999999</v>
      </c>
      <c r="N100" s="86">
        <f>VLOOKUP($A100,'Data shares'!$C:$FA,78)</f>
        <v>44338700</v>
      </c>
      <c r="O100" s="87">
        <f>VLOOKUP($A100,'Data shares'!$C:$FA,81)</f>
        <v>5.5999999999999999E-3</v>
      </c>
    </row>
    <row r="101" spans="1:15" x14ac:dyDescent="0.25">
      <c r="A101" s="100" t="str">
        <f>'OI(Value)'!A101</f>
        <v>INDUSTOWER</v>
      </c>
      <c r="B101" s="82">
        <f>VLOOKUP(A101,'Data shares'!$C$2:$CV$215,98,0)</f>
        <v>126566700</v>
      </c>
      <c r="C101" s="82">
        <f>VLOOKUP(A101,'Data shares'!$C$2:$CX$215,100,0)</f>
        <v>2777800</v>
      </c>
      <c r="D101" s="141">
        <f>VLOOKUP(A101,'Data shares'!$C$2:$CY$538,101,0)</f>
        <v>2.24E-2</v>
      </c>
      <c r="E101" s="86">
        <f>VLOOKUP($A101,'Data shares'!$C:$FA,74)</f>
        <v>90883700</v>
      </c>
      <c r="F101" s="86">
        <f>VLOOKUP($A101,'Data shares'!$C:$FA,76)</f>
        <v>2123300</v>
      </c>
      <c r="G101" s="87">
        <f>VLOOKUP(A101,'Data shares'!$C$2:$CA$215,77,0)</f>
        <v>2.3900000000000001E-2</v>
      </c>
      <c r="H101" s="86">
        <f>VLOOKUP($A101,'Data shares'!$C:$FA,90)</f>
        <v>20245300</v>
      </c>
      <c r="I101" s="86">
        <f>VLOOKUP($A101,'Data shares'!$C:$FA,92)</f>
        <v>-1672800</v>
      </c>
      <c r="J101" s="87">
        <f>VLOOKUP($A101,'Data shares'!$C:$FA,93)</f>
        <v>-7.6300000000000007E-2</v>
      </c>
      <c r="K101" s="86">
        <f>VLOOKUP($A101,'Data shares'!$C:$FA,94)</f>
        <v>15437700</v>
      </c>
      <c r="L101" s="86">
        <f>VLOOKUP($A101,'Data shares'!$C:$FA,96)</f>
        <v>2327300</v>
      </c>
      <c r="M101" s="87">
        <f>VLOOKUP($A101,'Data shares'!$C:$FA,97)</f>
        <v>0.17749999999999999</v>
      </c>
      <c r="N101" s="86">
        <f>VLOOKUP($A101,'Data shares'!$C:$FA,78)</f>
        <v>90096600</v>
      </c>
      <c r="O101" s="87">
        <f>VLOOKUP($A101,'Data shares'!$C:$FA,81)</f>
        <v>2.2599999999999999E-2</v>
      </c>
    </row>
    <row r="102" spans="1:15" x14ac:dyDescent="0.25">
      <c r="A102" s="100" t="str">
        <f>'OI(Value)'!A102</f>
        <v>INFY</v>
      </c>
      <c r="B102" s="82">
        <f>VLOOKUP(A102,'Data shares'!$C$2:$CV$215,98,0)</f>
        <v>91691600</v>
      </c>
      <c r="C102" s="82">
        <f>VLOOKUP(A102,'Data shares'!$C$2:$CX$215,100,0)</f>
        <v>1745200</v>
      </c>
      <c r="D102" s="141">
        <f>VLOOKUP(A102,'Data shares'!$C$2:$CY$538,101,0)</f>
        <v>1.9400000000000001E-2</v>
      </c>
      <c r="E102" s="86">
        <f>VLOOKUP($A102,'Data shares'!$C:$FA,74)</f>
        <v>70668000</v>
      </c>
      <c r="F102" s="86">
        <f>VLOOKUP($A102,'Data shares'!$C:$FA,76)</f>
        <v>30400</v>
      </c>
      <c r="G102" s="87">
        <f>VLOOKUP(A102,'Data shares'!$C$2:$CA$215,77,0)</f>
        <v>4.0000000000000002E-4</v>
      </c>
      <c r="H102" s="86">
        <f>VLOOKUP($A102,'Data shares'!$C:$FA,90)</f>
        <v>11748400</v>
      </c>
      <c r="I102" s="86">
        <f>VLOOKUP($A102,'Data shares'!$C:$FA,92)</f>
        <v>1122800</v>
      </c>
      <c r="J102" s="87">
        <f>VLOOKUP($A102,'Data shares'!$C:$FA,93)</f>
        <v>0.1057</v>
      </c>
      <c r="K102" s="86">
        <f>VLOOKUP($A102,'Data shares'!$C:$FA,94)</f>
        <v>9275200</v>
      </c>
      <c r="L102" s="86">
        <f>VLOOKUP($A102,'Data shares'!$C:$FA,96)</f>
        <v>592000</v>
      </c>
      <c r="M102" s="87">
        <f>VLOOKUP($A102,'Data shares'!$C:$FA,97)</f>
        <v>6.8199999999999997E-2</v>
      </c>
      <c r="N102" s="86">
        <f>VLOOKUP($A102,'Data shares'!$C:$FA,78)</f>
        <v>69862000</v>
      </c>
      <c r="O102" s="87">
        <f>VLOOKUP($A102,'Data shares'!$C:$FA,81)</f>
        <v>-2.0000000000000001E-4</v>
      </c>
    </row>
    <row r="103" spans="1:15" x14ac:dyDescent="0.25">
      <c r="A103" s="100" t="str">
        <f>'OI(Value)'!A103</f>
        <v>INOXWIND</v>
      </c>
      <c r="B103" s="82">
        <f>VLOOKUP(A103,'Data shares'!$C$2:$CV$215,98,0)</f>
        <v>123123000</v>
      </c>
      <c r="C103" s="82">
        <f>VLOOKUP(A103,'Data shares'!$C$2:$CX$215,100,0)</f>
        <v>1984125</v>
      </c>
      <c r="D103" s="141">
        <f>VLOOKUP(A103,'Data shares'!$C$2:$CY$538,101,0)</f>
        <v>1.6400000000000001E-2</v>
      </c>
      <c r="E103" s="86">
        <f>VLOOKUP($A103,'Data shares'!$C:$FA,74)</f>
        <v>90955150</v>
      </c>
      <c r="F103" s="86">
        <f>VLOOKUP($A103,'Data shares'!$C:$FA,76)</f>
        <v>200200</v>
      </c>
      <c r="G103" s="87">
        <f>VLOOKUP(A103,'Data shares'!$C$2:$CA$215,77,0)</f>
        <v>2.2000000000000001E-3</v>
      </c>
      <c r="H103" s="86">
        <f>VLOOKUP($A103,'Data shares'!$C:$FA,90)</f>
        <v>18089500</v>
      </c>
      <c r="I103" s="86">
        <f>VLOOKUP($A103,'Data shares'!$C:$FA,92)</f>
        <v>1312025</v>
      </c>
      <c r="J103" s="87">
        <f>VLOOKUP($A103,'Data shares'!$C:$FA,93)</f>
        <v>7.8200000000000006E-2</v>
      </c>
      <c r="K103" s="86">
        <f>VLOOKUP($A103,'Data shares'!$C:$FA,94)</f>
        <v>14078350</v>
      </c>
      <c r="L103" s="86">
        <f>VLOOKUP($A103,'Data shares'!$C:$FA,96)</f>
        <v>471900</v>
      </c>
      <c r="M103" s="87">
        <f>VLOOKUP($A103,'Data shares'!$C:$FA,97)</f>
        <v>3.4700000000000002E-2</v>
      </c>
      <c r="N103" s="86">
        <f>VLOOKUP($A103,'Data shares'!$C:$FA,78)</f>
        <v>87144200</v>
      </c>
      <c r="O103" s="87">
        <f>VLOOKUP($A103,'Data shares'!$C:$FA,81)</f>
        <v>2.7000000000000001E-3</v>
      </c>
    </row>
    <row r="104" spans="1:15" x14ac:dyDescent="0.25">
      <c r="A104" s="100" t="str">
        <f>'OI(Value)'!A104</f>
        <v>IOC</v>
      </c>
      <c r="B104" s="82">
        <f>VLOOKUP(A104,'Data shares'!$C$2:$CV$215,98,0)</f>
        <v>163439250</v>
      </c>
      <c r="C104" s="82">
        <f>VLOOKUP(A104,'Data shares'!$C$2:$CX$215,100,0)</f>
        <v>10135125</v>
      </c>
      <c r="D104" s="141">
        <f>VLOOKUP(A104,'Data shares'!$C$2:$CY$538,101,0)</f>
        <v>6.6100000000000006E-2</v>
      </c>
      <c r="E104" s="86">
        <f>VLOOKUP($A104,'Data shares'!$C:$FA,74)</f>
        <v>105802125</v>
      </c>
      <c r="F104" s="86">
        <f>VLOOKUP($A104,'Data shares'!$C:$FA,76)</f>
        <v>3007875</v>
      </c>
      <c r="G104" s="87">
        <f>VLOOKUP(A104,'Data shares'!$C$2:$CA$215,77,0)</f>
        <v>2.93E-2</v>
      </c>
      <c r="H104" s="86">
        <f>VLOOKUP($A104,'Data shares'!$C:$FA,90)</f>
        <v>34222500</v>
      </c>
      <c r="I104" s="86">
        <f>VLOOKUP($A104,'Data shares'!$C:$FA,92)</f>
        <v>4811625</v>
      </c>
      <c r="J104" s="87">
        <f>VLOOKUP($A104,'Data shares'!$C:$FA,93)</f>
        <v>0.1636</v>
      </c>
      <c r="K104" s="86">
        <f>VLOOKUP($A104,'Data shares'!$C:$FA,94)</f>
        <v>23414625</v>
      </c>
      <c r="L104" s="86">
        <f>VLOOKUP($A104,'Data shares'!$C:$FA,96)</f>
        <v>2315625</v>
      </c>
      <c r="M104" s="87">
        <f>VLOOKUP($A104,'Data shares'!$C:$FA,97)</f>
        <v>0.10979999999999999</v>
      </c>
      <c r="N104" s="86">
        <f>VLOOKUP($A104,'Data shares'!$C:$FA,78)</f>
        <v>102589500</v>
      </c>
      <c r="O104" s="87">
        <f>VLOOKUP($A104,'Data shares'!$C:$FA,81)</f>
        <v>2.5100000000000001E-2</v>
      </c>
    </row>
    <row r="105" spans="1:15" x14ac:dyDescent="0.25">
      <c r="A105" s="100" t="str">
        <f>'OI(Value)'!A105</f>
        <v>IRCTC</v>
      </c>
      <c r="B105" s="82">
        <f>VLOOKUP(A105,'Data shares'!$C$2:$CV$215,98,0)</f>
        <v>44570750</v>
      </c>
      <c r="C105" s="82">
        <f>VLOOKUP(A105,'Data shares'!$C$2:$CX$215,100,0)</f>
        <v>337750</v>
      </c>
      <c r="D105" s="141">
        <f>VLOOKUP(A105,'Data shares'!$C$2:$CY$538,101,0)</f>
        <v>7.6E-3</v>
      </c>
      <c r="E105" s="86">
        <f>VLOOKUP($A105,'Data shares'!$C:$FA,74)</f>
        <v>20115375</v>
      </c>
      <c r="F105" s="86">
        <f>VLOOKUP($A105,'Data shares'!$C:$FA,76)</f>
        <v>191625</v>
      </c>
      <c r="G105" s="87">
        <f>VLOOKUP(A105,'Data shares'!$C$2:$CA$215,77,0)</f>
        <v>9.5999999999999992E-3</v>
      </c>
      <c r="H105" s="86">
        <f>VLOOKUP($A105,'Data shares'!$C:$FA,90)</f>
        <v>16375625</v>
      </c>
      <c r="I105" s="86">
        <f>VLOOKUP($A105,'Data shares'!$C:$FA,92)</f>
        <v>132125</v>
      </c>
      <c r="J105" s="87">
        <f>VLOOKUP($A105,'Data shares'!$C:$FA,93)</f>
        <v>8.0999999999999996E-3</v>
      </c>
      <c r="K105" s="86">
        <f>VLOOKUP($A105,'Data shares'!$C:$FA,94)</f>
        <v>8079750</v>
      </c>
      <c r="L105" s="86">
        <f>VLOOKUP($A105,'Data shares'!$C:$FA,96)</f>
        <v>14000</v>
      </c>
      <c r="M105" s="87">
        <f>VLOOKUP($A105,'Data shares'!$C:$FA,97)</f>
        <v>1.6999999999999999E-3</v>
      </c>
      <c r="N105" s="86">
        <f>VLOOKUP($A105,'Data shares'!$C:$FA,78)</f>
        <v>18447625</v>
      </c>
      <c r="O105" s="87">
        <f>VLOOKUP($A105,'Data shares'!$C:$FA,81)</f>
        <v>8.6999999999999994E-3</v>
      </c>
    </row>
    <row r="106" spans="1:15" x14ac:dyDescent="0.25">
      <c r="A106" s="100" t="str">
        <f>'OI(Value)'!A106</f>
        <v>IREDA</v>
      </c>
      <c r="B106" s="82">
        <f>VLOOKUP(A106,'Data shares'!$C$2:$CV$215,98,0)</f>
        <v>90479700</v>
      </c>
      <c r="C106" s="82">
        <f>VLOOKUP(A106,'Data shares'!$C$2:$CX$215,100,0)</f>
        <v>5054250</v>
      </c>
      <c r="D106" s="141">
        <f>VLOOKUP(A106,'Data shares'!$C$2:$CY$538,101,0)</f>
        <v>5.9200000000000003E-2</v>
      </c>
      <c r="E106" s="86">
        <f>VLOOKUP($A106,'Data shares'!$C:$FA,74)</f>
        <v>50225100</v>
      </c>
      <c r="F106" s="86">
        <f>VLOOKUP($A106,'Data shares'!$C:$FA,76)</f>
        <v>2214900</v>
      </c>
      <c r="G106" s="87">
        <f>VLOOKUP(A106,'Data shares'!$C$2:$CA$215,77,0)</f>
        <v>4.6100000000000002E-2</v>
      </c>
      <c r="H106" s="86">
        <f>VLOOKUP($A106,'Data shares'!$C:$FA,90)</f>
        <v>25191900</v>
      </c>
      <c r="I106" s="86">
        <f>VLOOKUP($A106,'Data shares'!$C:$FA,92)</f>
        <v>2349450</v>
      </c>
      <c r="J106" s="87">
        <f>VLOOKUP($A106,'Data shares'!$C:$FA,93)</f>
        <v>0.10290000000000001</v>
      </c>
      <c r="K106" s="86">
        <f>VLOOKUP($A106,'Data shares'!$C:$FA,94)</f>
        <v>15062700</v>
      </c>
      <c r="L106" s="86">
        <f>VLOOKUP($A106,'Data shares'!$C:$FA,96)</f>
        <v>489900</v>
      </c>
      <c r="M106" s="87">
        <f>VLOOKUP($A106,'Data shares'!$C:$FA,97)</f>
        <v>3.3599999999999998E-2</v>
      </c>
      <c r="N106" s="86">
        <f>VLOOKUP($A106,'Data shares'!$C:$FA,78)</f>
        <v>45533100</v>
      </c>
      <c r="O106" s="87">
        <f>VLOOKUP($A106,'Data shares'!$C:$FA,81)</f>
        <v>4.2000000000000003E-2</v>
      </c>
    </row>
    <row r="107" spans="1:15" x14ac:dyDescent="0.25">
      <c r="A107" s="100" t="str">
        <f>'OI(Value)'!A107</f>
        <v>IRFC</v>
      </c>
      <c r="B107" s="82">
        <f>VLOOKUP(A107,'Data shares'!$C$2:$CV$215,98,0)</f>
        <v>165673500</v>
      </c>
      <c r="C107" s="82">
        <f>VLOOKUP(A107,'Data shares'!$C$2:$CX$215,100,0)</f>
        <v>556750</v>
      </c>
      <c r="D107" s="141">
        <f>VLOOKUP(A107,'Data shares'!$C$2:$CY$538,101,0)</f>
        <v>3.3999999999999998E-3</v>
      </c>
      <c r="E107" s="86">
        <f>VLOOKUP($A107,'Data shares'!$C:$FA,74)</f>
        <v>61514500</v>
      </c>
      <c r="F107" s="86">
        <f>VLOOKUP($A107,'Data shares'!$C:$FA,76)</f>
        <v>637500</v>
      </c>
      <c r="G107" s="87">
        <f>VLOOKUP(A107,'Data shares'!$C$2:$CA$215,77,0)</f>
        <v>1.0500000000000001E-2</v>
      </c>
      <c r="H107" s="86">
        <f>VLOOKUP($A107,'Data shares'!$C:$FA,90)</f>
        <v>73410250</v>
      </c>
      <c r="I107" s="86">
        <f>VLOOKUP($A107,'Data shares'!$C:$FA,92)</f>
        <v>-476000</v>
      </c>
      <c r="J107" s="87">
        <f>VLOOKUP($A107,'Data shares'!$C:$FA,93)</f>
        <v>-6.4000000000000003E-3</v>
      </c>
      <c r="K107" s="86">
        <f>VLOOKUP($A107,'Data shares'!$C:$FA,94)</f>
        <v>30748750</v>
      </c>
      <c r="L107" s="86">
        <f>VLOOKUP($A107,'Data shares'!$C:$FA,96)</f>
        <v>395250</v>
      </c>
      <c r="M107" s="87">
        <f>VLOOKUP($A107,'Data shares'!$C:$FA,97)</f>
        <v>1.2999999999999999E-2</v>
      </c>
      <c r="N107" s="86">
        <f>VLOOKUP($A107,'Data shares'!$C:$FA,78)</f>
        <v>56903250</v>
      </c>
      <c r="O107" s="87">
        <f>VLOOKUP($A107,'Data shares'!$C:$FA,81)</f>
        <v>9.1999999999999998E-3</v>
      </c>
    </row>
    <row r="108" spans="1:15" x14ac:dyDescent="0.25">
      <c r="A108" s="100" t="str">
        <f>'OI(Value)'!A108</f>
        <v>ITC</v>
      </c>
      <c r="B108" s="82">
        <f>VLOOKUP(A108,'Data shares'!$C$2:$CV$215,98,0)</f>
        <v>493940800</v>
      </c>
      <c r="C108" s="82">
        <f>VLOOKUP(A108,'Data shares'!$C$2:$CX$215,100,0)</f>
        <v>253356800</v>
      </c>
      <c r="D108" s="141">
        <f>VLOOKUP(A108,'Data shares'!$C$2:$CY$538,101,0)</f>
        <v>1.0530999999999999</v>
      </c>
      <c r="E108" s="86">
        <f>VLOOKUP($A108,'Data shares'!$C:$FA,74)</f>
        <v>217107200</v>
      </c>
      <c r="F108" s="86">
        <f>VLOOKUP($A108,'Data shares'!$C:$FA,76)</f>
        <v>42064000</v>
      </c>
      <c r="G108" s="87">
        <f>VLOOKUP(A108,'Data shares'!$C$2:$CA$215,77,0)</f>
        <v>0.24030000000000001</v>
      </c>
      <c r="H108" s="86">
        <f>VLOOKUP($A108,'Data shares'!$C:$FA,90)</f>
        <v>183216000</v>
      </c>
      <c r="I108" s="86">
        <f>VLOOKUP($A108,'Data shares'!$C:$FA,92)</f>
        <v>142232000</v>
      </c>
      <c r="J108" s="87">
        <f>VLOOKUP($A108,'Data shares'!$C:$FA,93)</f>
        <v>3.4704000000000002</v>
      </c>
      <c r="K108" s="86">
        <f>VLOOKUP($A108,'Data shares'!$C:$FA,94)</f>
        <v>93617600</v>
      </c>
      <c r="L108" s="86">
        <f>VLOOKUP($A108,'Data shares'!$C:$FA,96)</f>
        <v>69060800</v>
      </c>
      <c r="M108" s="87">
        <f>VLOOKUP($A108,'Data shares'!$C:$FA,97)</f>
        <v>2.8123</v>
      </c>
      <c r="N108" s="86">
        <f>VLOOKUP($A108,'Data shares'!$C:$FA,78)</f>
        <v>198017600</v>
      </c>
      <c r="O108" s="87">
        <f>VLOOKUP($A108,'Data shares'!$C:$FA,81)</f>
        <v>0.17119999999999999</v>
      </c>
    </row>
    <row r="109" spans="1:15" x14ac:dyDescent="0.25">
      <c r="A109" s="100" t="str">
        <f>'OI(Value)'!A109</f>
        <v>JINDALSTEL</v>
      </c>
      <c r="B109" s="82">
        <f>VLOOKUP(A109,'Data shares'!$C$2:$CV$215,98,0)</f>
        <v>20328750</v>
      </c>
      <c r="C109" s="82">
        <f>VLOOKUP(A109,'Data shares'!$C$2:$CX$215,100,0)</f>
        <v>113125</v>
      </c>
      <c r="D109" s="141">
        <f>VLOOKUP(A109,'Data shares'!$C$2:$CY$538,101,0)</f>
        <v>5.5999999999999999E-3</v>
      </c>
      <c r="E109" s="86">
        <f>VLOOKUP($A109,'Data shares'!$C:$FA,74)</f>
        <v>12910000</v>
      </c>
      <c r="F109" s="86">
        <f>VLOOKUP($A109,'Data shares'!$C:$FA,76)</f>
        <v>193750</v>
      </c>
      <c r="G109" s="87">
        <f>VLOOKUP(A109,'Data shares'!$C$2:$CA$215,77,0)</f>
        <v>1.52E-2</v>
      </c>
      <c r="H109" s="86">
        <f>VLOOKUP($A109,'Data shares'!$C:$FA,90)</f>
        <v>3941250</v>
      </c>
      <c r="I109" s="86">
        <f>VLOOKUP($A109,'Data shares'!$C:$FA,92)</f>
        <v>-361875</v>
      </c>
      <c r="J109" s="87">
        <f>VLOOKUP($A109,'Data shares'!$C:$FA,93)</f>
        <v>-8.4099999999999994E-2</v>
      </c>
      <c r="K109" s="86">
        <f>VLOOKUP($A109,'Data shares'!$C:$FA,94)</f>
        <v>3477500</v>
      </c>
      <c r="L109" s="86">
        <f>VLOOKUP($A109,'Data shares'!$C:$FA,96)</f>
        <v>281250</v>
      </c>
      <c r="M109" s="87">
        <f>VLOOKUP($A109,'Data shares'!$C:$FA,97)</f>
        <v>8.7999999999999995E-2</v>
      </c>
      <c r="N109" s="86">
        <f>VLOOKUP($A109,'Data shares'!$C:$FA,78)</f>
        <v>12770000</v>
      </c>
      <c r="O109" s="87">
        <f>VLOOKUP($A109,'Data shares'!$C:$FA,81)</f>
        <v>1.46E-2</v>
      </c>
    </row>
    <row r="110" spans="1:15" x14ac:dyDescent="0.25">
      <c r="A110" s="100" t="str">
        <f>'OI(Value)'!A110</f>
        <v>JIOFIN</v>
      </c>
      <c r="B110" s="82">
        <f>VLOOKUP(A110,'Data shares'!$C$2:$CV$215,98,0)</f>
        <v>230499750</v>
      </c>
      <c r="C110" s="82">
        <f>VLOOKUP(A110,'Data shares'!$C$2:$CX$215,100,0)</f>
        <v>3036200</v>
      </c>
      <c r="D110" s="141">
        <f>VLOOKUP(A110,'Data shares'!$C$2:$CY$538,101,0)</f>
        <v>1.3299999999999999E-2</v>
      </c>
      <c r="E110" s="86">
        <f>VLOOKUP($A110,'Data shares'!$C:$FA,74)</f>
        <v>158545100</v>
      </c>
      <c r="F110" s="86">
        <f>VLOOKUP($A110,'Data shares'!$C:$FA,76)</f>
        <v>549900</v>
      </c>
      <c r="G110" s="87">
        <f>VLOOKUP(A110,'Data shares'!$C$2:$CA$215,77,0)</f>
        <v>3.5000000000000001E-3</v>
      </c>
      <c r="H110" s="86">
        <f>VLOOKUP($A110,'Data shares'!$C:$FA,90)</f>
        <v>37961900</v>
      </c>
      <c r="I110" s="86">
        <f>VLOOKUP($A110,'Data shares'!$C:$FA,92)</f>
        <v>1988100</v>
      </c>
      <c r="J110" s="87">
        <f>VLOOKUP($A110,'Data shares'!$C:$FA,93)</f>
        <v>5.5300000000000002E-2</v>
      </c>
      <c r="K110" s="86">
        <f>VLOOKUP($A110,'Data shares'!$C:$FA,94)</f>
        <v>33992750</v>
      </c>
      <c r="L110" s="86">
        <f>VLOOKUP($A110,'Data shares'!$C:$FA,96)</f>
        <v>498200</v>
      </c>
      <c r="M110" s="87">
        <f>VLOOKUP($A110,'Data shares'!$C:$FA,97)</f>
        <v>1.49E-2</v>
      </c>
      <c r="N110" s="86">
        <f>VLOOKUP($A110,'Data shares'!$C:$FA,78)</f>
        <v>151887550</v>
      </c>
      <c r="O110" s="87">
        <f>VLOOKUP($A110,'Data shares'!$C:$FA,81)</f>
        <v>3.0999999999999999E-3</v>
      </c>
    </row>
    <row r="111" spans="1:15" x14ac:dyDescent="0.25">
      <c r="A111" s="100" t="str">
        <f>'OI(Value)'!A111</f>
        <v>JSWENERGY</v>
      </c>
      <c r="B111" s="82">
        <f>VLOOKUP(A111,'Data shares'!$C$2:$CV$215,98,0)</f>
        <v>55232000</v>
      </c>
      <c r="C111" s="82">
        <f>VLOOKUP(A111,'Data shares'!$C$2:$CX$215,100,0)</f>
        <v>2333000</v>
      </c>
      <c r="D111" s="141">
        <f>VLOOKUP(A111,'Data shares'!$C$2:$CY$538,101,0)</f>
        <v>4.41E-2</v>
      </c>
      <c r="E111" s="86">
        <f>VLOOKUP($A111,'Data shares'!$C:$FA,74)</f>
        <v>42211000</v>
      </c>
      <c r="F111" s="86">
        <f>VLOOKUP($A111,'Data shares'!$C:$FA,76)</f>
        <v>90000</v>
      </c>
      <c r="G111" s="87">
        <f>VLOOKUP(A111,'Data shares'!$C$2:$CA$215,77,0)</f>
        <v>2.0999999999999999E-3</v>
      </c>
      <c r="H111" s="86">
        <f>VLOOKUP($A111,'Data shares'!$C:$FA,90)</f>
        <v>6175000</v>
      </c>
      <c r="I111" s="86">
        <f>VLOOKUP($A111,'Data shares'!$C:$FA,92)</f>
        <v>968000</v>
      </c>
      <c r="J111" s="87">
        <f>VLOOKUP($A111,'Data shares'!$C:$FA,93)</f>
        <v>0.18590000000000001</v>
      </c>
      <c r="K111" s="86">
        <f>VLOOKUP($A111,'Data shares'!$C:$FA,94)</f>
        <v>6846000</v>
      </c>
      <c r="L111" s="86">
        <f>VLOOKUP($A111,'Data shares'!$C:$FA,96)</f>
        <v>1275000</v>
      </c>
      <c r="M111" s="87">
        <f>VLOOKUP($A111,'Data shares'!$C:$FA,97)</f>
        <v>0.22889999999999999</v>
      </c>
      <c r="N111" s="86">
        <f>VLOOKUP($A111,'Data shares'!$C:$FA,78)</f>
        <v>41830000</v>
      </c>
      <c r="O111" s="87">
        <f>VLOOKUP($A111,'Data shares'!$C:$FA,81)</f>
        <v>6.9999999999999999E-4</v>
      </c>
    </row>
    <row r="112" spans="1:15" x14ac:dyDescent="0.25">
      <c r="A112" s="100" t="str">
        <f>'OI(Value)'!A112</f>
        <v>JSWSTEEL</v>
      </c>
      <c r="B112" s="82">
        <f>VLOOKUP(A112,'Data shares'!$C$2:$CV$215,98,0)</f>
        <v>66283650</v>
      </c>
      <c r="C112" s="82">
        <f>VLOOKUP(A112,'Data shares'!$C$2:$CX$215,100,0)</f>
        <v>228150</v>
      </c>
      <c r="D112" s="141">
        <f>VLOOKUP(A112,'Data shares'!$C$2:$CY$538,101,0)</f>
        <v>3.5000000000000001E-3</v>
      </c>
      <c r="E112" s="86">
        <f>VLOOKUP($A112,'Data shares'!$C:$FA,74)</f>
        <v>49558500</v>
      </c>
      <c r="F112" s="86">
        <f>VLOOKUP($A112,'Data shares'!$C:$FA,76)</f>
        <v>-41850</v>
      </c>
      <c r="G112" s="87">
        <f>VLOOKUP(A112,'Data shares'!$C$2:$CA$215,77,0)</f>
        <v>-8.0000000000000004E-4</v>
      </c>
      <c r="H112" s="86">
        <f>VLOOKUP($A112,'Data shares'!$C:$FA,90)</f>
        <v>8535375</v>
      </c>
      <c r="I112" s="86">
        <f>VLOOKUP($A112,'Data shares'!$C:$FA,92)</f>
        <v>-163350</v>
      </c>
      <c r="J112" s="87">
        <f>VLOOKUP($A112,'Data shares'!$C:$FA,93)</f>
        <v>-1.8800000000000001E-2</v>
      </c>
      <c r="K112" s="86">
        <f>VLOOKUP($A112,'Data shares'!$C:$FA,94)</f>
        <v>8189775</v>
      </c>
      <c r="L112" s="86">
        <f>VLOOKUP($A112,'Data shares'!$C:$FA,96)</f>
        <v>433350</v>
      </c>
      <c r="M112" s="87">
        <f>VLOOKUP($A112,'Data shares'!$C:$FA,97)</f>
        <v>5.5899999999999998E-2</v>
      </c>
      <c r="N112" s="86">
        <f>VLOOKUP($A112,'Data shares'!$C:$FA,78)</f>
        <v>49209525</v>
      </c>
      <c r="O112" s="87">
        <f>VLOOKUP($A112,'Data shares'!$C:$FA,81)</f>
        <v>-8.9999999999999998E-4</v>
      </c>
    </row>
    <row r="113" spans="1:15" x14ac:dyDescent="0.25">
      <c r="A113" s="100" t="str">
        <f>'OI(Value)'!A113</f>
        <v>JUBLFOOD</v>
      </c>
      <c r="B113" s="82">
        <f>VLOOKUP(A113,'Data shares'!$C$2:$CV$215,98,0)</f>
        <v>38423750</v>
      </c>
      <c r="C113" s="82">
        <f>VLOOKUP(A113,'Data shares'!$C$2:$CX$215,100,0)</f>
        <v>1680000</v>
      </c>
      <c r="D113" s="141">
        <f>VLOOKUP(A113,'Data shares'!$C$2:$CY$538,101,0)</f>
        <v>4.5699999999999998E-2</v>
      </c>
      <c r="E113" s="86">
        <f>VLOOKUP($A113,'Data shares'!$C:$FA,74)</f>
        <v>24737500</v>
      </c>
      <c r="F113" s="86">
        <f>VLOOKUP($A113,'Data shares'!$C:$FA,76)</f>
        <v>428750</v>
      </c>
      <c r="G113" s="87">
        <f>VLOOKUP(A113,'Data shares'!$C$2:$CA$215,77,0)</f>
        <v>1.7600000000000001E-2</v>
      </c>
      <c r="H113" s="86">
        <f>VLOOKUP($A113,'Data shares'!$C:$FA,90)</f>
        <v>7958750</v>
      </c>
      <c r="I113" s="86">
        <f>VLOOKUP($A113,'Data shares'!$C:$FA,92)</f>
        <v>678750</v>
      </c>
      <c r="J113" s="87">
        <f>VLOOKUP($A113,'Data shares'!$C:$FA,93)</f>
        <v>9.3200000000000005E-2</v>
      </c>
      <c r="K113" s="86">
        <f>VLOOKUP($A113,'Data shares'!$C:$FA,94)</f>
        <v>5727500</v>
      </c>
      <c r="L113" s="86">
        <f>VLOOKUP($A113,'Data shares'!$C:$FA,96)</f>
        <v>572500</v>
      </c>
      <c r="M113" s="87">
        <f>VLOOKUP($A113,'Data shares'!$C:$FA,97)</f>
        <v>0.1111</v>
      </c>
      <c r="N113" s="86">
        <f>VLOOKUP($A113,'Data shares'!$C:$FA,78)</f>
        <v>23680000</v>
      </c>
      <c r="O113" s="87">
        <f>VLOOKUP($A113,'Data shares'!$C:$FA,81)</f>
        <v>1.67E-2</v>
      </c>
    </row>
    <row r="114" spans="1:15" x14ac:dyDescent="0.25">
      <c r="A114" s="100" t="str">
        <f>'OI(Value)'!A114</f>
        <v>KALYANKJIL</v>
      </c>
      <c r="B114" s="82">
        <f>VLOOKUP(A114,'Data shares'!$C$2:$CV$215,98,0)</f>
        <v>41463400</v>
      </c>
      <c r="C114" s="82">
        <f>VLOOKUP(A114,'Data shares'!$C$2:$CX$215,100,0)</f>
        <v>457075</v>
      </c>
      <c r="D114" s="141">
        <f>VLOOKUP(A114,'Data shares'!$C$2:$CY$538,101,0)</f>
        <v>1.11E-2</v>
      </c>
      <c r="E114" s="86">
        <f>VLOOKUP($A114,'Data shares'!$C:$FA,74)</f>
        <v>35345175</v>
      </c>
      <c r="F114" s="86">
        <f>VLOOKUP($A114,'Data shares'!$C:$FA,76)</f>
        <v>30550</v>
      </c>
      <c r="G114" s="87">
        <f>VLOOKUP(A114,'Data shares'!$C$2:$CA$215,77,0)</f>
        <v>8.9999999999999998E-4</v>
      </c>
      <c r="H114" s="86">
        <f>VLOOKUP($A114,'Data shares'!$C:$FA,90)</f>
        <v>3661300</v>
      </c>
      <c r="I114" s="86">
        <f>VLOOKUP($A114,'Data shares'!$C:$FA,92)</f>
        <v>323125</v>
      </c>
      <c r="J114" s="87">
        <f>VLOOKUP($A114,'Data shares'!$C:$FA,93)</f>
        <v>9.6799999999999997E-2</v>
      </c>
      <c r="K114" s="86">
        <f>VLOOKUP($A114,'Data shares'!$C:$FA,94)</f>
        <v>2456925</v>
      </c>
      <c r="L114" s="86">
        <f>VLOOKUP($A114,'Data shares'!$C:$FA,96)</f>
        <v>103400</v>
      </c>
      <c r="M114" s="87">
        <f>VLOOKUP($A114,'Data shares'!$C:$FA,97)</f>
        <v>4.3900000000000002E-2</v>
      </c>
      <c r="N114" s="86">
        <f>VLOOKUP($A114,'Data shares'!$C:$FA,78)</f>
        <v>34987975</v>
      </c>
      <c r="O114" s="87">
        <f>VLOOKUP($A114,'Data shares'!$C:$FA,81)</f>
        <v>5.0000000000000001E-4</v>
      </c>
    </row>
    <row r="115" spans="1:15" x14ac:dyDescent="0.25">
      <c r="A115" s="100" t="str">
        <f>'OI(Value)'!A115</f>
        <v>KAYNES</v>
      </c>
      <c r="B115" s="82">
        <f>VLOOKUP(A115,'Data shares'!$C$2:$CV$215,98,0)</f>
        <v>6035900</v>
      </c>
      <c r="C115" s="82">
        <f>VLOOKUP(A115,'Data shares'!$C$2:$CX$215,100,0)</f>
        <v>489800</v>
      </c>
      <c r="D115" s="141">
        <f>VLOOKUP(A115,'Data shares'!$C$2:$CY$538,101,0)</f>
        <v>8.8300000000000003E-2</v>
      </c>
      <c r="E115" s="86">
        <f>VLOOKUP($A115,'Data shares'!$C:$FA,74)</f>
        <v>2924800</v>
      </c>
      <c r="F115" s="86">
        <f>VLOOKUP($A115,'Data shares'!$C:$FA,76)</f>
        <v>110700</v>
      </c>
      <c r="G115" s="87">
        <f>VLOOKUP(A115,'Data shares'!$C$2:$CA$215,77,0)</f>
        <v>3.9300000000000002E-2</v>
      </c>
      <c r="H115" s="86">
        <f>VLOOKUP($A115,'Data shares'!$C:$FA,90)</f>
        <v>2048900</v>
      </c>
      <c r="I115" s="86">
        <f>VLOOKUP($A115,'Data shares'!$C:$FA,92)</f>
        <v>285000</v>
      </c>
      <c r="J115" s="87">
        <f>VLOOKUP($A115,'Data shares'!$C:$FA,93)</f>
        <v>0.16159999999999999</v>
      </c>
      <c r="K115" s="86">
        <f>VLOOKUP($A115,'Data shares'!$C:$FA,94)</f>
        <v>1062200</v>
      </c>
      <c r="L115" s="86">
        <f>VLOOKUP($A115,'Data shares'!$C:$FA,96)</f>
        <v>94100</v>
      </c>
      <c r="M115" s="87">
        <f>VLOOKUP($A115,'Data shares'!$C:$FA,97)</f>
        <v>9.7199999999999995E-2</v>
      </c>
      <c r="N115" s="86">
        <f>VLOOKUP($A115,'Data shares'!$C:$FA,78)</f>
        <v>2703700</v>
      </c>
      <c r="O115" s="87">
        <f>VLOOKUP($A115,'Data shares'!$C:$FA,81)</f>
        <v>3.6499999999999998E-2</v>
      </c>
    </row>
    <row r="116" spans="1:15" x14ac:dyDescent="0.25">
      <c r="A116" s="100" t="str">
        <f>'OI(Value)'!A116</f>
        <v>KEI</v>
      </c>
      <c r="B116" s="82">
        <f>VLOOKUP(A116,'Data shares'!$C$2:$CV$215,98,0)</f>
        <v>1440075</v>
      </c>
      <c r="C116" s="82">
        <f>VLOOKUP(A116,'Data shares'!$C$2:$CX$215,100,0)</f>
        <v>103775</v>
      </c>
      <c r="D116" s="141">
        <f>VLOOKUP(A116,'Data shares'!$C$2:$CY$538,101,0)</f>
        <v>7.7700000000000005E-2</v>
      </c>
      <c r="E116" s="86">
        <f>VLOOKUP($A116,'Data shares'!$C:$FA,74)</f>
        <v>925925</v>
      </c>
      <c r="F116" s="86">
        <f>VLOOKUP($A116,'Data shares'!$C:$FA,76)</f>
        <v>-7525</v>
      </c>
      <c r="G116" s="87">
        <f>VLOOKUP(A116,'Data shares'!$C$2:$CA$215,77,0)</f>
        <v>-8.0999999999999996E-3</v>
      </c>
      <c r="H116" s="86">
        <f>VLOOKUP($A116,'Data shares'!$C:$FA,90)</f>
        <v>304150</v>
      </c>
      <c r="I116" s="86">
        <f>VLOOKUP($A116,'Data shares'!$C:$FA,92)</f>
        <v>37625</v>
      </c>
      <c r="J116" s="87">
        <f>VLOOKUP($A116,'Data shares'!$C:$FA,93)</f>
        <v>0.14119999999999999</v>
      </c>
      <c r="K116" s="86">
        <f>VLOOKUP($A116,'Data shares'!$C:$FA,94)</f>
        <v>210000</v>
      </c>
      <c r="L116" s="86">
        <f>VLOOKUP($A116,'Data shares'!$C:$FA,96)</f>
        <v>73675</v>
      </c>
      <c r="M116" s="87">
        <f>VLOOKUP($A116,'Data shares'!$C:$FA,97)</f>
        <v>0.54039999999999999</v>
      </c>
      <c r="N116" s="86">
        <f>VLOOKUP($A116,'Data shares'!$C:$FA,78)</f>
        <v>918925</v>
      </c>
      <c r="O116" s="87">
        <f>VLOOKUP($A116,'Data shares'!$C:$FA,81)</f>
        <v>-9.4000000000000004E-3</v>
      </c>
    </row>
    <row r="117" spans="1:15" x14ac:dyDescent="0.25">
      <c r="A117" s="100" t="str">
        <f>'OI(Value)'!A117</f>
        <v>KFINTECH</v>
      </c>
      <c r="B117" s="82">
        <f>VLOOKUP(A117,'Data shares'!$C$2:$CV$215,98,0)</f>
        <v>4528000</v>
      </c>
      <c r="C117" s="82">
        <f>VLOOKUP(A117,'Data shares'!$C$2:$CX$215,100,0)</f>
        <v>164500</v>
      </c>
      <c r="D117" s="141">
        <f>VLOOKUP(A117,'Data shares'!$C$2:$CY$538,101,0)</f>
        <v>3.7699999999999997E-2</v>
      </c>
      <c r="E117" s="86">
        <f>VLOOKUP($A117,'Data shares'!$C:$FA,74)</f>
        <v>3097000</v>
      </c>
      <c r="F117" s="86">
        <f>VLOOKUP($A117,'Data shares'!$C:$FA,76)</f>
        <v>78000</v>
      </c>
      <c r="G117" s="87">
        <f>VLOOKUP(A117,'Data shares'!$C$2:$CA$215,77,0)</f>
        <v>2.58E-2</v>
      </c>
      <c r="H117" s="86">
        <f>VLOOKUP($A117,'Data shares'!$C:$FA,90)</f>
        <v>821500</v>
      </c>
      <c r="I117" s="86">
        <f>VLOOKUP($A117,'Data shares'!$C:$FA,92)</f>
        <v>50000</v>
      </c>
      <c r="J117" s="87">
        <f>VLOOKUP($A117,'Data shares'!$C:$FA,93)</f>
        <v>6.4799999999999996E-2</v>
      </c>
      <c r="K117" s="86">
        <f>VLOOKUP($A117,'Data shares'!$C:$FA,94)</f>
        <v>609500</v>
      </c>
      <c r="L117" s="86">
        <f>VLOOKUP($A117,'Data shares'!$C:$FA,96)</f>
        <v>36500</v>
      </c>
      <c r="M117" s="87">
        <f>VLOOKUP($A117,'Data shares'!$C:$FA,97)</f>
        <v>6.3700000000000007E-2</v>
      </c>
      <c r="N117" s="86">
        <f>VLOOKUP($A117,'Data shares'!$C:$FA,78)</f>
        <v>2995500</v>
      </c>
      <c r="O117" s="87">
        <f>VLOOKUP($A117,'Data shares'!$C:$FA,81)</f>
        <v>2.3400000000000001E-2</v>
      </c>
    </row>
    <row r="118" spans="1:15" x14ac:dyDescent="0.25">
      <c r="A118" s="100" t="str">
        <f>'OI(Value)'!A118</f>
        <v>KOTAKBANK</v>
      </c>
      <c r="B118" s="82">
        <f>VLOOKUP(A118,'Data shares'!$C$2:$CV$215,98,0)</f>
        <v>46910000</v>
      </c>
      <c r="C118" s="82">
        <f>VLOOKUP(A118,'Data shares'!$C$2:$CX$215,100,0)</f>
        <v>1118800</v>
      </c>
      <c r="D118" s="141">
        <f>VLOOKUP(A118,'Data shares'!$C$2:$CY$538,101,0)</f>
        <v>2.4400000000000002E-2</v>
      </c>
      <c r="E118" s="86">
        <f>VLOOKUP($A118,'Data shares'!$C:$FA,74)</f>
        <v>38475600</v>
      </c>
      <c r="F118" s="86">
        <f>VLOOKUP($A118,'Data shares'!$C:$FA,76)</f>
        <v>-220800</v>
      </c>
      <c r="G118" s="87">
        <f>VLOOKUP(A118,'Data shares'!$C$2:$CA$215,77,0)</f>
        <v>-5.7000000000000002E-3</v>
      </c>
      <c r="H118" s="86">
        <f>VLOOKUP($A118,'Data shares'!$C:$FA,90)</f>
        <v>4691200</v>
      </c>
      <c r="I118" s="86">
        <f>VLOOKUP($A118,'Data shares'!$C:$FA,92)</f>
        <v>750800</v>
      </c>
      <c r="J118" s="87">
        <f>VLOOKUP($A118,'Data shares'!$C:$FA,93)</f>
        <v>0.1905</v>
      </c>
      <c r="K118" s="86">
        <f>VLOOKUP($A118,'Data shares'!$C:$FA,94)</f>
        <v>3743200</v>
      </c>
      <c r="L118" s="86">
        <f>VLOOKUP($A118,'Data shares'!$C:$FA,96)</f>
        <v>588800</v>
      </c>
      <c r="M118" s="87">
        <f>VLOOKUP($A118,'Data shares'!$C:$FA,97)</f>
        <v>0.1867</v>
      </c>
      <c r="N118" s="86">
        <f>VLOOKUP($A118,'Data shares'!$C:$FA,78)</f>
        <v>38181200</v>
      </c>
      <c r="O118" s="87">
        <f>VLOOKUP($A118,'Data shares'!$C:$FA,81)</f>
        <v>-6.6E-3</v>
      </c>
    </row>
    <row r="119" spans="1:15" x14ac:dyDescent="0.25">
      <c r="A119" s="100" t="str">
        <f>'OI(Value)'!A119</f>
        <v>KPITTECH</v>
      </c>
      <c r="B119" s="82">
        <f>VLOOKUP(A119,'Data shares'!$C$2:$CV$215,98,0)</f>
        <v>5314200</v>
      </c>
      <c r="C119" s="82">
        <f>VLOOKUP(A119,'Data shares'!$C$2:$CX$215,100,0)</f>
        <v>323425</v>
      </c>
      <c r="D119" s="141">
        <f>VLOOKUP(A119,'Data shares'!$C$2:$CY$538,101,0)</f>
        <v>6.4799999999999996E-2</v>
      </c>
      <c r="E119" s="86">
        <f>VLOOKUP($A119,'Data shares'!$C:$FA,74)</f>
        <v>3500300</v>
      </c>
      <c r="F119" s="86">
        <f>VLOOKUP($A119,'Data shares'!$C:$FA,76)</f>
        <v>98600</v>
      </c>
      <c r="G119" s="87">
        <f>VLOOKUP(A119,'Data shares'!$C$2:$CA$215,77,0)</f>
        <v>2.9000000000000001E-2</v>
      </c>
      <c r="H119" s="86">
        <f>VLOOKUP($A119,'Data shares'!$C:$FA,90)</f>
        <v>966875</v>
      </c>
      <c r="I119" s="86">
        <f>VLOOKUP($A119,'Data shares'!$C:$FA,92)</f>
        <v>173400</v>
      </c>
      <c r="J119" s="87">
        <f>VLOOKUP($A119,'Data shares'!$C:$FA,93)</f>
        <v>0.2185</v>
      </c>
      <c r="K119" s="86">
        <f>VLOOKUP($A119,'Data shares'!$C:$FA,94)</f>
        <v>847025</v>
      </c>
      <c r="L119" s="86">
        <f>VLOOKUP($A119,'Data shares'!$C:$FA,96)</f>
        <v>51425</v>
      </c>
      <c r="M119" s="87">
        <f>VLOOKUP($A119,'Data shares'!$C:$FA,97)</f>
        <v>6.4600000000000005E-2</v>
      </c>
      <c r="N119" s="86">
        <f>VLOOKUP($A119,'Data shares'!$C:$FA,78)</f>
        <v>3354525</v>
      </c>
      <c r="O119" s="87">
        <f>VLOOKUP($A119,'Data shares'!$C:$FA,81)</f>
        <v>2.1100000000000001E-2</v>
      </c>
    </row>
    <row r="120" spans="1:15" x14ac:dyDescent="0.25">
      <c r="A120" s="100" t="str">
        <f>'OI(Value)'!A120</f>
        <v>LAURUSLABS</v>
      </c>
      <c r="B120" s="82">
        <f>VLOOKUP(A120,'Data shares'!$C$2:$CV$215,98,0)</f>
        <v>24278550</v>
      </c>
      <c r="C120" s="82">
        <f>VLOOKUP(A120,'Data shares'!$C$2:$CX$215,100,0)</f>
        <v>733550</v>
      </c>
      <c r="D120" s="141">
        <f>VLOOKUP(A120,'Data shares'!$C$2:$CY$538,101,0)</f>
        <v>3.1199999999999999E-2</v>
      </c>
      <c r="E120" s="86">
        <f>VLOOKUP($A120,'Data shares'!$C:$FA,74)</f>
        <v>16368450</v>
      </c>
      <c r="F120" s="86">
        <f>VLOOKUP($A120,'Data shares'!$C:$FA,76)</f>
        <v>205700</v>
      </c>
      <c r="G120" s="87">
        <f>VLOOKUP(A120,'Data shares'!$C$2:$CA$215,77,0)</f>
        <v>1.2699999999999999E-2</v>
      </c>
      <c r="H120" s="86">
        <f>VLOOKUP($A120,'Data shares'!$C:$FA,90)</f>
        <v>4515200</v>
      </c>
      <c r="I120" s="86">
        <f>VLOOKUP($A120,'Data shares'!$C:$FA,92)</f>
        <v>314500</v>
      </c>
      <c r="J120" s="87">
        <f>VLOOKUP($A120,'Data shares'!$C:$FA,93)</f>
        <v>7.4899999999999994E-2</v>
      </c>
      <c r="K120" s="86">
        <f>VLOOKUP($A120,'Data shares'!$C:$FA,94)</f>
        <v>3394900</v>
      </c>
      <c r="L120" s="86">
        <f>VLOOKUP($A120,'Data shares'!$C:$FA,96)</f>
        <v>213350</v>
      </c>
      <c r="M120" s="87">
        <f>VLOOKUP($A120,'Data shares'!$C:$FA,97)</f>
        <v>6.7100000000000007E-2</v>
      </c>
      <c r="N120" s="86">
        <f>VLOOKUP($A120,'Data shares'!$C:$FA,78)</f>
        <v>15689300</v>
      </c>
      <c r="O120" s="87">
        <f>VLOOKUP($A120,'Data shares'!$C:$FA,81)</f>
        <v>7.6E-3</v>
      </c>
    </row>
    <row r="121" spans="1:15" x14ac:dyDescent="0.25">
      <c r="A121" s="100" t="str">
        <f>'OI(Value)'!A121</f>
        <v>LICHSGFIN</v>
      </c>
      <c r="B121" s="82">
        <f>VLOOKUP(A121,'Data shares'!$C$2:$CV$215,98,0)</f>
        <v>46500000</v>
      </c>
      <c r="C121" s="82">
        <f>VLOOKUP(A121,'Data shares'!$C$2:$CX$215,100,0)</f>
        <v>767000</v>
      </c>
      <c r="D121" s="141">
        <f>VLOOKUP(A121,'Data shares'!$C$2:$CY$538,101,0)</f>
        <v>1.6799999999999999E-2</v>
      </c>
      <c r="E121" s="86">
        <f>VLOOKUP($A121,'Data shares'!$C:$FA,74)</f>
        <v>33375000</v>
      </c>
      <c r="F121" s="86">
        <f>VLOOKUP($A121,'Data shares'!$C:$FA,76)</f>
        <v>248000</v>
      </c>
      <c r="G121" s="87">
        <f>VLOOKUP(A121,'Data shares'!$C$2:$CA$215,77,0)</f>
        <v>7.4999999999999997E-3</v>
      </c>
      <c r="H121" s="86">
        <f>VLOOKUP($A121,'Data shares'!$C:$FA,90)</f>
        <v>6152000</v>
      </c>
      <c r="I121" s="86">
        <f>VLOOKUP($A121,'Data shares'!$C:$FA,92)</f>
        <v>338000</v>
      </c>
      <c r="J121" s="87">
        <f>VLOOKUP($A121,'Data shares'!$C:$FA,93)</f>
        <v>5.8099999999999999E-2</v>
      </c>
      <c r="K121" s="86">
        <f>VLOOKUP($A121,'Data shares'!$C:$FA,94)</f>
        <v>6973000</v>
      </c>
      <c r="L121" s="86">
        <f>VLOOKUP($A121,'Data shares'!$C:$FA,96)</f>
        <v>181000</v>
      </c>
      <c r="M121" s="87">
        <f>VLOOKUP($A121,'Data shares'!$C:$FA,97)</f>
        <v>2.6599999999999999E-2</v>
      </c>
      <c r="N121" s="86">
        <f>VLOOKUP($A121,'Data shares'!$C:$FA,78)</f>
        <v>32613000</v>
      </c>
      <c r="O121" s="87">
        <f>VLOOKUP($A121,'Data shares'!$C:$FA,81)</f>
        <v>4.8999999999999998E-3</v>
      </c>
    </row>
    <row r="122" spans="1:15" x14ac:dyDescent="0.25">
      <c r="A122" s="100" t="str">
        <f>'OI(Value)'!A122</f>
        <v>LICI</v>
      </c>
      <c r="B122" s="82">
        <f>VLOOKUP(A122,'Data shares'!$C$2:$CV$215,98,0)</f>
        <v>16921800</v>
      </c>
      <c r="C122" s="82">
        <f>VLOOKUP(A122,'Data shares'!$C$2:$CX$215,100,0)</f>
        <v>234500</v>
      </c>
      <c r="D122" s="141">
        <f>VLOOKUP(A122,'Data shares'!$C$2:$CY$538,101,0)</f>
        <v>1.41E-2</v>
      </c>
      <c r="E122" s="86">
        <f>VLOOKUP($A122,'Data shares'!$C:$FA,74)</f>
        <v>10571400</v>
      </c>
      <c r="F122" s="86">
        <f>VLOOKUP($A122,'Data shares'!$C:$FA,76)</f>
        <v>53200</v>
      </c>
      <c r="G122" s="87">
        <f>VLOOKUP(A122,'Data shares'!$C$2:$CA$215,77,0)</f>
        <v>5.1000000000000004E-3</v>
      </c>
      <c r="H122" s="86">
        <f>VLOOKUP($A122,'Data shares'!$C:$FA,90)</f>
        <v>3658200</v>
      </c>
      <c r="I122" s="86">
        <f>VLOOKUP($A122,'Data shares'!$C:$FA,92)</f>
        <v>135800</v>
      </c>
      <c r="J122" s="87">
        <f>VLOOKUP($A122,'Data shares'!$C:$FA,93)</f>
        <v>3.8600000000000002E-2</v>
      </c>
      <c r="K122" s="86">
        <f>VLOOKUP($A122,'Data shares'!$C:$FA,94)</f>
        <v>2692200</v>
      </c>
      <c r="L122" s="86">
        <f>VLOOKUP($A122,'Data shares'!$C:$FA,96)</f>
        <v>45500</v>
      </c>
      <c r="M122" s="87">
        <f>VLOOKUP($A122,'Data shares'!$C:$FA,97)</f>
        <v>1.72E-2</v>
      </c>
      <c r="N122" s="86">
        <f>VLOOKUP($A122,'Data shares'!$C:$FA,78)</f>
        <v>9849700</v>
      </c>
      <c r="O122" s="87">
        <f>VLOOKUP($A122,'Data shares'!$C:$FA,81)</f>
        <v>3.5999999999999999E-3</v>
      </c>
    </row>
    <row r="123" spans="1:15" x14ac:dyDescent="0.25">
      <c r="A123" s="100" t="str">
        <f>'OI(Value)'!A123</f>
        <v>LODHA</v>
      </c>
      <c r="B123" s="82">
        <f>VLOOKUP(A123,'Data shares'!$C$2:$CV$215,98,0)</f>
        <v>15149700</v>
      </c>
      <c r="C123" s="82">
        <f>VLOOKUP(A123,'Data shares'!$C$2:$CX$215,100,0)</f>
        <v>170550</v>
      </c>
      <c r="D123" s="141">
        <f>VLOOKUP(A123,'Data shares'!$C$2:$CY$538,101,0)</f>
        <v>1.14E-2</v>
      </c>
      <c r="E123" s="86">
        <f>VLOOKUP($A123,'Data shares'!$C:$FA,74)</f>
        <v>12723300</v>
      </c>
      <c r="F123" s="86">
        <f>VLOOKUP($A123,'Data shares'!$C:$FA,76)</f>
        <v>450</v>
      </c>
      <c r="G123" s="87">
        <f>VLOOKUP(A123,'Data shares'!$C$2:$CA$215,77,0)</f>
        <v>0</v>
      </c>
      <c r="H123" s="86">
        <f>VLOOKUP($A123,'Data shares'!$C:$FA,90)</f>
        <v>1200150</v>
      </c>
      <c r="I123" s="86">
        <f>VLOOKUP($A123,'Data shares'!$C:$FA,92)</f>
        <v>108000</v>
      </c>
      <c r="J123" s="87">
        <f>VLOOKUP($A123,'Data shares'!$C:$FA,93)</f>
        <v>9.8900000000000002E-2</v>
      </c>
      <c r="K123" s="86">
        <f>VLOOKUP($A123,'Data shares'!$C:$FA,94)</f>
        <v>1226250</v>
      </c>
      <c r="L123" s="86">
        <f>VLOOKUP($A123,'Data shares'!$C:$FA,96)</f>
        <v>62100</v>
      </c>
      <c r="M123" s="87">
        <f>VLOOKUP($A123,'Data shares'!$C:$FA,97)</f>
        <v>5.33E-2</v>
      </c>
      <c r="N123" s="86">
        <f>VLOOKUP($A123,'Data shares'!$C:$FA,78)</f>
        <v>12520350</v>
      </c>
      <c r="O123" s="87">
        <f>VLOOKUP($A123,'Data shares'!$C:$FA,81)</f>
        <v>-8.0000000000000004E-4</v>
      </c>
    </row>
    <row r="124" spans="1:15" x14ac:dyDescent="0.25">
      <c r="A124" s="100" t="str">
        <f>'OI(Value)'!A124</f>
        <v>LT</v>
      </c>
      <c r="B124" s="82">
        <f>VLOOKUP(A124,'Data shares'!$C$2:$CV$215,98,0)</f>
        <v>18369925</v>
      </c>
      <c r="C124" s="82">
        <f>VLOOKUP(A124,'Data shares'!$C$2:$CX$215,100,0)</f>
        <v>912625</v>
      </c>
      <c r="D124" s="141">
        <f>VLOOKUP(A124,'Data shares'!$C$2:$CY$538,101,0)</f>
        <v>5.2299999999999999E-2</v>
      </c>
      <c r="E124" s="86">
        <f>VLOOKUP($A124,'Data shares'!$C:$FA,74)</f>
        <v>13661725</v>
      </c>
      <c r="F124" s="86">
        <f>VLOOKUP($A124,'Data shares'!$C:$FA,76)</f>
        <v>-198450</v>
      </c>
      <c r="G124" s="87">
        <f>VLOOKUP(A124,'Data shares'!$C$2:$CA$215,77,0)</f>
        <v>-1.43E-2</v>
      </c>
      <c r="H124" s="86">
        <f>VLOOKUP($A124,'Data shares'!$C:$FA,90)</f>
        <v>2754675</v>
      </c>
      <c r="I124" s="86">
        <f>VLOOKUP($A124,'Data shares'!$C:$FA,92)</f>
        <v>678300</v>
      </c>
      <c r="J124" s="87">
        <f>VLOOKUP($A124,'Data shares'!$C:$FA,93)</f>
        <v>0.32669999999999999</v>
      </c>
      <c r="K124" s="86">
        <f>VLOOKUP($A124,'Data shares'!$C:$FA,94)</f>
        <v>1953525</v>
      </c>
      <c r="L124" s="86">
        <f>VLOOKUP($A124,'Data shares'!$C:$FA,96)</f>
        <v>432775</v>
      </c>
      <c r="M124" s="87">
        <f>VLOOKUP($A124,'Data shares'!$C:$FA,97)</f>
        <v>0.28460000000000002</v>
      </c>
      <c r="N124" s="86">
        <f>VLOOKUP($A124,'Data shares'!$C:$FA,78)</f>
        <v>13425300</v>
      </c>
      <c r="O124" s="87">
        <f>VLOOKUP($A124,'Data shares'!$C:$FA,81)</f>
        <v>-1.61E-2</v>
      </c>
    </row>
    <row r="125" spans="1:15" x14ac:dyDescent="0.25">
      <c r="A125" s="100" t="str">
        <f>'OI(Value)'!A125</f>
        <v>LTF</v>
      </c>
      <c r="B125" s="82">
        <f>VLOOKUP(A125,'Data shares'!$C$2:$CV$215,98,0)</f>
        <v>73759500</v>
      </c>
      <c r="C125" s="82">
        <f>VLOOKUP(A125,'Data shares'!$C$2:$CX$215,100,0)</f>
        <v>888750</v>
      </c>
      <c r="D125" s="141">
        <f>VLOOKUP(A125,'Data shares'!$C$2:$CY$538,101,0)</f>
        <v>1.2200000000000001E-2</v>
      </c>
      <c r="E125" s="86">
        <f>VLOOKUP($A125,'Data shares'!$C:$FA,74)</f>
        <v>41809500</v>
      </c>
      <c r="F125" s="86">
        <f>VLOOKUP($A125,'Data shares'!$C:$FA,76)</f>
        <v>-1100250</v>
      </c>
      <c r="G125" s="87">
        <f>VLOOKUP(A125,'Data shares'!$C$2:$CA$215,77,0)</f>
        <v>-2.5600000000000001E-2</v>
      </c>
      <c r="H125" s="86">
        <f>VLOOKUP($A125,'Data shares'!$C:$FA,90)</f>
        <v>18416250</v>
      </c>
      <c r="I125" s="86">
        <f>VLOOKUP($A125,'Data shares'!$C:$FA,92)</f>
        <v>713250</v>
      </c>
      <c r="J125" s="87">
        <f>VLOOKUP($A125,'Data shares'!$C:$FA,93)</f>
        <v>4.0300000000000002E-2</v>
      </c>
      <c r="K125" s="86">
        <f>VLOOKUP($A125,'Data shares'!$C:$FA,94)</f>
        <v>13533750</v>
      </c>
      <c r="L125" s="86">
        <f>VLOOKUP($A125,'Data shares'!$C:$FA,96)</f>
        <v>1275750</v>
      </c>
      <c r="M125" s="87">
        <f>VLOOKUP($A125,'Data shares'!$C:$FA,97)</f>
        <v>0.1041</v>
      </c>
      <c r="N125" s="86">
        <f>VLOOKUP($A125,'Data shares'!$C:$FA,78)</f>
        <v>40889250</v>
      </c>
      <c r="O125" s="87">
        <f>VLOOKUP($A125,'Data shares'!$C:$FA,81)</f>
        <v>-2.7799999999999998E-2</v>
      </c>
    </row>
    <row r="126" spans="1:15" x14ac:dyDescent="0.25">
      <c r="A126" s="100" t="str">
        <f>'OI(Value)'!A126</f>
        <v>LTIM</v>
      </c>
      <c r="B126" s="82">
        <f>VLOOKUP(A126,'Data shares'!$C$2:$CV$215,98,0)</f>
        <v>2967600</v>
      </c>
      <c r="C126" s="82">
        <f>VLOOKUP(A126,'Data shares'!$C$2:$CX$215,100,0)</f>
        <v>125550</v>
      </c>
      <c r="D126" s="141">
        <f>VLOOKUP(A126,'Data shares'!$C$2:$CY$538,101,0)</f>
        <v>4.4200000000000003E-2</v>
      </c>
      <c r="E126" s="86">
        <f>VLOOKUP($A126,'Data shares'!$C:$FA,74)</f>
        <v>2091150</v>
      </c>
      <c r="F126" s="86">
        <f>VLOOKUP($A126,'Data shares'!$C:$FA,76)</f>
        <v>1800</v>
      </c>
      <c r="G126" s="87">
        <f>VLOOKUP(A126,'Data shares'!$C$2:$CA$215,77,0)</f>
        <v>8.9999999999999998E-4</v>
      </c>
      <c r="H126" s="86">
        <f>VLOOKUP($A126,'Data shares'!$C:$FA,90)</f>
        <v>468600</v>
      </c>
      <c r="I126" s="86">
        <f>VLOOKUP($A126,'Data shares'!$C:$FA,92)</f>
        <v>97350</v>
      </c>
      <c r="J126" s="87">
        <f>VLOOKUP($A126,'Data shares'!$C:$FA,93)</f>
        <v>0.26219999999999999</v>
      </c>
      <c r="K126" s="86">
        <f>VLOOKUP($A126,'Data shares'!$C:$FA,94)</f>
        <v>407850</v>
      </c>
      <c r="L126" s="86">
        <f>VLOOKUP($A126,'Data shares'!$C:$FA,96)</f>
        <v>26400</v>
      </c>
      <c r="M126" s="87">
        <f>VLOOKUP($A126,'Data shares'!$C:$FA,97)</f>
        <v>6.9199999999999998E-2</v>
      </c>
      <c r="N126" s="86">
        <f>VLOOKUP($A126,'Data shares'!$C:$FA,78)</f>
        <v>2069850</v>
      </c>
      <c r="O126" s="87">
        <f>VLOOKUP($A126,'Data shares'!$C:$FA,81)</f>
        <v>-1.6999999999999999E-3</v>
      </c>
    </row>
    <row r="127" spans="1:15" x14ac:dyDescent="0.25">
      <c r="A127" s="100" t="str">
        <f>'OI(Value)'!A127</f>
        <v>LUPIN</v>
      </c>
      <c r="B127" s="82">
        <f>VLOOKUP(A127,'Data shares'!$C$2:$CV$215,98,0)</f>
        <v>9023175</v>
      </c>
      <c r="C127" s="82">
        <f>VLOOKUP(A127,'Data shares'!$C$2:$CX$215,100,0)</f>
        <v>125375</v>
      </c>
      <c r="D127" s="141">
        <f>VLOOKUP(A127,'Data shares'!$C$2:$CY$538,101,0)</f>
        <v>1.41E-2</v>
      </c>
      <c r="E127" s="86">
        <f>VLOOKUP($A127,'Data shares'!$C:$FA,74)</f>
        <v>6854825</v>
      </c>
      <c r="F127" s="86">
        <f>VLOOKUP($A127,'Data shares'!$C:$FA,76)</f>
        <v>-90100</v>
      </c>
      <c r="G127" s="87">
        <f>VLOOKUP(A127,'Data shares'!$C$2:$CA$215,77,0)</f>
        <v>-1.2999999999999999E-2</v>
      </c>
      <c r="H127" s="86">
        <f>VLOOKUP($A127,'Data shares'!$C:$FA,90)</f>
        <v>1164925</v>
      </c>
      <c r="I127" s="86">
        <f>VLOOKUP($A127,'Data shares'!$C:$FA,92)</f>
        <v>136850</v>
      </c>
      <c r="J127" s="87">
        <f>VLOOKUP($A127,'Data shares'!$C:$FA,93)</f>
        <v>0.1331</v>
      </c>
      <c r="K127" s="86">
        <f>VLOOKUP($A127,'Data shares'!$C:$FA,94)</f>
        <v>1003425</v>
      </c>
      <c r="L127" s="86">
        <f>VLOOKUP($A127,'Data shares'!$C:$FA,96)</f>
        <v>78625</v>
      </c>
      <c r="M127" s="87">
        <f>VLOOKUP($A127,'Data shares'!$C:$FA,97)</f>
        <v>8.5000000000000006E-2</v>
      </c>
      <c r="N127" s="86">
        <f>VLOOKUP($A127,'Data shares'!$C:$FA,78)</f>
        <v>6779600</v>
      </c>
      <c r="O127" s="87">
        <f>VLOOKUP($A127,'Data shares'!$C:$FA,81)</f>
        <v>-1.34E-2</v>
      </c>
    </row>
    <row r="128" spans="1:15" x14ac:dyDescent="0.25">
      <c r="A128" s="100" t="str">
        <f>'OI(Value)'!A128</f>
        <v>M&amp;M</v>
      </c>
      <c r="B128" s="82">
        <f>VLOOKUP(A128,'Data shares'!$C$2:$CV$215,98,0)</f>
        <v>22560000</v>
      </c>
      <c r="C128" s="82">
        <f>VLOOKUP(A128,'Data shares'!$C$2:$CX$215,100,0)</f>
        <v>653000</v>
      </c>
      <c r="D128" s="141">
        <f>VLOOKUP(A128,'Data shares'!$C$2:$CY$538,101,0)</f>
        <v>2.98E-2</v>
      </c>
      <c r="E128" s="86">
        <f>VLOOKUP($A128,'Data shares'!$C:$FA,74)</f>
        <v>18211800</v>
      </c>
      <c r="F128" s="86">
        <f>VLOOKUP($A128,'Data shares'!$C:$FA,76)</f>
        <v>-5400</v>
      </c>
      <c r="G128" s="87">
        <f>VLOOKUP(A128,'Data shares'!$C$2:$CA$215,77,0)</f>
        <v>-2.9999999999999997E-4</v>
      </c>
      <c r="H128" s="86">
        <f>VLOOKUP($A128,'Data shares'!$C:$FA,90)</f>
        <v>2533200</v>
      </c>
      <c r="I128" s="86">
        <f>VLOOKUP($A128,'Data shares'!$C:$FA,92)</f>
        <v>468600</v>
      </c>
      <c r="J128" s="87">
        <f>VLOOKUP($A128,'Data shares'!$C:$FA,93)</f>
        <v>0.22700000000000001</v>
      </c>
      <c r="K128" s="86">
        <f>VLOOKUP($A128,'Data shares'!$C:$FA,94)</f>
        <v>1815000</v>
      </c>
      <c r="L128" s="86">
        <f>VLOOKUP($A128,'Data shares'!$C:$FA,96)</f>
        <v>189800</v>
      </c>
      <c r="M128" s="87">
        <f>VLOOKUP($A128,'Data shares'!$C:$FA,97)</f>
        <v>0.1168</v>
      </c>
      <c r="N128" s="86">
        <f>VLOOKUP($A128,'Data shares'!$C:$FA,78)</f>
        <v>17989400</v>
      </c>
      <c r="O128" s="87">
        <f>VLOOKUP($A128,'Data shares'!$C:$FA,81)</f>
        <v>-1.4E-3</v>
      </c>
    </row>
    <row r="129" spans="1:15" x14ac:dyDescent="0.25">
      <c r="A129" s="100" t="str">
        <f>'OI(Value)'!A129</f>
        <v>MANAPPURAM</v>
      </c>
      <c r="B129" s="82">
        <f>VLOOKUP(A129,'Data shares'!$C$2:$CV$215,98,0)</f>
        <v>56916000</v>
      </c>
      <c r="C129" s="82">
        <f>VLOOKUP(A129,'Data shares'!$C$2:$CX$215,100,0)</f>
        <v>504000</v>
      </c>
      <c r="D129" s="141">
        <f>VLOOKUP(A129,'Data shares'!$C$2:$CY$538,101,0)</f>
        <v>8.8999999999999999E-3</v>
      </c>
      <c r="E129" s="86">
        <f>VLOOKUP($A129,'Data shares'!$C:$FA,74)</f>
        <v>38967000</v>
      </c>
      <c r="F129" s="86">
        <f>VLOOKUP($A129,'Data shares'!$C:$FA,76)</f>
        <v>-477000</v>
      </c>
      <c r="G129" s="87">
        <f>VLOOKUP(A129,'Data shares'!$C$2:$CA$215,77,0)</f>
        <v>-1.21E-2</v>
      </c>
      <c r="H129" s="86">
        <f>VLOOKUP($A129,'Data shares'!$C:$FA,90)</f>
        <v>10845000</v>
      </c>
      <c r="I129" s="86">
        <f>VLOOKUP($A129,'Data shares'!$C:$FA,92)</f>
        <v>36000</v>
      </c>
      <c r="J129" s="87">
        <f>VLOOKUP($A129,'Data shares'!$C:$FA,93)</f>
        <v>3.3E-3</v>
      </c>
      <c r="K129" s="86">
        <f>VLOOKUP($A129,'Data shares'!$C:$FA,94)</f>
        <v>7104000</v>
      </c>
      <c r="L129" s="86">
        <f>VLOOKUP($A129,'Data shares'!$C:$FA,96)</f>
        <v>945000</v>
      </c>
      <c r="M129" s="87">
        <f>VLOOKUP($A129,'Data shares'!$C:$FA,97)</f>
        <v>0.15340000000000001</v>
      </c>
      <c r="N129" s="86">
        <f>VLOOKUP($A129,'Data shares'!$C:$FA,78)</f>
        <v>38535000</v>
      </c>
      <c r="O129" s="87">
        <f>VLOOKUP($A129,'Data shares'!$C:$FA,81)</f>
        <v>-1.2999999999999999E-2</v>
      </c>
    </row>
    <row r="130" spans="1:15" x14ac:dyDescent="0.25">
      <c r="A130" s="100" t="str">
        <f>'OI(Value)'!A130</f>
        <v>MANKIND</v>
      </c>
      <c r="B130" s="82">
        <f>VLOOKUP(A130,'Data shares'!$C$2:$CV$215,98,0)</f>
        <v>2782350</v>
      </c>
      <c r="C130" s="82">
        <f>VLOOKUP(A130,'Data shares'!$C$2:$CX$215,100,0)</f>
        <v>92025</v>
      </c>
      <c r="D130" s="141">
        <f>VLOOKUP(A130,'Data shares'!$C$2:$CY$538,101,0)</f>
        <v>3.4200000000000001E-2</v>
      </c>
      <c r="E130" s="86">
        <f>VLOOKUP($A130,'Data shares'!$C:$FA,74)</f>
        <v>2185650</v>
      </c>
      <c r="F130" s="86">
        <f>VLOOKUP($A130,'Data shares'!$C:$FA,76)</f>
        <v>45450</v>
      </c>
      <c r="G130" s="87">
        <f>VLOOKUP(A130,'Data shares'!$C$2:$CA$215,77,0)</f>
        <v>2.12E-2</v>
      </c>
      <c r="H130" s="86">
        <f>VLOOKUP($A130,'Data shares'!$C:$FA,90)</f>
        <v>328725</v>
      </c>
      <c r="I130" s="86">
        <f>VLOOKUP($A130,'Data shares'!$C:$FA,92)</f>
        <v>38475</v>
      </c>
      <c r="J130" s="87">
        <f>VLOOKUP($A130,'Data shares'!$C:$FA,93)</f>
        <v>0.1326</v>
      </c>
      <c r="K130" s="86">
        <f>VLOOKUP($A130,'Data shares'!$C:$FA,94)</f>
        <v>267975</v>
      </c>
      <c r="L130" s="86">
        <f>VLOOKUP($A130,'Data shares'!$C:$FA,96)</f>
        <v>8100</v>
      </c>
      <c r="M130" s="87">
        <f>VLOOKUP($A130,'Data shares'!$C:$FA,97)</f>
        <v>3.1199999999999999E-2</v>
      </c>
      <c r="N130" s="86">
        <f>VLOOKUP($A130,'Data shares'!$C:$FA,78)</f>
        <v>2134350</v>
      </c>
      <c r="O130" s="87">
        <f>VLOOKUP($A130,'Data shares'!$C:$FA,81)</f>
        <v>1.89E-2</v>
      </c>
    </row>
    <row r="131" spans="1:15" x14ac:dyDescent="0.25">
      <c r="A131" s="100" t="str">
        <f>'OI(Value)'!A131</f>
        <v>MARICO</v>
      </c>
      <c r="B131" s="82">
        <f>VLOOKUP(A131,'Data shares'!$C$2:$CV$215,98,0)</f>
        <v>38388000</v>
      </c>
      <c r="C131" s="82">
        <f>VLOOKUP(A131,'Data shares'!$C$2:$CX$215,100,0)</f>
        <v>1572000</v>
      </c>
      <c r="D131" s="141">
        <f>VLOOKUP(A131,'Data shares'!$C$2:$CY$538,101,0)</f>
        <v>4.2700000000000002E-2</v>
      </c>
      <c r="E131" s="86">
        <f>VLOOKUP($A131,'Data shares'!$C:$FA,74)</f>
        <v>33152400</v>
      </c>
      <c r="F131" s="86">
        <f>VLOOKUP($A131,'Data shares'!$C:$FA,76)</f>
        <v>280800</v>
      </c>
      <c r="G131" s="87">
        <f>VLOOKUP(A131,'Data shares'!$C$2:$CA$215,77,0)</f>
        <v>8.5000000000000006E-3</v>
      </c>
      <c r="H131" s="86">
        <f>VLOOKUP($A131,'Data shares'!$C:$FA,90)</f>
        <v>3096000</v>
      </c>
      <c r="I131" s="86">
        <f>VLOOKUP($A131,'Data shares'!$C:$FA,92)</f>
        <v>597600</v>
      </c>
      <c r="J131" s="87">
        <f>VLOOKUP($A131,'Data shares'!$C:$FA,93)</f>
        <v>0.2392</v>
      </c>
      <c r="K131" s="86">
        <f>VLOOKUP($A131,'Data shares'!$C:$FA,94)</f>
        <v>2139600</v>
      </c>
      <c r="L131" s="86">
        <f>VLOOKUP($A131,'Data shares'!$C:$FA,96)</f>
        <v>693600</v>
      </c>
      <c r="M131" s="87">
        <f>VLOOKUP($A131,'Data shares'!$C:$FA,97)</f>
        <v>0.47970000000000002</v>
      </c>
      <c r="N131" s="86">
        <f>VLOOKUP($A131,'Data shares'!$C:$FA,78)</f>
        <v>33087600</v>
      </c>
      <c r="O131" s="87">
        <f>VLOOKUP($A131,'Data shares'!$C:$FA,81)</f>
        <v>8.6E-3</v>
      </c>
    </row>
    <row r="132" spans="1:15" x14ac:dyDescent="0.25">
      <c r="A132" s="100" t="str">
        <f>'OI(Value)'!A132</f>
        <v>MARUTI</v>
      </c>
      <c r="B132" s="82">
        <f>VLOOKUP(A132,'Data shares'!$C$2:$CV$215,98,0)</f>
        <v>4423050</v>
      </c>
      <c r="C132" s="82">
        <f>VLOOKUP(A132,'Data shares'!$C$2:$CX$215,100,0)</f>
        <v>211150</v>
      </c>
      <c r="D132" s="141">
        <f>VLOOKUP(A132,'Data shares'!$C$2:$CY$538,101,0)</f>
        <v>5.0099999999999999E-2</v>
      </c>
      <c r="E132" s="86">
        <f>VLOOKUP($A132,'Data shares'!$C:$FA,74)</f>
        <v>2933950</v>
      </c>
      <c r="F132" s="86">
        <f>VLOOKUP($A132,'Data shares'!$C:$FA,76)</f>
        <v>-15750</v>
      </c>
      <c r="G132" s="87">
        <f>VLOOKUP(A132,'Data shares'!$C$2:$CA$215,77,0)</f>
        <v>-5.3E-3</v>
      </c>
      <c r="H132" s="86">
        <f>VLOOKUP($A132,'Data shares'!$C:$FA,90)</f>
        <v>779050</v>
      </c>
      <c r="I132" s="86">
        <f>VLOOKUP($A132,'Data shares'!$C:$FA,92)</f>
        <v>126500</v>
      </c>
      <c r="J132" s="87">
        <f>VLOOKUP($A132,'Data shares'!$C:$FA,93)</f>
        <v>0.19389999999999999</v>
      </c>
      <c r="K132" s="86">
        <f>VLOOKUP($A132,'Data shares'!$C:$FA,94)</f>
        <v>710050</v>
      </c>
      <c r="L132" s="86">
        <f>VLOOKUP($A132,'Data shares'!$C:$FA,96)</f>
        <v>100400</v>
      </c>
      <c r="M132" s="87">
        <f>VLOOKUP($A132,'Data shares'!$C:$FA,97)</f>
        <v>0.16470000000000001</v>
      </c>
      <c r="N132" s="86">
        <f>VLOOKUP($A132,'Data shares'!$C:$FA,78)</f>
        <v>2897850</v>
      </c>
      <c r="O132" s="87">
        <f>VLOOKUP($A132,'Data shares'!$C:$FA,81)</f>
        <v>-6.1999999999999998E-3</v>
      </c>
    </row>
    <row r="133" spans="1:15" x14ac:dyDescent="0.25">
      <c r="A133" s="100" t="str">
        <f>'OI(Value)'!A133</f>
        <v>MAXHEALTH</v>
      </c>
      <c r="B133" s="82">
        <f>VLOOKUP(A133,'Data shares'!$C$2:$CV$215,98,0)</f>
        <v>26020050</v>
      </c>
      <c r="C133" s="82">
        <f>VLOOKUP(A133,'Data shares'!$C$2:$CX$215,100,0)</f>
        <v>187425</v>
      </c>
      <c r="D133" s="141">
        <f>VLOOKUP(A133,'Data shares'!$C$2:$CY$538,101,0)</f>
        <v>7.3000000000000001E-3</v>
      </c>
      <c r="E133" s="86">
        <f>VLOOKUP($A133,'Data shares'!$C:$FA,74)</f>
        <v>21901950</v>
      </c>
      <c r="F133" s="86">
        <f>VLOOKUP($A133,'Data shares'!$C:$FA,76)</f>
        <v>-158550</v>
      </c>
      <c r="G133" s="87">
        <f>VLOOKUP(A133,'Data shares'!$C$2:$CA$215,77,0)</f>
        <v>-7.1999999999999998E-3</v>
      </c>
      <c r="H133" s="86">
        <f>VLOOKUP($A133,'Data shares'!$C:$FA,90)</f>
        <v>2226000</v>
      </c>
      <c r="I133" s="86">
        <f>VLOOKUP($A133,'Data shares'!$C:$FA,92)</f>
        <v>225225</v>
      </c>
      <c r="J133" s="87">
        <f>VLOOKUP($A133,'Data shares'!$C:$FA,93)</f>
        <v>0.11260000000000001</v>
      </c>
      <c r="K133" s="86">
        <f>VLOOKUP($A133,'Data shares'!$C:$FA,94)</f>
        <v>1892100</v>
      </c>
      <c r="L133" s="86">
        <f>VLOOKUP($A133,'Data shares'!$C:$FA,96)</f>
        <v>120750</v>
      </c>
      <c r="M133" s="87">
        <f>VLOOKUP($A133,'Data shares'!$C:$FA,97)</f>
        <v>6.8199999999999997E-2</v>
      </c>
      <c r="N133" s="86">
        <f>VLOOKUP($A133,'Data shares'!$C:$FA,78)</f>
        <v>21569100</v>
      </c>
      <c r="O133" s="87">
        <f>VLOOKUP($A133,'Data shares'!$C:$FA,81)</f>
        <v>-7.7999999999999996E-3</v>
      </c>
    </row>
    <row r="134" spans="1:15" x14ac:dyDescent="0.25">
      <c r="A134" s="100" t="str">
        <f>'OI(Value)'!A134</f>
        <v>MAZDOCK</v>
      </c>
      <c r="B134" s="82">
        <f>VLOOKUP(A134,'Data shares'!$C$2:$CV$215,98,0)</f>
        <v>10749400</v>
      </c>
      <c r="C134" s="82">
        <f>VLOOKUP(A134,'Data shares'!$C$2:$CX$215,100,0)</f>
        <v>239400</v>
      </c>
      <c r="D134" s="141">
        <f>VLOOKUP(A134,'Data shares'!$C$2:$CY$538,101,0)</f>
        <v>2.2800000000000001E-2</v>
      </c>
      <c r="E134" s="86">
        <f>VLOOKUP($A134,'Data shares'!$C:$FA,74)</f>
        <v>5193400</v>
      </c>
      <c r="F134" s="86">
        <f>VLOOKUP($A134,'Data shares'!$C:$FA,76)</f>
        <v>8800</v>
      </c>
      <c r="G134" s="87">
        <f>VLOOKUP(A134,'Data shares'!$C$2:$CA$215,77,0)</f>
        <v>1.6999999999999999E-3</v>
      </c>
      <c r="H134" s="86">
        <f>VLOOKUP($A134,'Data shares'!$C:$FA,90)</f>
        <v>3726800</v>
      </c>
      <c r="I134" s="86">
        <f>VLOOKUP($A134,'Data shares'!$C:$FA,92)</f>
        <v>204000</v>
      </c>
      <c r="J134" s="87">
        <f>VLOOKUP($A134,'Data shares'!$C:$FA,93)</f>
        <v>5.79E-2</v>
      </c>
      <c r="K134" s="86">
        <f>VLOOKUP($A134,'Data shares'!$C:$FA,94)</f>
        <v>1829200</v>
      </c>
      <c r="L134" s="86">
        <f>VLOOKUP($A134,'Data shares'!$C:$FA,96)</f>
        <v>26600</v>
      </c>
      <c r="M134" s="87">
        <f>VLOOKUP($A134,'Data shares'!$C:$FA,97)</f>
        <v>1.4800000000000001E-2</v>
      </c>
      <c r="N134" s="86">
        <f>VLOOKUP($A134,'Data shares'!$C:$FA,78)</f>
        <v>4936800</v>
      </c>
      <c r="O134" s="87">
        <f>VLOOKUP($A134,'Data shares'!$C:$FA,81)</f>
        <v>-2.8999999999999998E-3</v>
      </c>
    </row>
    <row r="135" spans="1:15" x14ac:dyDescent="0.25">
      <c r="A135" s="100" t="str">
        <f>'OI(Value)'!A135</f>
        <v>MCX</v>
      </c>
      <c r="B135" s="82">
        <f>VLOOKUP(A135,'Data shares'!$C$2:$CV$215,98,0)</f>
        <v>6013250</v>
      </c>
      <c r="C135" s="82">
        <f>VLOOKUP(A135,'Data shares'!$C$2:$CX$215,100,0)</f>
        <v>313750</v>
      </c>
      <c r="D135" s="141">
        <f>VLOOKUP(A135,'Data shares'!$C$2:$CY$538,101,0)</f>
        <v>5.5E-2</v>
      </c>
      <c r="E135" s="86">
        <f>VLOOKUP($A135,'Data shares'!$C:$FA,74)</f>
        <v>2891375</v>
      </c>
      <c r="F135" s="86">
        <f>VLOOKUP($A135,'Data shares'!$C:$FA,76)</f>
        <v>62375</v>
      </c>
      <c r="G135" s="87">
        <f>VLOOKUP(A135,'Data shares'!$C$2:$CA$215,77,0)</f>
        <v>2.1999999999999999E-2</v>
      </c>
      <c r="H135" s="86">
        <f>VLOOKUP($A135,'Data shares'!$C:$FA,90)</f>
        <v>1875375</v>
      </c>
      <c r="I135" s="86">
        <f>VLOOKUP($A135,'Data shares'!$C:$FA,92)</f>
        <v>172750</v>
      </c>
      <c r="J135" s="87">
        <f>VLOOKUP($A135,'Data shares'!$C:$FA,93)</f>
        <v>0.10150000000000001</v>
      </c>
      <c r="K135" s="86">
        <f>VLOOKUP($A135,'Data shares'!$C:$FA,94)</f>
        <v>1246500</v>
      </c>
      <c r="L135" s="86">
        <f>VLOOKUP($A135,'Data shares'!$C:$FA,96)</f>
        <v>78625</v>
      </c>
      <c r="M135" s="87">
        <f>VLOOKUP($A135,'Data shares'!$C:$FA,97)</f>
        <v>6.7299999999999999E-2</v>
      </c>
      <c r="N135" s="86">
        <f>VLOOKUP($A135,'Data shares'!$C:$FA,78)</f>
        <v>2794000</v>
      </c>
      <c r="O135" s="87">
        <f>VLOOKUP($A135,'Data shares'!$C:$FA,81)</f>
        <v>2.2200000000000001E-2</v>
      </c>
    </row>
    <row r="136" spans="1:15" x14ac:dyDescent="0.25">
      <c r="A136" s="100" t="str">
        <f>'OI(Value)'!A136</f>
        <v>MFSL</v>
      </c>
      <c r="B136" s="82">
        <f>VLOOKUP(A136,'Data shares'!$C$2:$CV$215,98,0)</f>
        <v>9314400</v>
      </c>
      <c r="C136" s="82">
        <f>VLOOKUP(A136,'Data shares'!$C$2:$CX$215,100,0)</f>
        <v>68000</v>
      </c>
      <c r="D136" s="141">
        <f>VLOOKUP(A136,'Data shares'!$C$2:$CY$538,101,0)</f>
        <v>7.4000000000000003E-3</v>
      </c>
      <c r="E136" s="86">
        <f>VLOOKUP($A136,'Data shares'!$C:$FA,74)</f>
        <v>8500800</v>
      </c>
      <c r="F136" s="86">
        <f>VLOOKUP($A136,'Data shares'!$C:$FA,76)</f>
        <v>-33200</v>
      </c>
      <c r="G136" s="87">
        <f>VLOOKUP(A136,'Data shares'!$C$2:$CA$215,77,0)</f>
        <v>-3.8999999999999998E-3</v>
      </c>
      <c r="H136" s="86">
        <f>VLOOKUP($A136,'Data shares'!$C:$FA,90)</f>
        <v>465600</v>
      </c>
      <c r="I136" s="86">
        <f>VLOOKUP($A136,'Data shares'!$C:$FA,92)</f>
        <v>64800</v>
      </c>
      <c r="J136" s="87">
        <f>VLOOKUP($A136,'Data shares'!$C:$FA,93)</f>
        <v>0.16170000000000001</v>
      </c>
      <c r="K136" s="86">
        <f>VLOOKUP($A136,'Data shares'!$C:$FA,94)</f>
        <v>348000</v>
      </c>
      <c r="L136" s="86">
        <f>VLOOKUP($A136,'Data shares'!$C:$FA,96)</f>
        <v>36400</v>
      </c>
      <c r="M136" s="87">
        <f>VLOOKUP($A136,'Data shares'!$C:$FA,97)</f>
        <v>0.1168</v>
      </c>
      <c r="N136" s="86">
        <f>VLOOKUP($A136,'Data shares'!$C:$FA,78)</f>
        <v>8484400</v>
      </c>
      <c r="O136" s="87">
        <f>VLOOKUP($A136,'Data shares'!$C:$FA,81)</f>
        <v>-3.8999999999999998E-3</v>
      </c>
    </row>
    <row r="137" spans="1:15" x14ac:dyDescent="0.25">
      <c r="A137" s="100" t="str">
        <f>'OI(Value)'!A137</f>
        <v>MIDCPNIFTY</v>
      </c>
      <c r="B137" s="82">
        <f>VLOOKUP(A137,'Data shares'!$C$2:$CV$215,98,0)</f>
        <v>10827600</v>
      </c>
      <c r="C137" s="82">
        <f>VLOOKUP(A137,'Data shares'!$C$2:$CX$215,100,0)</f>
        <v>1246800</v>
      </c>
      <c r="D137" s="141">
        <f>VLOOKUP(A137,'Data shares'!$C$2:$CY$538,101,0)</f>
        <v>0.13009999999999999</v>
      </c>
      <c r="E137" s="86">
        <f>VLOOKUP($A137,'Data shares'!$C:$FA,74)</f>
        <v>2011320</v>
      </c>
      <c r="F137" s="86">
        <f>VLOOKUP($A137,'Data shares'!$C:$FA,76)</f>
        <v>23880</v>
      </c>
      <c r="G137" s="87">
        <f>VLOOKUP(A137,'Data shares'!$C$2:$CA$215,77,0)</f>
        <v>1.2E-2</v>
      </c>
      <c r="H137" s="86">
        <f>VLOOKUP($A137,'Data shares'!$C:$FA,90)</f>
        <v>4088400</v>
      </c>
      <c r="I137" s="86">
        <f>VLOOKUP($A137,'Data shares'!$C:$FA,92)</f>
        <v>440160</v>
      </c>
      <c r="J137" s="87">
        <f>VLOOKUP($A137,'Data shares'!$C:$FA,93)</f>
        <v>0.1206</v>
      </c>
      <c r="K137" s="86">
        <f>VLOOKUP($A137,'Data shares'!$C:$FA,94)</f>
        <v>4727880</v>
      </c>
      <c r="L137" s="86">
        <f>VLOOKUP($A137,'Data shares'!$C:$FA,96)</f>
        <v>782760</v>
      </c>
      <c r="M137" s="87">
        <f>VLOOKUP($A137,'Data shares'!$C:$FA,97)</f>
        <v>0.19839999999999999</v>
      </c>
      <c r="N137" s="86">
        <f>VLOOKUP($A137,'Data shares'!$C:$FA,78)</f>
        <v>1952400</v>
      </c>
      <c r="O137" s="87">
        <f>VLOOKUP($A137,'Data shares'!$C:$FA,81)</f>
        <v>1.12E-2</v>
      </c>
    </row>
    <row r="138" spans="1:15" x14ac:dyDescent="0.25">
      <c r="A138" s="100" t="str">
        <f>'OI(Value)'!A138</f>
        <v>MOTHERSON</v>
      </c>
      <c r="B138" s="82">
        <f>VLOOKUP(A138,'Data shares'!$C$2:$CV$215,98,0)</f>
        <v>214044600</v>
      </c>
      <c r="C138" s="82">
        <f>VLOOKUP(A138,'Data shares'!$C$2:$CX$215,100,0)</f>
        <v>10830150</v>
      </c>
      <c r="D138" s="141">
        <f>VLOOKUP(A138,'Data shares'!$C$2:$CY$538,101,0)</f>
        <v>5.33E-2</v>
      </c>
      <c r="E138" s="86">
        <f>VLOOKUP($A138,'Data shares'!$C:$FA,74)</f>
        <v>156597450</v>
      </c>
      <c r="F138" s="86">
        <f>VLOOKUP($A138,'Data shares'!$C:$FA,76)</f>
        <v>3290250</v>
      </c>
      <c r="G138" s="87">
        <f>VLOOKUP(A138,'Data shares'!$C$2:$CA$215,77,0)</f>
        <v>2.1499999999999998E-2</v>
      </c>
      <c r="H138" s="86">
        <f>VLOOKUP($A138,'Data shares'!$C:$FA,90)</f>
        <v>33166950</v>
      </c>
      <c r="I138" s="86">
        <f>VLOOKUP($A138,'Data shares'!$C:$FA,92)</f>
        <v>2158650</v>
      </c>
      <c r="J138" s="87">
        <f>VLOOKUP($A138,'Data shares'!$C:$FA,93)</f>
        <v>6.9599999999999995E-2</v>
      </c>
      <c r="K138" s="86">
        <f>VLOOKUP($A138,'Data shares'!$C:$FA,94)</f>
        <v>24280200</v>
      </c>
      <c r="L138" s="86">
        <f>VLOOKUP($A138,'Data shares'!$C:$FA,96)</f>
        <v>5381250</v>
      </c>
      <c r="M138" s="87">
        <f>VLOOKUP($A138,'Data shares'!$C:$FA,97)</f>
        <v>0.28470000000000001</v>
      </c>
      <c r="N138" s="86">
        <f>VLOOKUP($A138,'Data shares'!$C:$FA,78)</f>
        <v>154094400</v>
      </c>
      <c r="O138" s="87">
        <f>VLOOKUP($A138,'Data shares'!$C:$FA,81)</f>
        <v>2.0400000000000001E-2</v>
      </c>
    </row>
    <row r="139" spans="1:15" x14ac:dyDescent="0.25">
      <c r="A139" s="100" t="str">
        <f>'OI(Value)'!A139</f>
        <v>MPHASIS</v>
      </c>
      <c r="B139" s="82">
        <f>VLOOKUP(A139,'Data shares'!$C$2:$CV$215,98,0)</f>
        <v>6565075</v>
      </c>
      <c r="C139" s="82">
        <f>VLOOKUP(A139,'Data shares'!$C$2:$CX$215,100,0)</f>
        <v>-4125</v>
      </c>
      <c r="D139" s="141">
        <f>VLOOKUP(A139,'Data shares'!$C$2:$CY$538,101,0)</f>
        <v>-5.9999999999999995E-4</v>
      </c>
      <c r="E139" s="86">
        <f>VLOOKUP($A139,'Data shares'!$C:$FA,74)</f>
        <v>5357550</v>
      </c>
      <c r="F139" s="86">
        <f>VLOOKUP($A139,'Data shares'!$C:$FA,76)</f>
        <v>-45100</v>
      </c>
      <c r="G139" s="87">
        <f>VLOOKUP(A139,'Data shares'!$C$2:$CA$215,77,0)</f>
        <v>-8.3000000000000001E-3</v>
      </c>
      <c r="H139" s="86">
        <f>VLOOKUP($A139,'Data shares'!$C:$FA,90)</f>
        <v>723250</v>
      </c>
      <c r="I139" s="86">
        <f>VLOOKUP($A139,'Data shares'!$C:$FA,92)</f>
        <v>27775</v>
      </c>
      <c r="J139" s="87">
        <f>VLOOKUP($A139,'Data shares'!$C:$FA,93)</f>
        <v>3.9899999999999998E-2</v>
      </c>
      <c r="K139" s="86">
        <f>VLOOKUP($A139,'Data shares'!$C:$FA,94)</f>
        <v>484275</v>
      </c>
      <c r="L139" s="86">
        <f>VLOOKUP($A139,'Data shares'!$C:$FA,96)</f>
        <v>13200</v>
      </c>
      <c r="M139" s="87">
        <f>VLOOKUP($A139,'Data shares'!$C:$FA,97)</f>
        <v>2.8000000000000001E-2</v>
      </c>
      <c r="N139" s="86">
        <f>VLOOKUP($A139,'Data shares'!$C:$FA,78)</f>
        <v>5320425</v>
      </c>
      <c r="O139" s="87">
        <f>VLOOKUP($A139,'Data shares'!$C:$FA,81)</f>
        <v>-8.6999999999999994E-3</v>
      </c>
    </row>
    <row r="140" spans="1:15" x14ac:dyDescent="0.25">
      <c r="A140" s="100" t="str">
        <f>'OI(Value)'!A140</f>
        <v>MUTHOOTFIN</v>
      </c>
      <c r="B140" s="82">
        <f>VLOOKUP(A140,'Data shares'!$C$2:$CV$215,98,0)</f>
        <v>6345625</v>
      </c>
      <c r="C140" s="82">
        <f>VLOOKUP(A140,'Data shares'!$C$2:$CX$215,100,0)</f>
        <v>33825</v>
      </c>
      <c r="D140" s="141">
        <f>VLOOKUP(A140,'Data shares'!$C$2:$CY$538,101,0)</f>
        <v>5.4000000000000003E-3</v>
      </c>
      <c r="E140" s="86">
        <f>VLOOKUP($A140,'Data shares'!$C:$FA,74)</f>
        <v>3557950</v>
      </c>
      <c r="F140" s="86">
        <f>VLOOKUP($A140,'Data shares'!$C:$FA,76)</f>
        <v>6600</v>
      </c>
      <c r="G140" s="87">
        <f>VLOOKUP(A140,'Data shares'!$C$2:$CA$215,77,0)</f>
        <v>1.9E-3</v>
      </c>
      <c r="H140" s="86">
        <f>VLOOKUP($A140,'Data shares'!$C:$FA,90)</f>
        <v>1722325</v>
      </c>
      <c r="I140" s="86">
        <f>VLOOKUP($A140,'Data shares'!$C:$FA,92)</f>
        <v>-6325</v>
      </c>
      <c r="J140" s="87">
        <f>VLOOKUP($A140,'Data shares'!$C:$FA,93)</f>
        <v>-3.7000000000000002E-3</v>
      </c>
      <c r="K140" s="86">
        <f>VLOOKUP($A140,'Data shares'!$C:$FA,94)</f>
        <v>1065350</v>
      </c>
      <c r="L140" s="86">
        <f>VLOOKUP($A140,'Data shares'!$C:$FA,96)</f>
        <v>33550</v>
      </c>
      <c r="M140" s="87">
        <f>VLOOKUP($A140,'Data shares'!$C:$FA,97)</f>
        <v>3.2500000000000001E-2</v>
      </c>
      <c r="N140" s="86">
        <f>VLOOKUP($A140,'Data shares'!$C:$FA,78)</f>
        <v>3474350</v>
      </c>
      <c r="O140" s="87">
        <f>VLOOKUP($A140,'Data shares'!$C:$FA,81)</f>
        <v>1.1000000000000001E-3</v>
      </c>
    </row>
    <row r="141" spans="1:15" x14ac:dyDescent="0.25">
      <c r="A141" s="100" t="str">
        <f>'OI(Value)'!A141</f>
        <v>NATIONALUM</v>
      </c>
      <c r="B141" s="82">
        <f>VLOOKUP(A141,'Data shares'!$C$2:$CV$215,98,0)</f>
        <v>107621250</v>
      </c>
      <c r="C141" s="82">
        <f>VLOOKUP(A141,'Data shares'!$C$2:$CX$215,100,0)</f>
        <v>-1522500</v>
      </c>
      <c r="D141" s="141">
        <f>VLOOKUP(A141,'Data shares'!$C$2:$CY$538,101,0)</f>
        <v>-1.3899999999999999E-2</v>
      </c>
      <c r="E141" s="86">
        <f>VLOOKUP($A141,'Data shares'!$C:$FA,74)</f>
        <v>51442500</v>
      </c>
      <c r="F141" s="86">
        <f>VLOOKUP($A141,'Data shares'!$C:$FA,76)</f>
        <v>-1166250</v>
      </c>
      <c r="G141" s="87">
        <f>VLOOKUP(A141,'Data shares'!$C$2:$CA$215,77,0)</f>
        <v>-2.2200000000000001E-2</v>
      </c>
      <c r="H141" s="86">
        <f>VLOOKUP($A141,'Data shares'!$C:$FA,90)</f>
        <v>32107500</v>
      </c>
      <c r="I141" s="86">
        <f>VLOOKUP($A141,'Data shares'!$C:$FA,92)</f>
        <v>423750</v>
      </c>
      <c r="J141" s="87">
        <f>VLOOKUP($A141,'Data shares'!$C:$FA,93)</f>
        <v>1.34E-2</v>
      </c>
      <c r="K141" s="86">
        <f>VLOOKUP($A141,'Data shares'!$C:$FA,94)</f>
        <v>24071250</v>
      </c>
      <c r="L141" s="86">
        <f>VLOOKUP($A141,'Data shares'!$C:$FA,96)</f>
        <v>-780000</v>
      </c>
      <c r="M141" s="87">
        <f>VLOOKUP($A141,'Data shares'!$C:$FA,97)</f>
        <v>-3.1399999999999997E-2</v>
      </c>
      <c r="N141" s="86">
        <f>VLOOKUP($A141,'Data shares'!$C:$FA,78)</f>
        <v>48168750</v>
      </c>
      <c r="O141" s="87">
        <f>VLOOKUP($A141,'Data shares'!$C:$FA,81)</f>
        <v>-2.5600000000000001E-2</v>
      </c>
    </row>
    <row r="142" spans="1:15" x14ac:dyDescent="0.25">
      <c r="A142" s="100" t="str">
        <f>'OI(Value)'!A142</f>
        <v>NAUKRI</v>
      </c>
      <c r="B142" s="82">
        <f>VLOOKUP(A142,'Data shares'!$C$2:$CV$215,98,0)</f>
        <v>10585125</v>
      </c>
      <c r="C142" s="82">
        <f>VLOOKUP(A142,'Data shares'!$C$2:$CX$215,100,0)</f>
        <v>299250</v>
      </c>
      <c r="D142" s="141">
        <f>VLOOKUP(A142,'Data shares'!$C$2:$CY$538,101,0)</f>
        <v>2.9100000000000001E-2</v>
      </c>
      <c r="E142" s="86">
        <f>VLOOKUP($A142,'Data shares'!$C:$FA,74)</f>
        <v>7943625</v>
      </c>
      <c r="F142" s="86">
        <f>VLOOKUP($A142,'Data shares'!$C:$FA,76)</f>
        <v>13125</v>
      </c>
      <c r="G142" s="87">
        <f>VLOOKUP(A142,'Data shares'!$C$2:$CA$215,77,0)</f>
        <v>1.6999999999999999E-3</v>
      </c>
      <c r="H142" s="86">
        <f>VLOOKUP($A142,'Data shares'!$C:$FA,90)</f>
        <v>1466250</v>
      </c>
      <c r="I142" s="86">
        <f>VLOOKUP($A142,'Data shares'!$C:$FA,92)</f>
        <v>83625</v>
      </c>
      <c r="J142" s="87">
        <f>VLOOKUP($A142,'Data shares'!$C:$FA,93)</f>
        <v>6.0499999999999998E-2</v>
      </c>
      <c r="K142" s="86">
        <f>VLOOKUP($A142,'Data shares'!$C:$FA,94)</f>
        <v>1175250</v>
      </c>
      <c r="L142" s="86">
        <f>VLOOKUP($A142,'Data shares'!$C:$FA,96)</f>
        <v>202500</v>
      </c>
      <c r="M142" s="87">
        <f>VLOOKUP($A142,'Data shares'!$C:$FA,97)</f>
        <v>0.2082</v>
      </c>
      <c r="N142" s="86">
        <f>VLOOKUP($A142,'Data shares'!$C:$FA,78)</f>
        <v>7890000</v>
      </c>
      <c r="O142" s="87">
        <f>VLOOKUP($A142,'Data shares'!$C:$FA,81)</f>
        <v>1.6000000000000001E-3</v>
      </c>
    </row>
    <row r="143" spans="1:15" x14ac:dyDescent="0.25">
      <c r="A143" s="100" t="str">
        <f>'OI(Value)'!A143</f>
        <v>NBCC</v>
      </c>
      <c r="B143" s="82">
        <f>VLOOKUP(A143,'Data shares'!$C$2:$CV$215,98,0)</f>
        <v>156344500</v>
      </c>
      <c r="C143" s="82">
        <f>VLOOKUP(A143,'Data shares'!$C$2:$CX$215,100,0)</f>
        <v>3536000</v>
      </c>
      <c r="D143" s="141">
        <f>VLOOKUP(A143,'Data shares'!$C$2:$CY$538,101,0)</f>
        <v>2.3099999999999999E-2</v>
      </c>
      <c r="E143" s="86">
        <f>VLOOKUP($A143,'Data shares'!$C:$FA,74)</f>
        <v>95920500</v>
      </c>
      <c r="F143" s="86">
        <f>VLOOKUP($A143,'Data shares'!$C:$FA,76)</f>
        <v>266500</v>
      </c>
      <c r="G143" s="87">
        <f>VLOOKUP(A143,'Data shares'!$C$2:$CA$215,77,0)</f>
        <v>2.8E-3</v>
      </c>
      <c r="H143" s="86">
        <f>VLOOKUP($A143,'Data shares'!$C:$FA,90)</f>
        <v>40092000</v>
      </c>
      <c r="I143" s="86">
        <f>VLOOKUP($A143,'Data shares'!$C:$FA,92)</f>
        <v>2444000</v>
      </c>
      <c r="J143" s="87">
        <f>VLOOKUP($A143,'Data shares'!$C:$FA,93)</f>
        <v>6.4899999999999999E-2</v>
      </c>
      <c r="K143" s="86">
        <f>VLOOKUP($A143,'Data shares'!$C:$FA,94)</f>
        <v>20332000</v>
      </c>
      <c r="L143" s="86">
        <f>VLOOKUP($A143,'Data shares'!$C:$FA,96)</f>
        <v>825500</v>
      </c>
      <c r="M143" s="87">
        <f>VLOOKUP($A143,'Data shares'!$C:$FA,97)</f>
        <v>4.2299999999999997E-2</v>
      </c>
      <c r="N143" s="86">
        <f>VLOOKUP($A143,'Data shares'!$C:$FA,78)</f>
        <v>94107000</v>
      </c>
      <c r="O143" s="87">
        <f>VLOOKUP($A143,'Data shares'!$C:$FA,81)</f>
        <v>1.4E-3</v>
      </c>
    </row>
    <row r="144" spans="1:15" x14ac:dyDescent="0.25">
      <c r="A144" s="100" t="str">
        <f>'OI(Value)'!A144</f>
        <v>NESTLEIND</v>
      </c>
      <c r="B144" s="82">
        <f>VLOOKUP(A144,'Data shares'!$C$2:$CV$215,98,0)</f>
        <v>19266000</v>
      </c>
      <c r="C144" s="82">
        <f>VLOOKUP(A144,'Data shares'!$C$2:$CX$215,100,0)</f>
        <v>222000</v>
      </c>
      <c r="D144" s="141">
        <f>VLOOKUP(A144,'Data shares'!$C$2:$CY$538,101,0)</f>
        <v>1.17E-2</v>
      </c>
      <c r="E144" s="86">
        <f>VLOOKUP($A144,'Data shares'!$C:$FA,74)</f>
        <v>16380000</v>
      </c>
      <c r="F144" s="86">
        <f>VLOOKUP($A144,'Data shares'!$C:$FA,76)</f>
        <v>-157500</v>
      </c>
      <c r="G144" s="87">
        <f>VLOOKUP(A144,'Data shares'!$C$2:$CA$215,77,0)</f>
        <v>-9.4999999999999998E-3</v>
      </c>
      <c r="H144" s="86">
        <f>VLOOKUP($A144,'Data shares'!$C:$FA,90)</f>
        <v>1884500</v>
      </c>
      <c r="I144" s="86">
        <f>VLOOKUP($A144,'Data shares'!$C:$FA,92)</f>
        <v>289500</v>
      </c>
      <c r="J144" s="87">
        <f>VLOOKUP($A144,'Data shares'!$C:$FA,93)</f>
        <v>0.18149999999999999</v>
      </c>
      <c r="K144" s="86">
        <f>VLOOKUP($A144,'Data shares'!$C:$FA,94)</f>
        <v>1001500</v>
      </c>
      <c r="L144" s="86">
        <f>VLOOKUP($A144,'Data shares'!$C:$FA,96)</f>
        <v>90000</v>
      </c>
      <c r="M144" s="87">
        <f>VLOOKUP($A144,'Data shares'!$C:$FA,97)</f>
        <v>9.8699999999999996E-2</v>
      </c>
      <c r="N144" s="86">
        <f>VLOOKUP($A144,'Data shares'!$C:$FA,78)</f>
        <v>16217500</v>
      </c>
      <c r="O144" s="87">
        <f>VLOOKUP($A144,'Data shares'!$C:$FA,81)</f>
        <v>-1.0200000000000001E-2</v>
      </c>
    </row>
    <row r="145" spans="1:15" x14ac:dyDescent="0.25">
      <c r="A145" s="100" t="str">
        <f>'OI(Value)'!A145</f>
        <v>NHPC</v>
      </c>
      <c r="B145" s="82">
        <f>VLOOKUP(A145,'Data shares'!$C$2:$CV$215,98,0)</f>
        <v>109888000</v>
      </c>
      <c r="C145" s="82">
        <f>VLOOKUP(A145,'Data shares'!$C$2:$CX$215,100,0)</f>
        <v>2764800</v>
      </c>
      <c r="D145" s="141">
        <f>VLOOKUP(A145,'Data shares'!$C$2:$CY$538,101,0)</f>
        <v>2.58E-2</v>
      </c>
      <c r="E145" s="86">
        <f>VLOOKUP($A145,'Data shares'!$C:$FA,74)</f>
        <v>71968000</v>
      </c>
      <c r="F145" s="86">
        <f>VLOOKUP($A145,'Data shares'!$C:$FA,76)</f>
        <v>697600</v>
      </c>
      <c r="G145" s="87">
        <f>VLOOKUP(A145,'Data shares'!$C$2:$CA$215,77,0)</f>
        <v>9.7999999999999997E-3</v>
      </c>
      <c r="H145" s="86">
        <f>VLOOKUP($A145,'Data shares'!$C:$FA,90)</f>
        <v>25561600</v>
      </c>
      <c r="I145" s="86">
        <f>VLOOKUP($A145,'Data shares'!$C:$FA,92)</f>
        <v>320000</v>
      </c>
      <c r="J145" s="87">
        <f>VLOOKUP($A145,'Data shares'!$C:$FA,93)</f>
        <v>1.2699999999999999E-2</v>
      </c>
      <c r="K145" s="86">
        <f>VLOOKUP($A145,'Data shares'!$C:$FA,94)</f>
        <v>12358400</v>
      </c>
      <c r="L145" s="86">
        <f>VLOOKUP($A145,'Data shares'!$C:$FA,96)</f>
        <v>1747200</v>
      </c>
      <c r="M145" s="87">
        <f>VLOOKUP($A145,'Data shares'!$C:$FA,97)</f>
        <v>0.16470000000000001</v>
      </c>
      <c r="N145" s="86">
        <f>VLOOKUP($A145,'Data shares'!$C:$FA,78)</f>
        <v>67270400</v>
      </c>
      <c r="O145" s="87">
        <f>VLOOKUP($A145,'Data shares'!$C:$FA,81)</f>
        <v>8.0999999999999996E-3</v>
      </c>
    </row>
    <row r="146" spans="1:15" x14ac:dyDescent="0.25">
      <c r="A146" s="100" t="str">
        <f>'OI(Value)'!A146</f>
        <v>NIFTY</v>
      </c>
      <c r="B146" s="82">
        <f>VLOOKUP(A146,'Data shares'!$C$2:$CV$215,98,0)</f>
        <v>464511125</v>
      </c>
      <c r="C146" s="82">
        <f>VLOOKUP(A146,'Data shares'!$C$2:$CX$215,100,0)</f>
        <v>72853870</v>
      </c>
      <c r="D146" s="141">
        <f>VLOOKUP(A146,'Data shares'!$C$2:$CY$538,101,0)</f>
        <v>0.186</v>
      </c>
      <c r="E146" s="86">
        <f>VLOOKUP($A146,'Data shares'!$C:$FA,74)</f>
        <v>15379715</v>
      </c>
      <c r="F146" s="86">
        <f>VLOOKUP($A146,'Data shares'!$C:$FA,76)</f>
        <v>19110</v>
      </c>
      <c r="G146" s="87">
        <f>VLOOKUP(A146,'Data shares'!$C$2:$CA$215,77,0)</f>
        <v>1.1999999999999999E-3</v>
      </c>
      <c r="H146" s="86">
        <f>VLOOKUP($A146,'Data shares'!$C:$FA,90)</f>
        <v>210725375</v>
      </c>
      <c r="I146" s="86">
        <f>VLOOKUP($A146,'Data shares'!$C:$FA,92)</f>
        <v>44683765</v>
      </c>
      <c r="J146" s="87">
        <f>VLOOKUP($A146,'Data shares'!$C:$FA,93)</f>
        <v>0.26910000000000001</v>
      </c>
      <c r="K146" s="86">
        <f>VLOOKUP($A146,'Data shares'!$C:$FA,94)</f>
        <v>238406035</v>
      </c>
      <c r="L146" s="86">
        <f>VLOOKUP($A146,'Data shares'!$C:$FA,96)</f>
        <v>28150995</v>
      </c>
      <c r="M146" s="87">
        <f>VLOOKUP($A146,'Data shares'!$C:$FA,97)</f>
        <v>0.13389999999999999</v>
      </c>
      <c r="N146" s="86">
        <f>VLOOKUP($A146,'Data shares'!$C:$FA,78)</f>
        <v>14003665</v>
      </c>
      <c r="O146" s="87">
        <f>VLOOKUP($A146,'Data shares'!$C:$FA,81)</f>
        <v>-1.6000000000000001E-3</v>
      </c>
    </row>
    <row r="147" spans="1:15" x14ac:dyDescent="0.25">
      <c r="A147" s="100" t="str">
        <f>'OI(Value)'!A147</f>
        <v>NIFTYNXT50</v>
      </c>
      <c r="B147" s="82">
        <f>VLOOKUP(A147,'Data shares'!$C$2:$CV$215,98,0)</f>
        <v>25575</v>
      </c>
      <c r="C147" s="82">
        <f>VLOOKUP(A147,'Data shares'!$C$2:$CX$215,100,0)</f>
        <v>675</v>
      </c>
      <c r="D147" s="141">
        <f>VLOOKUP(A147,'Data shares'!$C$2:$CY$538,101,0)</f>
        <v>2.7099999999999999E-2</v>
      </c>
      <c r="E147" s="86">
        <f>VLOOKUP($A147,'Data shares'!$C:$FA,74)</f>
        <v>22500</v>
      </c>
      <c r="F147" s="86">
        <f>VLOOKUP($A147,'Data shares'!$C:$FA,76)</f>
        <v>-400</v>
      </c>
      <c r="G147" s="87">
        <f>VLOOKUP(A147,'Data shares'!$C$2:$CA$215,77,0)</f>
        <v>-1.7500000000000002E-2</v>
      </c>
      <c r="H147" s="86">
        <f>VLOOKUP($A147,'Data shares'!$C:$FA,90)</f>
        <v>2000</v>
      </c>
      <c r="I147" s="86">
        <f>VLOOKUP($A147,'Data shares'!$C:$FA,92)</f>
        <v>875</v>
      </c>
      <c r="J147" s="87">
        <f>VLOOKUP($A147,'Data shares'!$C:$FA,93)</f>
        <v>0.77780000000000005</v>
      </c>
      <c r="K147" s="86">
        <f>VLOOKUP($A147,'Data shares'!$C:$FA,94)</f>
        <v>1075</v>
      </c>
      <c r="L147" s="86">
        <f>VLOOKUP($A147,'Data shares'!$C:$FA,96)</f>
        <v>200</v>
      </c>
      <c r="M147" s="87">
        <f>VLOOKUP($A147,'Data shares'!$C:$FA,97)</f>
        <v>0.2286</v>
      </c>
      <c r="N147" s="86">
        <f>VLOOKUP($A147,'Data shares'!$C:$FA,78)</f>
        <v>22000</v>
      </c>
      <c r="O147" s="87">
        <f>VLOOKUP($A147,'Data shares'!$C:$FA,81)</f>
        <v>-2.1100000000000001E-2</v>
      </c>
    </row>
    <row r="148" spans="1:15" x14ac:dyDescent="0.25">
      <c r="A148" s="100" t="str">
        <f>'OI(Value)'!A148</f>
        <v>NMDC</v>
      </c>
      <c r="B148" s="82">
        <f>VLOOKUP(A148,'Data shares'!$C$2:$CV$215,98,0)</f>
        <v>513074250</v>
      </c>
      <c r="C148" s="82">
        <f>VLOOKUP(A148,'Data shares'!$C$2:$CX$215,100,0)</f>
        <v>8005500</v>
      </c>
      <c r="D148" s="141">
        <f>VLOOKUP(A148,'Data shares'!$C$2:$CY$538,101,0)</f>
        <v>1.5900000000000001E-2</v>
      </c>
      <c r="E148" s="86">
        <f>VLOOKUP($A148,'Data shares'!$C:$FA,74)</f>
        <v>343440000</v>
      </c>
      <c r="F148" s="86">
        <f>VLOOKUP($A148,'Data shares'!$C:$FA,76)</f>
        <v>3435750</v>
      </c>
      <c r="G148" s="87">
        <f>VLOOKUP(A148,'Data shares'!$C$2:$CA$215,77,0)</f>
        <v>1.01E-2</v>
      </c>
      <c r="H148" s="86">
        <f>VLOOKUP($A148,'Data shares'!$C:$FA,90)</f>
        <v>119988000</v>
      </c>
      <c r="I148" s="86">
        <f>VLOOKUP($A148,'Data shares'!$C:$FA,92)</f>
        <v>1620000</v>
      </c>
      <c r="J148" s="87">
        <f>VLOOKUP($A148,'Data shares'!$C:$FA,93)</f>
        <v>1.37E-2</v>
      </c>
      <c r="K148" s="86">
        <f>VLOOKUP($A148,'Data shares'!$C:$FA,94)</f>
        <v>49646250</v>
      </c>
      <c r="L148" s="86">
        <f>VLOOKUP($A148,'Data shares'!$C:$FA,96)</f>
        <v>2949750</v>
      </c>
      <c r="M148" s="87">
        <f>VLOOKUP($A148,'Data shares'!$C:$FA,97)</f>
        <v>6.3200000000000006E-2</v>
      </c>
      <c r="N148" s="86">
        <f>VLOOKUP($A148,'Data shares'!$C:$FA,78)</f>
        <v>334611000</v>
      </c>
      <c r="O148" s="87">
        <f>VLOOKUP($A148,'Data shares'!$C:$FA,81)</f>
        <v>8.3999999999999995E-3</v>
      </c>
    </row>
    <row r="149" spans="1:15" x14ac:dyDescent="0.25">
      <c r="A149" s="100" t="str">
        <f>'OI(Value)'!A149</f>
        <v>NTPC</v>
      </c>
      <c r="B149" s="82">
        <f>VLOOKUP(A149,'Data shares'!$C$2:$CV$215,98,0)</f>
        <v>128950500</v>
      </c>
      <c r="C149" s="82">
        <f>VLOOKUP(A149,'Data shares'!$C$2:$CX$215,100,0)</f>
        <v>6552000</v>
      </c>
      <c r="D149" s="141">
        <f>VLOOKUP(A149,'Data shares'!$C$2:$CY$538,101,0)</f>
        <v>5.3499999999999999E-2</v>
      </c>
      <c r="E149" s="86">
        <f>VLOOKUP($A149,'Data shares'!$C:$FA,74)</f>
        <v>87615000</v>
      </c>
      <c r="F149" s="86">
        <f>VLOOKUP($A149,'Data shares'!$C:$FA,76)</f>
        <v>3000</v>
      </c>
      <c r="G149" s="87">
        <f>VLOOKUP(A149,'Data shares'!$C$2:$CA$215,77,0)</f>
        <v>0</v>
      </c>
      <c r="H149" s="86">
        <f>VLOOKUP($A149,'Data shares'!$C:$FA,90)</f>
        <v>22195500</v>
      </c>
      <c r="I149" s="86">
        <f>VLOOKUP($A149,'Data shares'!$C:$FA,92)</f>
        <v>3370500</v>
      </c>
      <c r="J149" s="87">
        <f>VLOOKUP($A149,'Data shares'!$C:$FA,93)</f>
        <v>0.17899999999999999</v>
      </c>
      <c r="K149" s="86">
        <f>VLOOKUP($A149,'Data shares'!$C:$FA,94)</f>
        <v>19140000</v>
      </c>
      <c r="L149" s="86">
        <f>VLOOKUP($A149,'Data shares'!$C:$FA,96)</f>
        <v>3178500</v>
      </c>
      <c r="M149" s="87">
        <f>VLOOKUP($A149,'Data shares'!$C:$FA,97)</f>
        <v>0.1991</v>
      </c>
      <c r="N149" s="86">
        <f>VLOOKUP($A149,'Data shares'!$C:$FA,78)</f>
        <v>80503500</v>
      </c>
      <c r="O149" s="87">
        <f>VLOOKUP($A149,'Data shares'!$C:$FA,81)</f>
        <v>-1.37E-2</v>
      </c>
    </row>
    <row r="150" spans="1:15" x14ac:dyDescent="0.25">
      <c r="A150" s="100" t="str">
        <f>'OI(Value)'!A150</f>
        <v>NUVAMA</v>
      </c>
      <c r="B150" s="82">
        <f>VLOOKUP(A150,'Data shares'!$C$2:$CV$215,98,0)</f>
        <v>4170500</v>
      </c>
      <c r="C150" s="82">
        <f>VLOOKUP(A150,'Data shares'!$C$2:$CX$215,100,0)</f>
        <v>109000</v>
      </c>
      <c r="D150" s="141">
        <f>VLOOKUP(A150,'Data shares'!$C$2:$CY$538,101,0)</f>
        <v>2.6800000000000001E-2</v>
      </c>
      <c r="E150" s="86">
        <f>VLOOKUP($A150,'Data shares'!$C:$FA,74)</f>
        <v>2353000</v>
      </c>
      <c r="F150" s="86">
        <f>VLOOKUP($A150,'Data shares'!$C:$FA,76)</f>
        <v>-26000</v>
      </c>
      <c r="G150" s="87">
        <f>VLOOKUP(A150,'Data shares'!$C$2:$CA$215,77,0)</f>
        <v>-1.09E-2</v>
      </c>
      <c r="H150" s="86">
        <f>VLOOKUP($A150,'Data shares'!$C:$FA,90)</f>
        <v>1201000</v>
      </c>
      <c r="I150" s="86">
        <f>VLOOKUP($A150,'Data shares'!$C:$FA,92)</f>
        <v>116500</v>
      </c>
      <c r="J150" s="87">
        <f>VLOOKUP($A150,'Data shares'!$C:$FA,93)</f>
        <v>0.1074</v>
      </c>
      <c r="K150" s="86">
        <f>VLOOKUP($A150,'Data shares'!$C:$FA,94)</f>
        <v>616500</v>
      </c>
      <c r="L150" s="86">
        <f>VLOOKUP($A150,'Data shares'!$C:$FA,96)</f>
        <v>18500</v>
      </c>
      <c r="M150" s="87">
        <f>VLOOKUP($A150,'Data shares'!$C:$FA,97)</f>
        <v>3.09E-2</v>
      </c>
      <c r="N150" s="86">
        <f>VLOOKUP($A150,'Data shares'!$C:$FA,78)</f>
        <v>2323000</v>
      </c>
      <c r="O150" s="87">
        <f>VLOOKUP($A150,'Data shares'!$C:$FA,81)</f>
        <v>-1.1900000000000001E-2</v>
      </c>
    </row>
    <row r="151" spans="1:15" x14ac:dyDescent="0.25">
      <c r="A151" s="100" t="str">
        <f>'OI(Value)'!A151</f>
        <v>NYKAA</v>
      </c>
      <c r="B151" s="82">
        <f>VLOOKUP(A151,'Data shares'!$C$2:$CV$215,98,0)</f>
        <v>60509375</v>
      </c>
      <c r="C151" s="82">
        <f>VLOOKUP(A151,'Data shares'!$C$2:$CX$215,100,0)</f>
        <v>-675000</v>
      </c>
      <c r="D151" s="141">
        <f>VLOOKUP(A151,'Data shares'!$C$2:$CY$538,101,0)</f>
        <v>-1.0999999999999999E-2</v>
      </c>
      <c r="E151" s="86">
        <f>VLOOKUP($A151,'Data shares'!$C:$FA,74)</f>
        <v>47206250</v>
      </c>
      <c r="F151" s="86">
        <f>VLOOKUP($A151,'Data shares'!$C:$FA,76)</f>
        <v>115625</v>
      </c>
      <c r="G151" s="87">
        <f>VLOOKUP(A151,'Data shares'!$C$2:$CA$215,77,0)</f>
        <v>2.5000000000000001E-3</v>
      </c>
      <c r="H151" s="86">
        <f>VLOOKUP($A151,'Data shares'!$C:$FA,90)</f>
        <v>8037500</v>
      </c>
      <c r="I151" s="86">
        <f>VLOOKUP($A151,'Data shares'!$C:$FA,92)</f>
        <v>-759375</v>
      </c>
      <c r="J151" s="87">
        <f>VLOOKUP($A151,'Data shares'!$C:$FA,93)</f>
        <v>-8.6300000000000002E-2</v>
      </c>
      <c r="K151" s="86">
        <f>VLOOKUP($A151,'Data shares'!$C:$FA,94)</f>
        <v>5265625</v>
      </c>
      <c r="L151" s="86">
        <f>VLOOKUP($A151,'Data shares'!$C:$FA,96)</f>
        <v>-31250</v>
      </c>
      <c r="M151" s="87">
        <f>VLOOKUP($A151,'Data shares'!$C:$FA,97)</f>
        <v>-5.8999999999999999E-3</v>
      </c>
      <c r="N151" s="86">
        <f>VLOOKUP($A151,'Data shares'!$C:$FA,78)</f>
        <v>46334375</v>
      </c>
      <c r="O151" s="87">
        <f>VLOOKUP($A151,'Data shares'!$C:$FA,81)</f>
        <v>1.2999999999999999E-3</v>
      </c>
    </row>
    <row r="152" spans="1:15" x14ac:dyDescent="0.25">
      <c r="A152" s="100" t="str">
        <f>'OI(Value)'!A152</f>
        <v>OBEROIRLTY</v>
      </c>
      <c r="B152" s="82">
        <f>VLOOKUP(A152,'Data shares'!$C$2:$CV$215,98,0)</f>
        <v>5242300</v>
      </c>
      <c r="C152" s="82">
        <f>VLOOKUP(A152,'Data shares'!$C$2:$CX$215,100,0)</f>
        <v>105350</v>
      </c>
      <c r="D152" s="141">
        <f>VLOOKUP(A152,'Data shares'!$C$2:$CY$538,101,0)</f>
        <v>2.0500000000000001E-2</v>
      </c>
      <c r="E152" s="86">
        <f>VLOOKUP($A152,'Data shares'!$C:$FA,74)</f>
        <v>4047750</v>
      </c>
      <c r="F152" s="86">
        <f>VLOOKUP($A152,'Data shares'!$C:$FA,76)</f>
        <v>-25900</v>
      </c>
      <c r="G152" s="87">
        <f>VLOOKUP(A152,'Data shares'!$C$2:$CA$215,77,0)</f>
        <v>-6.4000000000000003E-3</v>
      </c>
      <c r="H152" s="86">
        <f>VLOOKUP($A152,'Data shares'!$C:$FA,90)</f>
        <v>620900</v>
      </c>
      <c r="I152" s="86">
        <f>VLOOKUP($A152,'Data shares'!$C:$FA,92)</f>
        <v>98000</v>
      </c>
      <c r="J152" s="87">
        <f>VLOOKUP($A152,'Data shares'!$C:$FA,93)</f>
        <v>0.18740000000000001</v>
      </c>
      <c r="K152" s="86">
        <f>VLOOKUP($A152,'Data shares'!$C:$FA,94)</f>
        <v>573650</v>
      </c>
      <c r="L152" s="86">
        <f>VLOOKUP($A152,'Data shares'!$C:$FA,96)</f>
        <v>33250</v>
      </c>
      <c r="M152" s="87">
        <f>VLOOKUP($A152,'Data shares'!$C:$FA,97)</f>
        <v>6.1499999999999999E-2</v>
      </c>
      <c r="N152" s="86">
        <f>VLOOKUP($A152,'Data shares'!$C:$FA,78)</f>
        <v>3995250</v>
      </c>
      <c r="O152" s="87">
        <f>VLOOKUP($A152,'Data shares'!$C:$FA,81)</f>
        <v>-8.3000000000000001E-3</v>
      </c>
    </row>
    <row r="153" spans="1:15" x14ac:dyDescent="0.25">
      <c r="A153" s="100" t="str">
        <f>'OI(Value)'!A153</f>
        <v>OFSS</v>
      </c>
      <c r="B153" s="82">
        <f>VLOOKUP(A153,'Data shares'!$C$2:$CV$215,98,0)</f>
        <v>1927950</v>
      </c>
      <c r="C153" s="82">
        <f>VLOOKUP(A153,'Data shares'!$C$2:$CX$215,100,0)</f>
        <v>60450</v>
      </c>
      <c r="D153" s="141">
        <f>VLOOKUP(A153,'Data shares'!$C$2:$CY$538,101,0)</f>
        <v>3.2399999999999998E-2</v>
      </c>
      <c r="E153" s="86">
        <f>VLOOKUP($A153,'Data shares'!$C:$FA,74)</f>
        <v>1348575</v>
      </c>
      <c r="F153" s="86">
        <f>VLOOKUP($A153,'Data shares'!$C:$FA,76)</f>
        <v>7425</v>
      </c>
      <c r="G153" s="87">
        <f>VLOOKUP(A153,'Data shares'!$C$2:$CA$215,77,0)</f>
        <v>5.4999999999999997E-3</v>
      </c>
      <c r="H153" s="86">
        <f>VLOOKUP($A153,'Data shares'!$C:$FA,90)</f>
        <v>312375</v>
      </c>
      <c r="I153" s="86">
        <f>VLOOKUP($A153,'Data shares'!$C:$FA,92)</f>
        <v>38025</v>
      </c>
      <c r="J153" s="87">
        <f>VLOOKUP($A153,'Data shares'!$C:$FA,93)</f>
        <v>0.1386</v>
      </c>
      <c r="K153" s="86">
        <f>VLOOKUP($A153,'Data shares'!$C:$FA,94)</f>
        <v>267000</v>
      </c>
      <c r="L153" s="86">
        <f>VLOOKUP($A153,'Data shares'!$C:$FA,96)</f>
        <v>15000</v>
      </c>
      <c r="M153" s="87">
        <f>VLOOKUP($A153,'Data shares'!$C:$FA,97)</f>
        <v>5.9499999999999997E-2</v>
      </c>
      <c r="N153" s="86">
        <f>VLOOKUP($A153,'Data shares'!$C:$FA,78)</f>
        <v>1317675</v>
      </c>
      <c r="O153" s="87">
        <f>VLOOKUP($A153,'Data shares'!$C:$FA,81)</f>
        <v>4.4999999999999997E-3</v>
      </c>
    </row>
    <row r="154" spans="1:15" x14ac:dyDescent="0.25">
      <c r="A154" s="100" t="str">
        <f>'OI(Value)'!A154</f>
        <v>OIL</v>
      </c>
      <c r="B154" s="82">
        <f>VLOOKUP(A154,'Data shares'!$C$2:$CV$215,98,0)</f>
        <v>18043200</v>
      </c>
      <c r="C154" s="82">
        <f>VLOOKUP(A154,'Data shares'!$C$2:$CX$215,100,0)</f>
        <v>313600</v>
      </c>
      <c r="D154" s="141">
        <f>VLOOKUP(A154,'Data shares'!$C$2:$CY$538,101,0)</f>
        <v>1.77E-2</v>
      </c>
      <c r="E154" s="86">
        <f>VLOOKUP($A154,'Data shares'!$C:$FA,74)</f>
        <v>11838400</v>
      </c>
      <c r="F154" s="86">
        <f>VLOOKUP($A154,'Data shares'!$C:$FA,76)</f>
        <v>30800</v>
      </c>
      <c r="G154" s="87">
        <f>VLOOKUP(A154,'Data shares'!$C$2:$CA$215,77,0)</f>
        <v>2.5999999999999999E-3</v>
      </c>
      <c r="H154" s="86">
        <f>VLOOKUP($A154,'Data shares'!$C:$FA,90)</f>
        <v>4055800</v>
      </c>
      <c r="I154" s="86">
        <f>VLOOKUP($A154,'Data shares'!$C:$FA,92)</f>
        <v>166600</v>
      </c>
      <c r="J154" s="87">
        <f>VLOOKUP($A154,'Data shares'!$C:$FA,93)</f>
        <v>4.2799999999999998E-2</v>
      </c>
      <c r="K154" s="86">
        <f>VLOOKUP($A154,'Data shares'!$C:$FA,94)</f>
        <v>2149000</v>
      </c>
      <c r="L154" s="86">
        <f>VLOOKUP($A154,'Data shares'!$C:$FA,96)</f>
        <v>116200</v>
      </c>
      <c r="M154" s="87">
        <f>VLOOKUP($A154,'Data shares'!$C:$FA,97)</f>
        <v>5.7200000000000001E-2</v>
      </c>
      <c r="N154" s="86">
        <f>VLOOKUP($A154,'Data shares'!$C:$FA,78)</f>
        <v>11466000</v>
      </c>
      <c r="O154" s="87">
        <f>VLOOKUP($A154,'Data shares'!$C:$FA,81)</f>
        <v>2.8999999999999998E-3</v>
      </c>
    </row>
    <row r="155" spans="1:15" x14ac:dyDescent="0.25">
      <c r="A155" s="100" t="str">
        <f>'OI(Value)'!A155</f>
        <v>ONGC</v>
      </c>
      <c r="B155" s="82">
        <f>VLOOKUP(A155,'Data shares'!$C$2:$CV$215,98,0)</f>
        <v>169161750</v>
      </c>
      <c r="C155" s="82">
        <f>VLOOKUP(A155,'Data shares'!$C$2:$CX$215,100,0)</f>
        <v>14361750</v>
      </c>
      <c r="D155" s="141">
        <f>VLOOKUP(A155,'Data shares'!$C$2:$CY$538,101,0)</f>
        <v>9.2799999999999994E-2</v>
      </c>
      <c r="E155" s="86">
        <f>VLOOKUP($A155,'Data shares'!$C:$FA,74)</f>
        <v>115958250</v>
      </c>
      <c r="F155" s="86">
        <f>VLOOKUP($A155,'Data shares'!$C:$FA,76)</f>
        <v>2009250</v>
      </c>
      <c r="G155" s="87">
        <f>VLOOKUP(A155,'Data shares'!$C$2:$CA$215,77,0)</f>
        <v>1.7600000000000001E-2</v>
      </c>
      <c r="H155" s="86">
        <f>VLOOKUP($A155,'Data shares'!$C:$FA,90)</f>
        <v>34200000</v>
      </c>
      <c r="I155" s="86">
        <f>VLOOKUP($A155,'Data shares'!$C:$FA,92)</f>
        <v>11421000</v>
      </c>
      <c r="J155" s="87">
        <f>VLOOKUP($A155,'Data shares'!$C:$FA,93)</f>
        <v>0.50139999999999996</v>
      </c>
      <c r="K155" s="86">
        <f>VLOOKUP($A155,'Data shares'!$C:$FA,94)</f>
        <v>19003500</v>
      </c>
      <c r="L155" s="86">
        <f>VLOOKUP($A155,'Data shares'!$C:$FA,96)</f>
        <v>931500</v>
      </c>
      <c r="M155" s="87">
        <f>VLOOKUP($A155,'Data shares'!$C:$FA,97)</f>
        <v>5.1499999999999997E-2</v>
      </c>
      <c r="N155" s="86">
        <f>VLOOKUP($A155,'Data shares'!$C:$FA,78)</f>
        <v>113672250</v>
      </c>
      <c r="O155" s="87">
        <f>VLOOKUP($A155,'Data shares'!$C:$FA,81)</f>
        <v>1.6899999999999998E-2</v>
      </c>
    </row>
    <row r="156" spans="1:15" x14ac:dyDescent="0.25">
      <c r="A156" s="100" t="str">
        <f>'OI(Value)'!A156</f>
        <v>PAGEIND</v>
      </c>
      <c r="B156" s="82">
        <f>VLOOKUP(A156,'Data shares'!$C$2:$CV$215,98,0)</f>
        <v>310560</v>
      </c>
      <c r="C156" s="82">
        <f>VLOOKUP(A156,'Data shares'!$C$2:$CX$215,100,0)</f>
        <v>14565</v>
      </c>
      <c r="D156" s="141">
        <f>VLOOKUP(A156,'Data shares'!$C$2:$CY$538,101,0)</f>
        <v>4.9200000000000001E-2</v>
      </c>
      <c r="E156" s="86">
        <f>VLOOKUP($A156,'Data shares'!$C:$FA,74)</f>
        <v>241125</v>
      </c>
      <c r="F156" s="86">
        <f>VLOOKUP($A156,'Data shares'!$C:$FA,76)</f>
        <v>2085</v>
      </c>
      <c r="G156" s="87">
        <f>VLOOKUP(A156,'Data shares'!$C$2:$CA$215,77,0)</f>
        <v>8.6999999999999994E-3</v>
      </c>
      <c r="H156" s="86">
        <f>VLOOKUP($A156,'Data shares'!$C:$FA,90)</f>
        <v>43095</v>
      </c>
      <c r="I156" s="86">
        <f>VLOOKUP($A156,'Data shares'!$C:$FA,92)</f>
        <v>11190</v>
      </c>
      <c r="J156" s="87">
        <f>VLOOKUP($A156,'Data shares'!$C:$FA,93)</f>
        <v>0.35070000000000001</v>
      </c>
      <c r="K156" s="86">
        <f>VLOOKUP($A156,'Data shares'!$C:$FA,94)</f>
        <v>26340</v>
      </c>
      <c r="L156" s="86">
        <f>VLOOKUP($A156,'Data shares'!$C:$FA,96)</f>
        <v>1290</v>
      </c>
      <c r="M156" s="87">
        <f>VLOOKUP($A156,'Data shares'!$C:$FA,97)</f>
        <v>5.1499999999999997E-2</v>
      </c>
      <c r="N156" s="86">
        <f>VLOOKUP($A156,'Data shares'!$C:$FA,78)</f>
        <v>231810</v>
      </c>
      <c r="O156" s="87">
        <f>VLOOKUP($A156,'Data shares'!$C:$FA,81)</f>
        <v>5.8999999999999999E-3</v>
      </c>
    </row>
    <row r="157" spans="1:15" x14ac:dyDescent="0.25">
      <c r="A157" s="100" t="str">
        <f>'OI(Value)'!A157</f>
        <v>PATANJALI</v>
      </c>
      <c r="B157" s="82">
        <f>VLOOKUP(A157,'Data shares'!$C$2:$CV$215,98,0)</f>
        <v>42829200</v>
      </c>
      <c r="C157" s="82">
        <f>VLOOKUP(A157,'Data shares'!$C$2:$CX$215,100,0)</f>
        <v>62100</v>
      </c>
      <c r="D157" s="141">
        <f>VLOOKUP(A157,'Data shares'!$C$2:$CY$538,101,0)</f>
        <v>1.5E-3</v>
      </c>
      <c r="E157" s="86">
        <f>VLOOKUP($A157,'Data shares'!$C:$FA,74)</f>
        <v>38465100</v>
      </c>
      <c r="F157" s="86">
        <f>VLOOKUP($A157,'Data shares'!$C:$FA,76)</f>
        <v>73800</v>
      </c>
      <c r="G157" s="87">
        <f>VLOOKUP(A157,'Data shares'!$C$2:$CA$215,77,0)</f>
        <v>1.9E-3</v>
      </c>
      <c r="H157" s="86">
        <f>VLOOKUP($A157,'Data shares'!$C:$FA,90)</f>
        <v>2516400</v>
      </c>
      <c r="I157" s="86">
        <f>VLOOKUP($A157,'Data shares'!$C:$FA,92)</f>
        <v>-27000</v>
      </c>
      <c r="J157" s="87">
        <f>VLOOKUP($A157,'Data shares'!$C:$FA,93)</f>
        <v>-1.06E-2</v>
      </c>
      <c r="K157" s="86">
        <f>VLOOKUP($A157,'Data shares'!$C:$FA,94)</f>
        <v>1847700</v>
      </c>
      <c r="L157" s="86">
        <f>VLOOKUP($A157,'Data shares'!$C:$FA,96)</f>
        <v>15300</v>
      </c>
      <c r="M157" s="87">
        <f>VLOOKUP($A157,'Data shares'!$C:$FA,97)</f>
        <v>8.3000000000000001E-3</v>
      </c>
      <c r="N157" s="86">
        <f>VLOOKUP($A157,'Data shares'!$C:$FA,78)</f>
        <v>38265300</v>
      </c>
      <c r="O157" s="87">
        <f>VLOOKUP($A157,'Data shares'!$C:$FA,81)</f>
        <v>1.6000000000000001E-3</v>
      </c>
    </row>
    <row r="158" spans="1:15" x14ac:dyDescent="0.25">
      <c r="A158" s="100" t="str">
        <f>'OI(Value)'!A158</f>
        <v>PAYTM</v>
      </c>
      <c r="B158" s="82">
        <f>VLOOKUP(A158,'Data shares'!$C$2:$CV$215,98,0)</f>
        <v>22979600</v>
      </c>
      <c r="C158" s="82">
        <f>VLOOKUP(A158,'Data shares'!$C$2:$CX$215,100,0)</f>
        <v>703250</v>
      </c>
      <c r="D158" s="141">
        <f>VLOOKUP(A158,'Data shares'!$C$2:$CY$538,101,0)</f>
        <v>3.1600000000000003E-2</v>
      </c>
      <c r="E158" s="86">
        <f>VLOOKUP($A158,'Data shares'!$C:$FA,74)</f>
        <v>17332575</v>
      </c>
      <c r="F158" s="86">
        <f>VLOOKUP($A158,'Data shares'!$C:$FA,76)</f>
        <v>142825</v>
      </c>
      <c r="G158" s="87">
        <f>VLOOKUP(A158,'Data shares'!$C$2:$CA$215,77,0)</f>
        <v>8.3000000000000001E-3</v>
      </c>
      <c r="H158" s="86">
        <f>VLOOKUP($A158,'Data shares'!$C:$FA,90)</f>
        <v>3275550</v>
      </c>
      <c r="I158" s="86">
        <f>VLOOKUP($A158,'Data shares'!$C:$FA,92)</f>
        <v>258100</v>
      </c>
      <c r="J158" s="87">
        <f>VLOOKUP($A158,'Data shares'!$C:$FA,93)</f>
        <v>8.5500000000000007E-2</v>
      </c>
      <c r="K158" s="86">
        <f>VLOOKUP($A158,'Data shares'!$C:$FA,94)</f>
        <v>2371475</v>
      </c>
      <c r="L158" s="86">
        <f>VLOOKUP($A158,'Data shares'!$C:$FA,96)</f>
        <v>302325</v>
      </c>
      <c r="M158" s="87">
        <f>VLOOKUP($A158,'Data shares'!$C:$FA,97)</f>
        <v>0.14610000000000001</v>
      </c>
      <c r="N158" s="86">
        <f>VLOOKUP($A158,'Data shares'!$C:$FA,78)</f>
        <v>17118700</v>
      </c>
      <c r="O158" s="87">
        <f>VLOOKUP($A158,'Data shares'!$C:$FA,81)</f>
        <v>7.7999999999999996E-3</v>
      </c>
    </row>
    <row r="159" spans="1:15" x14ac:dyDescent="0.25">
      <c r="A159" s="100" t="str">
        <f>'OI(Value)'!A159</f>
        <v>PERSISTENT</v>
      </c>
      <c r="B159" s="82">
        <f>VLOOKUP(A159,'Data shares'!$C$2:$CV$215,98,0)</f>
        <v>3078900</v>
      </c>
      <c r="C159" s="82">
        <f>VLOOKUP(A159,'Data shares'!$C$2:$CX$215,100,0)</f>
        <v>81500</v>
      </c>
      <c r="D159" s="141">
        <f>VLOOKUP(A159,'Data shares'!$C$2:$CY$538,101,0)</f>
        <v>2.7199999999999998E-2</v>
      </c>
      <c r="E159" s="86">
        <f>VLOOKUP($A159,'Data shares'!$C:$FA,74)</f>
        <v>2292400</v>
      </c>
      <c r="F159" s="86">
        <f>VLOOKUP($A159,'Data shares'!$C:$FA,76)</f>
        <v>-10900</v>
      </c>
      <c r="G159" s="87">
        <f>VLOOKUP(A159,'Data shares'!$C$2:$CA$215,77,0)</f>
        <v>-4.7000000000000002E-3</v>
      </c>
      <c r="H159" s="86">
        <f>VLOOKUP($A159,'Data shares'!$C:$FA,90)</f>
        <v>457200</v>
      </c>
      <c r="I159" s="86">
        <f>VLOOKUP($A159,'Data shares'!$C:$FA,92)</f>
        <v>49500</v>
      </c>
      <c r="J159" s="87">
        <f>VLOOKUP($A159,'Data shares'!$C:$FA,93)</f>
        <v>0.12139999999999999</v>
      </c>
      <c r="K159" s="86">
        <f>VLOOKUP($A159,'Data shares'!$C:$FA,94)</f>
        <v>329300</v>
      </c>
      <c r="L159" s="86">
        <f>VLOOKUP($A159,'Data shares'!$C:$FA,96)</f>
        <v>42900</v>
      </c>
      <c r="M159" s="87">
        <f>VLOOKUP($A159,'Data shares'!$C:$FA,97)</f>
        <v>0.14979999999999999</v>
      </c>
      <c r="N159" s="86">
        <f>VLOOKUP($A159,'Data shares'!$C:$FA,78)</f>
        <v>2155800</v>
      </c>
      <c r="O159" s="87">
        <f>VLOOKUP($A159,'Data shares'!$C:$FA,81)</f>
        <v>-5.4999999999999997E-3</v>
      </c>
    </row>
    <row r="160" spans="1:15" x14ac:dyDescent="0.25">
      <c r="A160" s="100" t="str">
        <f>'OI(Value)'!A160</f>
        <v>PETRONET</v>
      </c>
      <c r="B160" s="82">
        <f>VLOOKUP(A160,'Data shares'!$C$2:$CV$215,98,0)</f>
        <v>74544600</v>
      </c>
      <c r="C160" s="82">
        <f>VLOOKUP(A160,'Data shares'!$C$2:$CX$215,100,0)</f>
        <v>121600</v>
      </c>
      <c r="D160" s="141">
        <f>VLOOKUP(A160,'Data shares'!$C$2:$CY$538,101,0)</f>
        <v>1.6000000000000001E-3</v>
      </c>
      <c r="E160" s="86">
        <f>VLOOKUP($A160,'Data shares'!$C:$FA,74)</f>
        <v>45043300</v>
      </c>
      <c r="F160" s="86">
        <f>VLOOKUP($A160,'Data shares'!$C:$FA,76)</f>
        <v>216600</v>
      </c>
      <c r="G160" s="87">
        <f>VLOOKUP(A160,'Data shares'!$C$2:$CA$215,77,0)</f>
        <v>4.7999999999999996E-3</v>
      </c>
      <c r="H160" s="86">
        <f>VLOOKUP($A160,'Data shares'!$C:$FA,90)</f>
        <v>11360100</v>
      </c>
      <c r="I160" s="86">
        <f>VLOOKUP($A160,'Data shares'!$C:$FA,92)</f>
        <v>-600400</v>
      </c>
      <c r="J160" s="87">
        <f>VLOOKUP($A160,'Data shares'!$C:$FA,93)</f>
        <v>-5.0200000000000002E-2</v>
      </c>
      <c r="K160" s="86">
        <f>VLOOKUP($A160,'Data shares'!$C:$FA,94)</f>
        <v>18141200</v>
      </c>
      <c r="L160" s="86">
        <f>VLOOKUP($A160,'Data shares'!$C:$FA,96)</f>
        <v>505400</v>
      </c>
      <c r="M160" s="87">
        <f>VLOOKUP($A160,'Data shares'!$C:$FA,97)</f>
        <v>2.87E-2</v>
      </c>
      <c r="N160" s="86">
        <f>VLOOKUP($A160,'Data shares'!$C:$FA,78)</f>
        <v>43297200</v>
      </c>
      <c r="O160" s="87">
        <f>VLOOKUP($A160,'Data shares'!$C:$FA,81)</f>
        <v>5.1999999999999998E-3</v>
      </c>
    </row>
    <row r="161" spans="1:15" x14ac:dyDescent="0.25">
      <c r="A161" s="100" t="str">
        <f>'OI(Value)'!A161</f>
        <v>PFC</v>
      </c>
      <c r="B161" s="82">
        <f>VLOOKUP(A161,'Data shares'!$C$2:$CV$215,98,0)</f>
        <v>129953200</v>
      </c>
      <c r="C161" s="82">
        <f>VLOOKUP(A161,'Data shares'!$C$2:$CX$215,100,0)</f>
        <v>5301400</v>
      </c>
      <c r="D161" s="141">
        <f>VLOOKUP(A161,'Data shares'!$C$2:$CY$538,101,0)</f>
        <v>4.2500000000000003E-2</v>
      </c>
      <c r="E161" s="86">
        <f>VLOOKUP($A161,'Data shares'!$C:$FA,74)</f>
        <v>79613300</v>
      </c>
      <c r="F161" s="86">
        <f>VLOOKUP($A161,'Data shares'!$C:$FA,76)</f>
        <v>-230100</v>
      </c>
      <c r="G161" s="87">
        <f>VLOOKUP(A161,'Data shares'!$C$2:$CA$215,77,0)</f>
        <v>-2.8999999999999998E-3</v>
      </c>
      <c r="H161" s="86">
        <f>VLOOKUP($A161,'Data shares'!$C:$FA,90)</f>
        <v>28169700</v>
      </c>
      <c r="I161" s="86">
        <f>VLOOKUP($A161,'Data shares'!$C:$FA,92)</f>
        <v>3822000</v>
      </c>
      <c r="J161" s="87">
        <f>VLOOKUP($A161,'Data shares'!$C:$FA,93)</f>
        <v>0.157</v>
      </c>
      <c r="K161" s="86">
        <f>VLOOKUP($A161,'Data shares'!$C:$FA,94)</f>
        <v>22170200</v>
      </c>
      <c r="L161" s="86">
        <f>VLOOKUP($A161,'Data shares'!$C:$FA,96)</f>
        <v>1709500</v>
      </c>
      <c r="M161" s="87">
        <f>VLOOKUP($A161,'Data shares'!$C:$FA,97)</f>
        <v>8.3599999999999994E-2</v>
      </c>
      <c r="N161" s="86">
        <f>VLOOKUP($A161,'Data shares'!$C:$FA,78)</f>
        <v>75622300</v>
      </c>
      <c r="O161" s="87">
        <f>VLOOKUP($A161,'Data shares'!$C:$FA,81)</f>
        <v>-3.0000000000000001E-3</v>
      </c>
    </row>
    <row r="162" spans="1:15" x14ac:dyDescent="0.25">
      <c r="A162" s="100" t="str">
        <f>'OI(Value)'!A162</f>
        <v>PGEL</v>
      </c>
      <c r="B162" s="82">
        <f>VLOOKUP(A162,'Data shares'!$C$2:$CV$215,98,0)</f>
        <v>15695900</v>
      </c>
      <c r="C162" s="82">
        <f>VLOOKUP(A162,'Data shares'!$C$2:$CX$215,100,0)</f>
        <v>152000</v>
      </c>
      <c r="D162" s="141">
        <f>VLOOKUP(A162,'Data shares'!$C$2:$CY$538,101,0)</f>
        <v>9.7999999999999997E-3</v>
      </c>
      <c r="E162" s="86">
        <f>VLOOKUP($A162,'Data shares'!$C:$FA,74)</f>
        <v>10391100</v>
      </c>
      <c r="F162" s="86">
        <f>VLOOKUP($A162,'Data shares'!$C:$FA,76)</f>
        <v>-114950</v>
      </c>
      <c r="G162" s="87">
        <f>VLOOKUP(A162,'Data shares'!$C$2:$CA$215,77,0)</f>
        <v>-1.09E-2</v>
      </c>
      <c r="H162" s="86">
        <f>VLOOKUP($A162,'Data shares'!$C:$FA,90)</f>
        <v>2713200</v>
      </c>
      <c r="I162" s="86">
        <f>VLOOKUP($A162,'Data shares'!$C:$FA,92)</f>
        <v>125400</v>
      </c>
      <c r="J162" s="87">
        <f>VLOOKUP($A162,'Data shares'!$C:$FA,93)</f>
        <v>4.8500000000000001E-2</v>
      </c>
      <c r="K162" s="86">
        <f>VLOOKUP($A162,'Data shares'!$C:$FA,94)</f>
        <v>2591600</v>
      </c>
      <c r="L162" s="86">
        <f>VLOOKUP($A162,'Data shares'!$C:$FA,96)</f>
        <v>141550</v>
      </c>
      <c r="M162" s="87">
        <f>VLOOKUP($A162,'Data shares'!$C:$FA,97)</f>
        <v>5.7799999999999997E-2</v>
      </c>
      <c r="N162" s="86">
        <f>VLOOKUP($A162,'Data shares'!$C:$FA,78)</f>
        <v>10095650</v>
      </c>
      <c r="O162" s="87">
        <f>VLOOKUP($A162,'Data shares'!$C:$FA,81)</f>
        <v>-1.15E-2</v>
      </c>
    </row>
    <row r="163" spans="1:15" x14ac:dyDescent="0.25">
      <c r="A163" s="100" t="str">
        <f>'OI(Value)'!A163</f>
        <v>PHOENIXLTD</v>
      </c>
      <c r="B163" s="82">
        <f>VLOOKUP(A163,'Data shares'!$C$2:$CV$215,98,0)</f>
        <v>3669400</v>
      </c>
      <c r="C163" s="82">
        <f>VLOOKUP(A163,'Data shares'!$C$2:$CX$215,100,0)</f>
        <v>30800</v>
      </c>
      <c r="D163" s="141">
        <f>VLOOKUP(A163,'Data shares'!$C$2:$CY$538,101,0)</f>
        <v>8.5000000000000006E-3</v>
      </c>
      <c r="E163" s="86">
        <f>VLOOKUP($A163,'Data shares'!$C:$FA,74)</f>
        <v>3032750</v>
      </c>
      <c r="F163" s="86">
        <f>VLOOKUP($A163,'Data shares'!$C:$FA,76)</f>
        <v>-82250</v>
      </c>
      <c r="G163" s="87">
        <f>VLOOKUP(A163,'Data shares'!$C$2:$CA$215,77,0)</f>
        <v>-2.64E-2</v>
      </c>
      <c r="H163" s="86">
        <f>VLOOKUP($A163,'Data shares'!$C:$FA,90)</f>
        <v>417200</v>
      </c>
      <c r="I163" s="86">
        <f>VLOOKUP($A163,'Data shares'!$C:$FA,92)</f>
        <v>124250</v>
      </c>
      <c r="J163" s="87">
        <f>VLOOKUP($A163,'Data shares'!$C:$FA,93)</f>
        <v>0.42409999999999998</v>
      </c>
      <c r="K163" s="86">
        <f>VLOOKUP($A163,'Data shares'!$C:$FA,94)</f>
        <v>219450</v>
      </c>
      <c r="L163" s="86">
        <f>VLOOKUP($A163,'Data shares'!$C:$FA,96)</f>
        <v>-11200</v>
      </c>
      <c r="M163" s="87">
        <f>VLOOKUP($A163,'Data shares'!$C:$FA,97)</f>
        <v>-4.8599999999999997E-2</v>
      </c>
      <c r="N163" s="86">
        <f>VLOOKUP($A163,'Data shares'!$C:$FA,78)</f>
        <v>3015600</v>
      </c>
      <c r="O163" s="87">
        <f>VLOOKUP($A163,'Data shares'!$C:$FA,81)</f>
        <v>-2.7E-2</v>
      </c>
    </row>
    <row r="164" spans="1:15" x14ac:dyDescent="0.25">
      <c r="A164" s="100" t="str">
        <f>'OI(Value)'!A164</f>
        <v>PIDILITIND</v>
      </c>
      <c r="B164" s="82">
        <f>VLOOKUP(A164,'Data shares'!$C$2:$CV$215,98,0)</f>
        <v>9043500</v>
      </c>
      <c r="C164" s="82">
        <f>VLOOKUP(A164,'Data shares'!$C$2:$CX$215,100,0)</f>
        <v>175500</v>
      </c>
      <c r="D164" s="141">
        <f>VLOOKUP(A164,'Data shares'!$C$2:$CY$538,101,0)</f>
        <v>1.9800000000000002E-2</v>
      </c>
      <c r="E164" s="86">
        <f>VLOOKUP($A164,'Data shares'!$C:$FA,74)</f>
        <v>7609000</v>
      </c>
      <c r="F164" s="86">
        <f>VLOOKUP($A164,'Data shares'!$C:$FA,76)</f>
        <v>93000</v>
      </c>
      <c r="G164" s="87">
        <f>VLOOKUP(A164,'Data shares'!$C$2:$CA$215,77,0)</f>
        <v>1.24E-2</v>
      </c>
      <c r="H164" s="86">
        <f>VLOOKUP($A164,'Data shares'!$C:$FA,90)</f>
        <v>759500</v>
      </c>
      <c r="I164" s="86">
        <f>VLOOKUP($A164,'Data shares'!$C:$FA,92)</f>
        <v>32000</v>
      </c>
      <c r="J164" s="87">
        <f>VLOOKUP($A164,'Data shares'!$C:$FA,93)</f>
        <v>4.3999999999999997E-2</v>
      </c>
      <c r="K164" s="86">
        <f>VLOOKUP($A164,'Data shares'!$C:$FA,94)</f>
        <v>675000</v>
      </c>
      <c r="L164" s="86">
        <f>VLOOKUP($A164,'Data shares'!$C:$FA,96)</f>
        <v>50500</v>
      </c>
      <c r="M164" s="87">
        <f>VLOOKUP($A164,'Data shares'!$C:$FA,97)</f>
        <v>8.09E-2</v>
      </c>
      <c r="N164" s="86">
        <f>VLOOKUP($A164,'Data shares'!$C:$FA,78)</f>
        <v>7529500</v>
      </c>
      <c r="O164" s="87">
        <f>VLOOKUP($A164,'Data shares'!$C:$FA,81)</f>
        <v>1.21E-2</v>
      </c>
    </row>
    <row r="165" spans="1:15" x14ac:dyDescent="0.25">
      <c r="A165" s="100" t="str">
        <f>'OI(Value)'!A165</f>
        <v>PIIND</v>
      </c>
      <c r="B165" s="82">
        <f>VLOOKUP(A165,'Data shares'!$C$2:$CV$215,98,0)</f>
        <v>2852325</v>
      </c>
      <c r="C165" s="82">
        <f>VLOOKUP(A165,'Data shares'!$C$2:$CX$215,100,0)</f>
        <v>80850</v>
      </c>
      <c r="D165" s="141">
        <f>VLOOKUP(A165,'Data shares'!$C$2:$CY$538,101,0)</f>
        <v>2.92E-2</v>
      </c>
      <c r="E165" s="86">
        <f>VLOOKUP($A165,'Data shares'!$C:$FA,74)</f>
        <v>2245775</v>
      </c>
      <c r="F165" s="86">
        <f>VLOOKUP($A165,'Data shares'!$C:$FA,76)</f>
        <v>19950</v>
      </c>
      <c r="G165" s="87">
        <f>VLOOKUP(A165,'Data shares'!$C$2:$CA$215,77,0)</f>
        <v>8.9999999999999993E-3</v>
      </c>
      <c r="H165" s="86">
        <f>VLOOKUP($A165,'Data shares'!$C:$FA,90)</f>
        <v>324625</v>
      </c>
      <c r="I165" s="86">
        <f>VLOOKUP($A165,'Data shares'!$C:$FA,92)</f>
        <v>44100</v>
      </c>
      <c r="J165" s="87">
        <f>VLOOKUP($A165,'Data shares'!$C:$FA,93)</f>
        <v>0.15720000000000001</v>
      </c>
      <c r="K165" s="86">
        <f>VLOOKUP($A165,'Data shares'!$C:$FA,94)</f>
        <v>281925</v>
      </c>
      <c r="L165" s="86">
        <f>VLOOKUP($A165,'Data shares'!$C:$FA,96)</f>
        <v>16800</v>
      </c>
      <c r="M165" s="87">
        <f>VLOOKUP($A165,'Data shares'!$C:$FA,97)</f>
        <v>6.3399999999999998E-2</v>
      </c>
      <c r="N165" s="86">
        <f>VLOOKUP($A165,'Data shares'!$C:$FA,78)</f>
        <v>2177000</v>
      </c>
      <c r="O165" s="87">
        <f>VLOOKUP($A165,'Data shares'!$C:$FA,81)</f>
        <v>3.0999999999999999E-3</v>
      </c>
    </row>
    <row r="166" spans="1:15" x14ac:dyDescent="0.25">
      <c r="A166" s="100" t="str">
        <f>'OI(Value)'!A166</f>
        <v>PNB</v>
      </c>
      <c r="B166" s="82">
        <f>VLOOKUP(A166,'Data shares'!$C$2:$CV$215,98,0)</f>
        <v>354280000</v>
      </c>
      <c r="C166" s="82">
        <f>VLOOKUP(A166,'Data shares'!$C$2:$CX$215,100,0)</f>
        <v>10520000</v>
      </c>
      <c r="D166" s="141">
        <f>VLOOKUP(A166,'Data shares'!$C$2:$CY$538,101,0)</f>
        <v>3.0599999999999999E-2</v>
      </c>
      <c r="E166" s="86">
        <f>VLOOKUP($A166,'Data shares'!$C:$FA,74)</f>
        <v>241392000</v>
      </c>
      <c r="F166" s="86">
        <f>VLOOKUP($A166,'Data shares'!$C:$FA,76)</f>
        <v>2088000</v>
      </c>
      <c r="G166" s="87">
        <f>VLOOKUP(A166,'Data shares'!$C$2:$CA$215,77,0)</f>
        <v>8.6999999999999994E-3</v>
      </c>
      <c r="H166" s="86">
        <f>VLOOKUP($A166,'Data shares'!$C:$FA,90)</f>
        <v>55912000</v>
      </c>
      <c r="I166" s="86">
        <f>VLOOKUP($A166,'Data shares'!$C:$FA,92)</f>
        <v>4312000</v>
      </c>
      <c r="J166" s="87">
        <f>VLOOKUP($A166,'Data shares'!$C:$FA,93)</f>
        <v>8.3599999999999994E-2</v>
      </c>
      <c r="K166" s="86">
        <f>VLOOKUP($A166,'Data shares'!$C:$FA,94)</f>
        <v>56976000</v>
      </c>
      <c r="L166" s="86">
        <f>VLOOKUP($A166,'Data shares'!$C:$FA,96)</f>
        <v>4120000</v>
      </c>
      <c r="M166" s="87">
        <f>VLOOKUP($A166,'Data shares'!$C:$FA,97)</f>
        <v>7.7899999999999997E-2</v>
      </c>
      <c r="N166" s="86">
        <f>VLOOKUP($A166,'Data shares'!$C:$FA,78)</f>
        <v>234680000</v>
      </c>
      <c r="O166" s="87">
        <f>VLOOKUP($A166,'Data shares'!$C:$FA,81)</f>
        <v>8.5000000000000006E-3</v>
      </c>
    </row>
    <row r="167" spans="1:15" x14ac:dyDescent="0.25">
      <c r="A167" s="100" t="str">
        <f>'OI(Value)'!A167</f>
        <v>PNBHOUSING</v>
      </c>
      <c r="B167" s="82">
        <f>VLOOKUP(A167,'Data shares'!$C$2:$CV$215,98,0)</f>
        <v>20230600</v>
      </c>
      <c r="C167" s="82">
        <f>VLOOKUP(A167,'Data shares'!$C$2:$CX$215,100,0)</f>
        <v>976950</v>
      </c>
      <c r="D167" s="141">
        <f>VLOOKUP(A167,'Data shares'!$C$2:$CY$538,101,0)</f>
        <v>5.0700000000000002E-2</v>
      </c>
      <c r="E167" s="86">
        <f>VLOOKUP($A167,'Data shares'!$C:$FA,74)</f>
        <v>15512250</v>
      </c>
      <c r="F167" s="86">
        <f>VLOOKUP($A167,'Data shares'!$C:$FA,76)</f>
        <v>-182650</v>
      </c>
      <c r="G167" s="87">
        <f>VLOOKUP(A167,'Data shares'!$C$2:$CA$215,77,0)</f>
        <v>-1.1599999999999999E-2</v>
      </c>
      <c r="H167" s="86">
        <f>VLOOKUP($A167,'Data shares'!$C:$FA,90)</f>
        <v>2873000</v>
      </c>
      <c r="I167" s="86">
        <f>VLOOKUP($A167,'Data shares'!$C:$FA,92)</f>
        <v>656500</v>
      </c>
      <c r="J167" s="87">
        <f>VLOOKUP($A167,'Data shares'!$C:$FA,93)</f>
        <v>0.29620000000000002</v>
      </c>
      <c r="K167" s="86">
        <f>VLOOKUP($A167,'Data shares'!$C:$FA,94)</f>
        <v>1845350</v>
      </c>
      <c r="L167" s="86">
        <f>VLOOKUP($A167,'Data shares'!$C:$FA,96)</f>
        <v>503100</v>
      </c>
      <c r="M167" s="87">
        <f>VLOOKUP($A167,'Data shares'!$C:$FA,97)</f>
        <v>0.37480000000000002</v>
      </c>
      <c r="N167" s="86">
        <f>VLOOKUP($A167,'Data shares'!$C:$FA,78)</f>
        <v>15397850</v>
      </c>
      <c r="O167" s="87">
        <f>VLOOKUP($A167,'Data shares'!$C:$FA,81)</f>
        <v>-1.2500000000000001E-2</v>
      </c>
    </row>
    <row r="168" spans="1:15" x14ac:dyDescent="0.25">
      <c r="A168" s="100" t="str">
        <f>'OI(Value)'!A168</f>
        <v>POLICYBZR</v>
      </c>
      <c r="B168" s="82">
        <f>VLOOKUP(A168,'Data shares'!$C$2:$CV$215,98,0)</f>
        <v>7985950</v>
      </c>
      <c r="C168" s="82">
        <f>VLOOKUP(A168,'Data shares'!$C$2:$CX$215,100,0)</f>
        <v>411950</v>
      </c>
      <c r="D168" s="141">
        <f>VLOOKUP(A168,'Data shares'!$C$2:$CY$538,101,0)</f>
        <v>5.4399999999999997E-2</v>
      </c>
      <c r="E168" s="86">
        <f>VLOOKUP($A168,'Data shares'!$C:$FA,74)</f>
        <v>6063050</v>
      </c>
      <c r="F168" s="86">
        <f>VLOOKUP($A168,'Data shares'!$C:$FA,76)</f>
        <v>46200</v>
      </c>
      <c r="G168" s="87">
        <f>VLOOKUP(A168,'Data shares'!$C$2:$CA$215,77,0)</f>
        <v>7.7000000000000002E-3</v>
      </c>
      <c r="H168" s="86">
        <f>VLOOKUP($A168,'Data shares'!$C:$FA,90)</f>
        <v>1069950</v>
      </c>
      <c r="I168" s="86">
        <f>VLOOKUP($A168,'Data shares'!$C:$FA,92)</f>
        <v>186550</v>
      </c>
      <c r="J168" s="87">
        <f>VLOOKUP($A168,'Data shares'!$C:$FA,93)</f>
        <v>0.2112</v>
      </c>
      <c r="K168" s="86">
        <f>VLOOKUP($A168,'Data shares'!$C:$FA,94)</f>
        <v>852950</v>
      </c>
      <c r="L168" s="86">
        <f>VLOOKUP($A168,'Data shares'!$C:$FA,96)</f>
        <v>179200</v>
      </c>
      <c r="M168" s="87">
        <f>VLOOKUP($A168,'Data shares'!$C:$FA,97)</f>
        <v>0.26600000000000001</v>
      </c>
      <c r="N168" s="86">
        <f>VLOOKUP($A168,'Data shares'!$C:$FA,78)</f>
        <v>6028050</v>
      </c>
      <c r="O168" s="87">
        <f>VLOOKUP($A168,'Data shares'!$C:$FA,81)</f>
        <v>7.4000000000000003E-3</v>
      </c>
    </row>
    <row r="169" spans="1:15" x14ac:dyDescent="0.25">
      <c r="A169" s="100" t="str">
        <f>'OI(Value)'!A169</f>
        <v>POLYCAB</v>
      </c>
      <c r="B169" s="82">
        <f>VLOOKUP(A169,'Data shares'!$C$2:$CV$215,98,0)</f>
        <v>3243875</v>
      </c>
      <c r="C169" s="82">
        <f>VLOOKUP(A169,'Data shares'!$C$2:$CX$215,100,0)</f>
        <v>83125</v>
      </c>
      <c r="D169" s="141">
        <f>VLOOKUP(A169,'Data shares'!$C$2:$CY$538,101,0)</f>
        <v>2.63E-2</v>
      </c>
      <c r="E169" s="86">
        <f>VLOOKUP($A169,'Data shares'!$C:$FA,74)</f>
        <v>2643125</v>
      </c>
      <c r="F169" s="86">
        <f>VLOOKUP($A169,'Data shares'!$C:$FA,76)</f>
        <v>34375</v>
      </c>
      <c r="G169" s="87">
        <f>VLOOKUP(A169,'Data shares'!$C$2:$CA$215,77,0)</f>
        <v>1.32E-2</v>
      </c>
      <c r="H169" s="86">
        <f>VLOOKUP($A169,'Data shares'!$C:$FA,90)</f>
        <v>346625</v>
      </c>
      <c r="I169" s="86">
        <f>VLOOKUP($A169,'Data shares'!$C:$FA,92)</f>
        <v>25250</v>
      </c>
      <c r="J169" s="87">
        <f>VLOOKUP($A169,'Data shares'!$C:$FA,93)</f>
        <v>7.8600000000000003E-2</v>
      </c>
      <c r="K169" s="86">
        <f>VLOOKUP($A169,'Data shares'!$C:$FA,94)</f>
        <v>254125</v>
      </c>
      <c r="L169" s="86">
        <f>VLOOKUP($A169,'Data shares'!$C:$FA,96)</f>
        <v>23500</v>
      </c>
      <c r="M169" s="87">
        <f>VLOOKUP($A169,'Data shares'!$C:$FA,97)</f>
        <v>0.1019</v>
      </c>
      <c r="N169" s="86">
        <f>VLOOKUP($A169,'Data shares'!$C:$FA,78)</f>
        <v>2612750</v>
      </c>
      <c r="O169" s="87">
        <f>VLOOKUP($A169,'Data shares'!$C:$FA,81)</f>
        <v>1.24E-2</v>
      </c>
    </row>
    <row r="170" spans="1:15" x14ac:dyDescent="0.25">
      <c r="A170" s="100" t="str">
        <f>'OI(Value)'!A170</f>
        <v>POWERGRID</v>
      </c>
      <c r="B170" s="82">
        <f>VLOOKUP(A170,'Data shares'!$C$2:$CV$215,98,0)</f>
        <v>128719300</v>
      </c>
      <c r="C170" s="82">
        <f>VLOOKUP(A170,'Data shares'!$C$2:$CX$215,100,0)</f>
        <v>3858900</v>
      </c>
      <c r="D170" s="141">
        <f>VLOOKUP(A170,'Data shares'!$C$2:$CY$538,101,0)</f>
        <v>3.09E-2</v>
      </c>
      <c r="E170" s="86">
        <f>VLOOKUP($A170,'Data shares'!$C:$FA,74)</f>
        <v>91792800</v>
      </c>
      <c r="F170" s="86">
        <f>VLOOKUP($A170,'Data shares'!$C:$FA,76)</f>
        <v>-119700</v>
      </c>
      <c r="G170" s="87">
        <f>VLOOKUP(A170,'Data shares'!$C$2:$CA$215,77,0)</f>
        <v>-1.2999999999999999E-3</v>
      </c>
      <c r="H170" s="86">
        <f>VLOOKUP($A170,'Data shares'!$C:$FA,90)</f>
        <v>20607400</v>
      </c>
      <c r="I170" s="86">
        <f>VLOOKUP($A170,'Data shares'!$C:$FA,92)</f>
        <v>3117900</v>
      </c>
      <c r="J170" s="87">
        <f>VLOOKUP($A170,'Data shares'!$C:$FA,93)</f>
        <v>0.17829999999999999</v>
      </c>
      <c r="K170" s="86">
        <f>VLOOKUP($A170,'Data shares'!$C:$FA,94)</f>
        <v>16319100</v>
      </c>
      <c r="L170" s="86">
        <f>VLOOKUP($A170,'Data shares'!$C:$FA,96)</f>
        <v>860700</v>
      </c>
      <c r="M170" s="87">
        <f>VLOOKUP($A170,'Data shares'!$C:$FA,97)</f>
        <v>5.57E-2</v>
      </c>
      <c r="N170" s="86">
        <f>VLOOKUP($A170,'Data shares'!$C:$FA,78)</f>
        <v>83658900</v>
      </c>
      <c r="O170" s="87">
        <f>VLOOKUP($A170,'Data shares'!$C:$FA,81)</f>
        <v>-2.0999999999999999E-3</v>
      </c>
    </row>
    <row r="171" spans="1:15" x14ac:dyDescent="0.25">
      <c r="A171" s="100" t="str">
        <f>'OI(Value)'!A171</f>
        <v>POWERINDIA</v>
      </c>
      <c r="B171" s="82">
        <f>VLOOKUP(A171,'Data shares'!$C$2:$CV$215,98,0)</f>
        <v>342300</v>
      </c>
      <c r="C171" s="82">
        <f>VLOOKUP(A171,'Data shares'!$C$2:$CX$215,100,0)</f>
        <v>700</v>
      </c>
      <c r="D171" s="141">
        <f>VLOOKUP(A171,'Data shares'!$C$2:$CY$538,101,0)</f>
        <v>2E-3</v>
      </c>
      <c r="E171" s="86">
        <f>VLOOKUP($A171,'Data shares'!$C:$FA,74)</f>
        <v>242750</v>
      </c>
      <c r="F171" s="86">
        <f>VLOOKUP($A171,'Data shares'!$C:$FA,76)</f>
        <v>3100</v>
      </c>
      <c r="G171" s="87">
        <f>VLOOKUP(A171,'Data shares'!$C$2:$CA$215,77,0)</f>
        <v>1.29E-2</v>
      </c>
      <c r="H171" s="86">
        <f>VLOOKUP($A171,'Data shares'!$C:$FA,90)</f>
        <v>66400</v>
      </c>
      <c r="I171" s="86">
        <f>VLOOKUP($A171,'Data shares'!$C:$FA,92)</f>
        <v>-4500</v>
      </c>
      <c r="J171" s="87">
        <f>VLOOKUP($A171,'Data shares'!$C:$FA,93)</f>
        <v>-6.3500000000000001E-2</v>
      </c>
      <c r="K171" s="86">
        <f>VLOOKUP($A171,'Data shares'!$C:$FA,94)</f>
        <v>33150</v>
      </c>
      <c r="L171" s="86">
        <f>VLOOKUP($A171,'Data shares'!$C:$FA,96)</f>
        <v>2100</v>
      </c>
      <c r="M171" s="87">
        <f>VLOOKUP($A171,'Data shares'!$C:$FA,97)</f>
        <v>6.7599999999999993E-2</v>
      </c>
      <c r="N171" s="86">
        <f>VLOOKUP($A171,'Data shares'!$C:$FA,78)</f>
        <v>237800</v>
      </c>
      <c r="O171" s="87">
        <f>VLOOKUP($A171,'Data shares'!$C:$FA,81)</f>
        <v>1.15E-2</v>
      </c>
    </row>
    <row r="172" spans="1:15" x14ac:dyDescent="0.25">
      <c r="A172" s="100" t="str">
        <f>'OI(Value)'!A172</f>
        <v>PPLPHARMA</v>
      </c>
      <c r="B172" s="82">
        <f>VLOOKUP(A172,'Data shares'!$C$2:$CV$215,98,0)</f>
        <v>34361250</v>
      </c>
      <c r="C172" s="82">
        <f>VLOOKUP(A172,'Data shares'!$C$2:$CX$215,100,0)</f>
        <v>947625</v>
      </c>
      <c r="D172" s="141">
        <f>VLOOKUP(A172,'Data shares'!$C$2:$CY$538,101,0)</f>
        <v>2.8400000000000002E-2</v>
      </c>
      <c r="E172" s="86">
        <f>VLOOKUP($A172,'Data shares'!$C:$FA,74)</f>
        <v>25772250</v>
      </c>
      <c r="F172" s="86">
        <f>VLOOKUP($A172,'Data shares'!$C:$FA,76)</f>
        <v>265125</v>
      </c>
      <c r="G172" s="87">
        <f>VLOOKUP(A172,'Data shares'!$C$2:$CA$215,77,0)</f>
        <v>1.04E-2</v>
      </c>
      <c r="H172" s="86">
        <f>VLOOKUP($A172,'Data shares'!$C:$FA,90)</f>
        <v>5011125</v>
      </c>
      <c r="I172" s="86">
        <f>VLOOKUP($A172,'Data shares'!$C:$FA,92)</f>
        <v>370125</v>
      </c>
      <c r="J172" s="87">
        <f>VLOOKUP($A172,'Data shares'!$C:$FA,93)</f>
        <v>7.9799999999999996E-2</v>
      </c>
      <c r="K172" s="86">
        <f>VLOOKUP($A172,'Data shares'!$C:$FA,94)</f>
        <v>3577875</v>
      </c>
      <c r="L172" s="86">
        <f>VLOOKUP($A172,'Data shares'!$C:$FA,96)</f>
        <v>312375</v>
      </c>
      <c r="M172" s="87">
        <f>VLOOKUP($A172,'Data shares'!$C:$FA,97)</f>
        <v>9.5699999999999993E-2</v>
      </c>
      <c r="N172" s="86">
        <f>VLOOKUP($A172,'Data shares'!$C:$FA,78)</f>
        <v>24701250</v>
      </c>
      <c r="O172" s="87">
        <f>VLOOKUP($A172,'Data shares'!$C:$FA,81)</f>
        <v>7.7000000000000002E-3</v>
      </c>
    </row>
    <row r="173" spans="1:15" x14ac:dyDescent="0.25">
      <c r="A173" s="100" t="str">
        <f>'OI(Value)'!A173</f>
        <v>PREMIERENE</v>
      </c>
      <c r="B173" s="82">
        <f>VLOOKUP(A173,'Data shares'!$C$2:$CV$215,98,0)</f>
        <v>1539275</v>
      </c>
      <c r="C173" s="82">
        <f>VLOOKUP(A173,'Data shares'!$C$2:$CX$215,100,0)</f>
        <v>213325</v>
      </c>
      <c r="D173" s="141">
        <f>VLOOKUP(A173,'Data shares'!$C$2:$CY$538,101,0)</f>
        <v>0.16089999999999999</v>
      </c>
      <c r="E173" s="86">
        <f>VLOOKUP($A173,'Data shares'!$C:$FA,74)</f>
        <v>719325</v>
      </c>
      <c r="F173" s="86">
        <f>VLOOKUP($A173,'Data shares'!$C:$FA,76)</f>
        <v>84525</v>
      </c>
      <c r="G173" s="87">
        <f>VLOOKUP(A173,'Data shares'!$C$2:$CA$215,77,0)</f>
        <v>0.13320000000000001</v>
      </c>
      <c r="H173" s="86">
        <f>VLOOKUP($A173,'Data shares'!$C:$FA,90)</f>
        <v>523250</v>
      </c>
      <c r="I173" s="86">
        <f>VLOOKUP($A173,'Data shares'!$C:$FA,92)</f>
        <v>62675</v>
      </c>
      <c r="J173" s="87">
        <f>VLOOKUP($A173,'Data shares'!$C:$FA,93)</f>
        <v>0.1361</v>
      </c>
      <c r="K173" s="86">
        <f>VLOOKUP($A173,'Data shares'!$C:$FA,94)</f>
        <v>296700</v>
      </c>
      <c r="L173" s="86">
        <f>VLOOKUP($A173,'Data shares'!$C:$FA,96)</f>
        <v>66125</v>
      </c>
      <c r="M173" s="87">
        <f>VLOOKUP($A173,'Data shares'!$C:$FA,97)</f>
        <v>0.2868</v>
      </c>
      <c r="N173" s="86">
        <f>VLOOKUP($A173,'Data shares'!$C:$FA,78)</f>
        <v>642275</v>
      </c>
      <c r="O173" s="87">
        <f>VLOOKUP($A173,'Data shares'!$C:$FA,81)</f>
        <v>8.5500000000000007E-2</v>
      </c>
    </row>
    <row r="174" spans="1:15" x14ac:dyDescent="0.25">
      <c r="A174" s="100" t="str">
        <f>'OI(Value)'!A174</f>
        <v>PRESTIGE</v>
      </c>
      <c r="B174" s="82">
        <f>VLOOKUP(A174,'Data shares'!$C$2:$CV$215,98,0)</f>
        <v>5076900</v>
      </c>
      <c r="C174" s="82">
        <f>VLOOKUP(A174,'Data shares'!$C$2:$CX$215,100,0)</f>
        <v>114300</v>
      </c>
      <c r="D174" s="141">
        <f>VLOOKUP(A174,'Data shares'!$C$2:$CY$538,101,0)</f>
        <v>2.3E-2</v>
      </c>
      <c r="E174" s="86">
        <f>VLOOKUP($A174,'Data shares'!$C:$FA,74)</f>
        <v>3825900</v>
      </c>
      <c r="F174" s="86">
        <f>VLOOKUP($A174,'Data shares'!$C:$FA,76)</f>
        <v>49950</v>
      </c>
      <c r="G174" s="87">
        <f>VLOOKUP(A174,'Data shares'!$C$2:$CA$215,77,0)</f>
        <v>1.32E-2</v>
      </c>
      <c r="H174" s="86">
        <f>VLOOKUP($A174,'Data shares'!$C:$FA,90)</f>
        <v>597150</v>
      </c>
      <c r="I174" s="86">
        <f>VLOOKUP($A174,'Data shares'!$C:$FA,92)</f>
        <v>22500</v>
      </c>
      <c r="J174" s="87">
        <f>VLOOKUP($A174,'Data shares'!$C:$FA,93)</f>
        <v>3.9199999999999999E-2</v>
      </c>
      <c r="K174" s="86">
        <f>VLOOKUP($A174,'Data shares'!$C:$FA,94)</f>
        <v>653850</v>
      </c>
      <c r="L174" s="86">
        <f>VLOOKUP($A174,'Data shares'!$C:$FA,96)</f>
        <v>41850</v>
      </c>
      <c r="M174" s="87">
        <f>VLOOKUP($A174,'Data shares'!$C:$FA,97)</f>
        <v>6.8400000000000002E-2</v>
      </c>
      <c r="N174" s="86">
        <f>VLOOKUP($A174,'Data shares'!$C:$FA,78)</f>
        <v>3796200</v>
      </c>
      <c r="O174" s="87">
        <f>VLOOKUP($A174,'Data shares'!$C:$FA,81)</f>
        <v>1.2699999999999999E-2</v>
      </c>
    </row>
    <row r="175" spans="1:15" x14ac:dyDescent="0.25">
      <c r="A175" s="100" t="str">
        <f>'OI(Value)'!A175</f>
        <v>RBLBANK</v>
      </c>
      <c r="B175" s="82">
        <f>VLOOKUP(A175,'Data shares'!$C$2:$CV$215,98,0)</f>
        <v>96297750</v>
      </c>
      <c r="C175" s="82">
        <f>VLOOKUP(A175,'Data shares'!$C$2:$CX$215,100,0)</f>
        <v>1289050</v>
      </c>
      <c r="D175" s="141">
        <f>VLOOKUP(A175,'Data shares'!$C$2:$CY$538,101,0)</f>
        <v>1.3599999999999999E-2</v>
      </c>
      <c r="E175" s="86">
        <f>VLOOKUP($A175,'Data shares'!$C:$FA,74)</f>
        <v>72345550</v>
      </c>
      <c r="F175" s="86">
        <f>VLOOKUP($A175,'Data shares'!$C:$FA,76)</f>
        <v>463550</v>
      </c>
      <c r="G175" s="87">
        <f>VLOOKUP(A175,'Data shares'!$C$2:$CA$215,77,0)</f>
        <v>6.4000000000000003E-3</v>
      </c>
      <c r="H175" s="86">
        <f>VLOOKUP($A175,'Data shares'!$C:$FA,90)</f>
        <v>13617575</v>
      </c>
      <c r="I175" s="86">
        <f>VLOOKUP($A175,'Data shares'!$C:$FA,92)</f>
        <v>844550</v>
      </c>
      <c r="J175" s="87">
        <f>VLOOKUP($A175,'Data shares'!$C:$FA,93)</f>
        <v>6.6100000000000006E-2</v>
      </c>
      <c r="K175" s="86">
        <f>VLOOKUP($A175,'Data shares'!$C:$FA,94)</f>
        <v>10334625</v>
      </c>
      <c r="L175" s="86">
        <f>VLOOKUP($A175,'Data shares'!$C:$FA,96)</f>
        <v>-19050</v>
      </c>
      <c r="M175" s="87">
        <f>VLOOKUP($A175,'Data shares'!$C:$FA,97)</f>
        <v>-1.8E-3</v>
      </c>
      <c r="N175" s="86">
        <f>VLOOKUP($A175,'Data shares'!$C:$FA,78)</f>
        <v>71977250</v>
      </c>
      <c r="O175" s="87">
        <f>VLOOKUP($A175,'Data shares'!$C:$FA,81)</f>
        <v>6.1999999999999998E-3</v>
      </c>
    </row>
    <row r="176" spans="1:15" x14ac:dyDescent="0.25">
      <c r="A176" s="100" t="str">
        <f>'OI(Value)'!A176</f>
        <v>RECLTD</v>
      </c>
      <c r="B176" s="82">
        <f>VLOOKUP(A176,'Data shares'!$C$2:$CV$215,98,0)</f>
        <v>143831800</v>
      </c>
      <c r="C176" s="82">
        <f>VLOOKUP(A176,'Data shares'!$C$2:$CX$215,100,0)</f>
        <v>4863600</v>
      </c>
      <c r="D176" s="141">
        <f>VLOOKUP(A176,'Data shares'!$C$2:$CY$538,101,0)</f>
        <v>3.5000000000000003E-2</v>
      </c>
      <c r="E176" s="86">
        <f>VLOOKUP($A176,'Data shares'!$C:$FA,74)</f>
        <v>87150000</v>
      </c>
      <c r="F176" s="86">
        <f>VLOOKUP($A176,'Data shares'!$C:$FA,76)</f>
        <v>-1579200</v>
      </c>
      <c r="G176" s="87">
        <f>VLOOKUP(A176,'Data shares'!$C$2:$CA$215,77,0)</f>
        <v>-1.78E-2</v>
      </c>
      <c r="H176" s="86">
        <f>VLOOKUP($A176,'Data shares'!$C:$FA,90)</f>
        <v>32664800</v>
      </c>
      <c r="I176" s="86">
        <f>VLOOKUP($A176,'Data shares'!$C:$FA,92)</f>
        <v>4128600</v>
      </c>
      <c r="J176" s="87">
        <f>VLOOKUP($A176,'Data shares'!$C:$FA,93)</f>
        <v>0.1447</v>
      </c>
      <c r="K176" s="86">
        <f>VLOOKUP($A176,'Data shares'!$C:$FA,94)</f>
        <v>24017000</v>
      </c>
      <c r="L176" s="86">
        <f>VLOOKUP($A176,'Data shares'!$C:$FA,96)</f>
        <v>2314200</v>
      </c>
      <c r="M176" s="87">
        <f>VLOOKUP($A176,'Data shares'!$C:$FA,97)</f>
        <v>0.1066</v>
      </c>
      <c r="N176" s="86">
        <f>VLOOKUP($A176,'Data shares'!$C:$FA,78)</f>
        <v>81002600</v>
      </c>
      <c r="O176" s="87">
        <f>VLOOKUP($A176,'Data shares'!$C:$FA,81)</f>
        <v>-1.9599999999999999E-2</v>
      </c>
    </row>
    <row r="177" spans="1:15" x14ac:dyDescent="0.25">
      <c r="A177" s="100" t="str">
        <f>'OI(Value)'!A177</f>
        <v>RELIANCE</v>
      </c>
      <c r="B177" s="82">
        <f>VLOOKUP(A177,'Data shares'!$C$2:$CV$215,98,0)</f>
        <v>145142500</v>
      </c>
      <c r="C177" s="82">
        <f>VLOOKUP(A177,'Data shares'!$C$2:$CX$215,100,0)</f>
        <v>5672500</v>
      </c>
      <c r="D177" s="141">
        <f>VLOOKUP(A177,'Data shares'!$C$2:$CY$538,101,0)</f>
        <v>4.07E-2</v>
      </c>
      <c r="E177" s="86">
        <f>VLOOKUP($A177,'Data shares'!$C:$FA,74)</f>
        <v>100133500</v>
      </c>
      <c r="F177" s="86">
        <f>VLOOKUP($A177,'Data shares'!$C:$FA,76)</f>
        <v>579500</v>
      </c>
      <c r="G177" s="87">
        <f>VLOOKUP(A177,'Data shares'!$C$2:$CA$215,77,0)</f>
        <v>5.7999999999999996E-3</v>
      </c>
      <c r="H177" s="86">
        <f>VLOOKUP($A177,'Data shares'!$C:$FA,90)</f>
        <v>27750500</v>
      </c>
      <c r="I177" s="86">
        <f>VLOOKUP($A177,'Data shares'!$C:$FA,92)</f>
        <v>4306000</v>
      </c>
      <c r="J177" s="87">
        <f>VLOOKUP($A177,'Data shares'!$C:$FA,93)</f>
        <v>0.1837</v>
      </c>
      <c r="K177" s="86">
        <f>VLOOKUP($A177,'Data shares'!$C:$FA,94)</f>
        <v>17258500</v>
      </c>
      <c r="L177" s="86">
        <f>VLOOKUP($A177,'Data shares'!$C:$FA,96)</f>
        <v>787000</v>
      </c>
      <c r="M177" s="87">
        <f>VLOOKUP($A177,'Data shares'!$C:$FA,97)</f>
        <v>4.7800000000000002E-2</v>
      </c>
      <c r="N177" s="86">
        <f>VLOOKUP($A177,'Data shares'!$C:$FA,78)</f>
        <v>98203000</v>
      </c>
      <c r="O177" s="87">
        <f>VLOOKUP($A177,'Data shares'!$C:$FA,81)</f>
        <v>4.4999999999999997E-3</v>
      </c>
    </row>
    <row r="178" spans="1:15" x14ac:dyDescent="0.25">
      <c r="A178" s="100" t="str">
        <f>'OI(Value)'!A178</f>
        <v>RVNL</v>
      </c>
      <c r="B178" s="82">
        <f>VLOOKUP(A178,'Data shares'!$C$2:$CV$215,98,0)</f>
        <v>98335050</v>
      </c>
      <c r="C178" s="82">
        <f>VLOOKUP(A178,'Data shares'!$C$2:$CX$215,100,0)</f>
        <v>33550</v>
      </c>
      <c r="D178" s="141">
        <f>VLOOKUP(A178,'Data shares'!$C$2:$CY$538,101,0)</f>
        <v>2.9999999999999997E-4</v>
      </c>
      <c r="E178" s="86">
        <f>VLOOKUP($A178,'Data shares'!$C:$FA,74)</f>
        <v>42695425</v>
      </c>
      <c r="F178" s="86">
        <f>VLOOKUP($A178,'Data shares'!$C:$FA,76)</f>
        <v>-7625</v>
      </c>
      <c r="G178" s="87">
        <f>VLOOKUP(A178,'Data shares'!$C$2:$CA$215,77,0)</f>
        <v>-2.0000000000000001E-4</v>
      </c>
      <c r="H178" s="86">
        <f>VLOOKUP($A178,'Data shares'!$C:$FA,90)</f>
        <v>41161275</v>
      </c>
      <c r="I178" s="86">
        <f>VLOOKUP($A178,'Data shares'!$C:$FA,92)</f>
        <v>-88450</v>
      </c>
      <c r="J178" s="87">
        <f>VLOOKUP($A178,'Data shares'!$C:$FA,93)</f>
        <v>-2.0999999999999999E-3</v>
      </c>
      <c r="K178" s="86">
        <f>VLOOKUP($A178,'Data shares'!$C:$FA,94)</f>
        <v>14478350</v>
      </c>
      <c r="L178" s="86">
        <f>VLOOKUP($A178,'Data shares'!$C:$FA,96)</f>
        <v>129625</v>
      </c>
      <c r="M178" s="87">
        <f>VLOOKUP($A178,'Data shares'!$C:$FA,97)</f>
        <v>8.9999999999999993E-3</v>
      </c>
      <c r="N178" s="86">
        <f>VLOOKUP($A178,'Data shares'!$C:$FA,78)</f>
        <v>39765900</v>
      </c>
      <c r="O178" s="87">
        <f>VLOOKUP($A178,'Data shares'!$C:$FA,81)</f>
        <v>-2.3999999999999998E-3</v>
      </c>
    </row>
    <row r="179" spans="1:15" x14ac:dyDescent="0.25">
      <c r="A179" s="100" t="str">
        <f>'OI(Value)'!A179</f>
        <v>SAIL</v>
      </c>
      <c r="B179" s="82">
        <f>VLOOKUP(A179,'Data shares'!$C$2:$CV$215,98,0)</f>
        <v>301415700</v>
      </c>
      <c r="C179" s="82">
        <f>VLOOKUP(A179,'Data shares'!$C$2:$CX$215,100,0)</f>
        <v>5494300</v>
      </c>
      <c r="D179" s="141">
        <f>VLOOKUP(A179,'Data shares'!$C$2:$CY$538,101,0)</f>
        <v>1.8599999999999998E-2</v>
      </c>
      <c r="E179" s="86">
        <f>VLOOKUP($A179,'Data shares'!$C:$FA,74)</f>
        <v>207138400</v>
      </c>
      <c r="F179" s="86">
        <f>VLOOKUP($A179,'Data shares'!$C:$FA,76)</f>
        <v>2679000</v>
      </c>
      <c r="G179" s="87">
        <f>VLOOKUP(A179,'Data shares'!$C$2:$CA$215,77,0)</f>
        <v>1.3100000000000001E-2</v>
      </c>
      <c r="H179" s="86">
        <f>VLOOKUP($A179,'Data shares'!$C:$FA,90)</f>
        <v>52950200</v>
      </c>
      <c r="I179" s="86">
        <f>VLOOKUP($A179,'Data shares'!$C:$FA,92)</f>
        <v>1367700</v>
      </c>
      <c r="J179" s="87">
        <f>VLOOKUP($A179,'Data shares'!$C:$FA,93)</f>
        <v>2.6499999999999999E-2</v>
      </c>
      <c r="K179" s="86">
        <f>VLOOKUP($A179,'Data shares'!$C:$FA,94)</f>
        <v>41327100</v>
      </c>
      <c r="L179" s="86">
        <f>VLOOKUP($A179,'Data shares'!$C:$FA,96)</f>
        <v>1447600</v>
      </c>
      <c r="M179" s="87">
        <f>VLOOKUP($A179,'Data shares'!$C:$FA,97)</f>
        <v>3.6299999999999999E-2</v>
      </c>
      <c r="N179" s="86">
        <f>VLOOKUP($A179,'Data shares'!$C:$FA,78)</f>
        <v>199759400</v>
      </c>
      <c r="O179" s="87">
        <f>VLOOKUP($A179,'Data shares'!$C:$FA,81)</f>
        <v>5.7999999999999996E-3</v>
      </c>
    </row>
    <row r="180" spans="1:15" x14ac:dyDescent="0.25">
      <c r="A180" s="100" t="str">
        <f>'OI(Value)'!A180</f>
        <v>SAMMAANCAP</v>
      </c>
      <c r="B180" s="82">
        <f>VLOOKUP(A180,'Data shares'!$C$2:$CV$215,98,0)</f>
        <v>145185200</v>
      </c>
      <c r="C180" s="82">
        <f>VLOOKUP(A180,'Data shares'!$C$2:$CX$215,100,0)</f>
        <v>8260300</v>
      </c>
      <c r="D180" s="141">
        <f>VLOOKUP(A180,'Data shares'!$C$2:$CY$538,101,0)</f>
        <v>6.0299999999999999E-2</v>
      </c>
      <c r="E180" s="86">
        <f>VLOOKUP($A180,'Data shares'!$C:$FA,74)</f>
        <v>100495300</v>
      </c>
      <c r="F180" s="86">
        <f>VLOOKUP($A180,'Data shares'!$C:$FA,76)</f>
        <v>2033900</v>
      </c>
      <c r="G180" s="87">
        <f>VLOOKUP(A180,'Data shares'!$C$2:$CA$215,77,0)</f>
        <v>2.07E-2</v>
      </c>
      <c r="H180" s="86">
        <f>VLOOKUP($A180,'Data shares'!$C:$FA,90)</f>
        <v>25542000</v>
      </c>
      <c r="I180" s="86">
        <f>VLOOKUP($A180,'Data shares'!$C:$FA,92)</f>
        <v>3366900</v>
      </c>
      <c r="J180" s="87">
        <f>VLOOKUP($A180,'Data shares'!$C:$FA,93)</f>
        <v>0.15179999999999999</v>
      </c>
      <c r="K180" s="86">
        <f>VLOOKUP($A180,'Data shares'!$C:$FA,94)</f>
        <v>19147900</v>
      </c>
      <c r="L180" s="86">
        <f>VLOOKUP($A180,'Data shares'!$C:$FA,96)</f>
        <v>2859500</v>
      </c>
      <c r="M180" s="87">
        <f>VLOOKUP($A180,'Data shares'!$C:$FA,97)</f>
        <v>0.17560000000000001</v>
      </c>
      <c r="N180" s="86">
        <f>VLOOKUP($A180,'Data shares'!$C:$FA,78)</f>
        <v>96496300</v>
      </c>
      <c r="O180" s="87">
        <f>VLOOKUP($A180,'Data shares'!$C:$FA,81)</f>
        <v>1.7399999999999999E-2</v>
      </c>
    </row>
    <row r="181" spans="1:15" x14ac:dyDescent="0.25">
      <c r="A181" s="100" t="str">
        <f>'OI(Value)'!A181</f>
        <v>SBICARD</v>
      </c>
      <c r="B181" s="82">
        <f>VLOOKUP(A181,'Data shares'!$C$2:$CV$215,98,0)</f>
        <v>22888800</v>
      </c>
      <c r="C181" s="82">
        <f>VLOOKUP(A181,'Data shares'!$C$2:$CX$215,100,0)</f>
        <v>784800</v>
      </c>
      <c r="D181" s="141">
        <f>VLOOKUP(A181,'Data shares'!$C$2:$CY$538,101,0)</f>
        <v>3.5499999999999997E-2</v>
      </c>
      <c r="E181" s="86">
        <f>VLOOKUP($A181,'Data shares'!$C:$FA,74)</f>
        <v>16415200</v>
      </c>
      <c r="F181" s="86">
        <f>VLOOKUP($A181,'Data shares'!$C:$FA,76)</f>
        <v>262400</v>
      </c>
      <c r="G181" s="87">
        <f>VLOOKUP(A181,'Data shares'!$C$2:$CA$215,77,0)</f>
        <v>1.6199999999999999E-2</v>
      </c>
      <c r="H181" s="86">
        <f>VLOOKUP($A181,'Data shares'!$C:$FA,90)</f>
        <v>3603200</v>
      </c>
      <c r="I181" s="86">
        <f>VLOOKUP($A181,'Data shares'!$C:$FA,92)</f>
        <v>253600</v>
      </c>
      <c r="J181" s="87">
        <f>VLOOKUP($A181,'Data shares'!$C:$FA,93)</f>
        <v>7.5700000000000003E-2</v>
      </c>
      <c r="K181" s="86">
        <f>VLOOKUP($A181,'Data shares'!$C:$FA,94)</f>
        <v>2870400</v>
      </c>
      <c r="L181" s="86">
        <f>VLOOKUP($A181,'Data shares'!$C:$FA,96)</f>
        <v>268800</v>
      </c>
      <c r="M181" s="87">
        <f>VLOOKUP($A181,'Data shares'!$C:$FA,97)</f>
        <v>0.1033</v>
      </c>
      <c r="N181" s="86">
        <f>VLOOKUP($A181,'Data shares'!$C:$FA,78)</f>
        <v>15966400</v>
      </c>
      <c r="O181" s="87">
        <f>VLOOKUP($A181,'Data shares'!$C:$FA,81)</f>
        <v>1.29E-2</v>
      </c>
    </row>
    <row r="182" spans="1:15" x14ac:dyDescent="0.25">
      <c r="A182" s="100" t="str">
        <f>'OI(Value)'!A182</f>
        <v>SBILIFE</v>
      </c>
      <c r="B182" s="82">
        <f>VLOOKUP(A182,'Data shares'!$C$2:$CV$215,98,0)</f>
        <v>10918125</v>
      </c>
      <c r="C182" s="82">
        <f>VLOOKUP(A182,'Data shares'!$C$2:$CX$215,100,0)</f>
        <v>565125</v>
      </c>
      <c r="D182" s="141">
        <f>VLOOKUP(A182,'Data shares'!$C$2:$CY$538,101,0)</f>
        <v>5.4600000000000003E-2</v>
      </c>
      <c r="E182" s="86">
        <f>VLOOKUP($A182,'Data shares'!$C:$FA,74)</f>
        <v>8224125</v>
      </c>
      <c r="F182" s="86">
        <f>VLOOKUP($A182,'Data shares'!$C:$FA,76)</f>
        <v>97875</v>
      </c>
      <c r="G182" s="87">
        <f>VLOOKUP(A182,'Data shares'!$C$2:$CA$215,77,0)</f>
        <v>1.2E-2</v>
      </c>
      <c r="H182" s="86">
        <f>VLOOKUP($A182,'Data shares'!$C:$FA,90)</f>
        <v>1728375</v>
      </c>
      <c r="I182" s="86">
        <f>VLOOKUP($A182,'Data shares'!$C:$FA,92)</f>
        <v>245625</v>
      </c>
      <c r="J182" s="87">
        <f>VLOOKUP($A182,'Data shares'!$C:$FA,93)</f>
        <v>0.16569999999999999</v>
      </c>
      <c r="K182" s="86">
        <f>VLOOKUP($A182,'Data shares'!$C:$FA,94)</f>
        <v>965625</v>
      </c>
      <c r="L182" s="86">
        <f>VLOOKUP($A182,'Data shares'!$C:$FA,96)</f>
        <v>221625</v>
      </c>
      <c r="M182" s="87">
        <f>VLOOKUP($A182,'Data shares'!$C:$FA,97)</f>
        <v>0.2979</v>
      </c>
      <c r="N182" s="86">
        <f>VLOOKUP($A182,'Data shares'!$C:$FA,78)</f>
        <v>8091000</v>
      </c>
      <c r="O182" s="87">
        <f>VLOOKUP($A182,'Data shares'!$C:$FA,81)</f>
        <v>1.12E-2</v>
      </c>
    </row>
    <row r="183" spans="1:15" x14ac:dyDescent="0.25">
      <c r="A183" s="100" t="str">
        <f>'OI(Value)'!A183</f>
        <v>SBIN</v>
      </c>
      <c r="B183" s="82">
        <f>VLOOKUP(A183,'Data shares'!$C$2:$CV$215,98,0)</f>
        <v>110297250</v>
      </c>
      <c r="C183" s="82">
        <f>VLOOKUP(A183,'Data shares'!$C$2:$CX$215,100,0)</f>
        <v>3033000</v>
      </c>
      <c r="D183" s="141">
        <f>VLOOKUP(A183,'Data shares'!$C$2:$CY$538,101,0)</f>
        <v>2.8299999999999999E-2</v>
      </c>
      <c r="E183" s="86">
        <f>VLOOKUP($A183,'Data shares'!$C:$FA,74)</f>
        <v>72813750</v>
      </c>
      <c r="F183" s="86">
        <f>VLOOKUP($A183,'Data shares'!$C:$FA,76)</f>
        <v>-138000</v>
      </c>
      <c r="G183" s="87">
        <f>VLOOKUP(A183,'Data shares'!$C$2:$CA$215,77,0)</f>
        <v>-1.9E-3</v>
      </c>
      <c r="H183" s="86">
        <f>VLOOKUP($A183,'Data shares'!$C:$FA,90)</f>
        <v>19868250</v>
      </c>
      <c r="I183" s="86">
        <f>VLOOKUP($A183,'Data shares'!$C:$FA,92)</f>
        <v>1508250</v>
      </c>
      <c r="J183" s="87">
        <f>VLOOKUP($A183,'Data shares'!$C:$FA,93)</f>
        <v>8.2100000000000006E-2</v>
      </c>
      <c r="K183" s="86">
        <f>VLOOKUP($A183,'Data shares'!$C:$FA,94)</f>
        <v>17615250</v>
      </c>
      <c r="L183" s="86">
        <f>VLOOKUP($A183,'Data shares'!$C:$FA,96)</f>
        <v>1662750</v>
      </c>
      <c r="M183" s="87">
        <f>VLOOKUP($A183,'Data shares'!$C:$FA,97)</f>
        <v>0.1042</v>
      </c>
      <c r="N183" s="86">
        <f>VLOOKUP($A183,'Data shares'!$C:$FA,78)</f>
        <v>71487750</v>
      </c>
      <c r="O183" s="87">
        <f>VLOOKUP($A183,'Data shares'!$C:$FA,81)</f>
        <v>-2.8E-3</v>
      </c>
    </row>
    <row r="184" spans="1:15" x14ac:dyDescent="0.25">
      <c r="A184" s="100" t="str">
        <f>'OI(Value)'!A184</f>
        <v>SHREECEM</v>
      </c>
      <c r="B184" s="82">
        <f>VLOOKUP(A184,'Data shares'!$C$2:$CV$215,98,0)</f>
        <v>324650</v>
      </c>
      <c r="C184" s="82">
        <f>VLOOKUP(A184,'Data shares'!$C$2:$CX$215,100,0)</f>
        <v>3175</v>
      </c>
      <c r="D184" s="141">
        <f>VLOOKUP(A184,'Data shares'!$C$2:$CY$538,101,0)</f>
        <v>9.9000000000000008E-3</v>
      </c>
      <c r="E184" s="86">
        <f>VLOOKUP($A184,'Data shares'!$C:$FA,74)</f>
        <v>276850</v>
      </c>
      <c r="F184" s="86">
        <f>VLOOKUP($A184,'Data shares'!$C:$FA,76)</f>
        <v>-3675</v>
      </c>
      <c r="G184" s="87">
        <f>VLOOKUP(A184,'Data shares'!$C$2:$CA$215,77,0)</f>
        <v>-1.3100000000000001E-2</v>
      </c>
      <c r="H184" s="86">
        <f>VLOOKUP($A184,'Data shares'!$C:$FA,90)</f>
        <v>25775</v>
      </c>
      <c r="I184" s="86">
        <f>VLOOKUP($A184,'Data shares'!$C:$FA,92)</f>
        <v>4575</v>
      </c>
      <c r="J184" s="87">
        <f>VLOOKUP($A184,'Data shares'!$C:$FA,93)</f>
        <v>0.21579999999999999</v>
      </c>
      <c r="K184" s="86">
        <f>VLOOKUP($A184,'Data shares'!$C:$FA,94)</f>
        <v>22025</v>
      </c>
      <c r="L184" s="86">
        <f>VLOOKUP($A184,'Data shares'!$C:$FA,96)</f>
        <v>2275</v>
      </c>
      <c r="M184" s="87">
        <f>VLOOKUP($A184,'Data shares'!$C:$FA,97)</f>
        <v>0.1152</v>
      </c>
      <c r="N184" s="86">
        <f>VLOOKUP($A184,'Data shares'!$C:$FA,78)</f>
        <v>273450</v>
      </c>
      <c r="O184" s="87">
        <f>VLOOKUP($A184,'Data shares'!$C:$FA,81)</f>
        <v>-1.3599999999999999E-2</v>
      </c>
    </row>
    <row r="185" spans="1:15" x14ac:dyDescent="0.25">
      <c r="A185" s="100" t="str">
        <f>'OI(Value)'!A185</f>
        <v>SHRIRAMFIN</v>
      </c>
      <c r="B185" s="82">
        <f>VLOOKUP(A185,'Data shares'!$C$2:$CV$215,98,0)</f>
        <v>75009825</v>
      </c>
      <c r="C185" s="82">
        <f>VLOOKUP(A185,'Data shares'!$C$2:$CX$215,100,0)</f>
        <v>4866675</v>
      </c>
      <c r="D185" s="141">
        <f>VLOOKUP(A185,'Data shares'!$C$2:$CY$538,101,0)</f>
        <v>6.9400000000000003E-2</v>
      </c>
      <c r="E185" s="86">
        <f>VLOOKUP($A185,'Data shares'!$C:$FA,74)</f>
        <v>49180725</v>
      </c>
      <c r="F185" s="86">
        <f>VLOOKUP($A185,'Data shares'!$C:$FA,76)</f>
        <v>255750</v>
      </c>
      <c r="G185" s="87">
        <f>VLOOKUP(A185,'Data shares'!$C$2:$CA$215,77,0)</f>
        <v>5.1999999999999998E-3</v>
      </c>
      <c r="H185" s="86">
        <f>VLOOKUP($A185,'Data shares'!$C:$FA,90)</f>
        <v>13672725</v>
      </c>
      <c r="I185" s="86">
        <f>VLOOKUP($A185,'Data shares'!$C:$FA,92)</f>
        <v>2154075</v>
      </c>
      <c r="J185" s="87">
        <f>VLOOKUP($A185,'Data shares'!$C:$FA,93)</f>
        <v>0.187</v>
      </c>
      <c r="K185" s="86">
        <f>VLOOKUP($A185,'Data shares'!$C:$FA,94)</f>
        <v>12156375</v>
      </c>
      <c r="L185" s="86">
        <f>VLOOKUP($A185,'Data shares'!$C:$FA,96)</f>
        <v>2456850</v>
      </c>
      <c r="M185" s="87">
        <f>VLOOKUP($A185,'Data shares'!$C:$FA,97)</f>
        <v>0.25330000000000003</v>
      </c>
      <c r="N185" s="86">
        <f>VLOOKUP($A185,'Data shares'!$C:$FA,78)</f>
        <v>46450800</v>
      </c>
      <c r="O185" s="87">
        <f>VLOOKUP($A185,'Data shares'!$C:$FA,81)</f>
        <v>3.8999999999999998E-3</v>
      </c>
    </row>
    <row r="186" spans="1:15" x14ac:dyDescent="0.25">
      <c r="A186" s="100" t="str">
        <f>'OI(Value)'!A186</f>
        <v>SIEMENS</v>
      </c>
      <c r="B186" s="82">
        <f>VLOOKUP(A186,'Data shares'!$C$2:$CV$215,98,0)</f>
        <v>3688825</v>
      </c>
      <c r="C186" s="82">
        <f>VLOOKUP(A186,'Data shares'!$C$2:$CX$215,100,0)</f>
        <v>-15575</v>
      </c>
      <c r="D186" s="141">
        <f>VLOOKUP(A186,'Data shares'!$C$2:$CY$538,101,0)</f>
        <v>-4.1999999999999997E-3</v>
      </c>
      <c r="E186" s="86">
        <f>VLOOKUP($A186,'Data shares'!$C:$FA,74)</f>
        <v>2534700</v>
      </c>
      <c r="F186" s="86">
        <f>VLOOKUP($A186,'Data shares'!$C:$FA,76)</f>
        <v>-18375</v>
      </c>
      <c r="G186" s="87">
        <f>VLOOKUP(A186,'Data shares'!$C$2:$CA$215,77,0)</f>
        <v>-7.1999999999999998E-3</v>
      </c>
      <c r="H186" s="86">
        <f>VLOOKUP($A186,'Data shares'!$C:$FA,90)</f>
        <v>744975</v>
      </c>
      <c r="I186" s="86">
        <f>VLOOKUP($A186,'Data shares'!$C:$FA,92)</f>
        <v>-2275</v>
      </c>
      <c r="J186" s="87">
        <f>VLOOKUP($A186,'Data shares'!$C:$FA,93)</f>
        <v>-3.0000000000000001E-3</v>
      </c>
      <c r="K186" s="86">
        <f>VLOOKUP($A186,'Data shares'!$C:$FA,94)</f>
        <v>409150</v>
      </c>
      <c r="L186" s="86">
        <f>VLOOKUP($A186,'Data shares'!$C:$FA,96)</f>
        <v>5075</v>
      </c>
      <c r="M186" s="87">
        <f>VLOOKUP($A186,'Data shares'!$C:$FA,97)</f>
        <v>1.26E-2</v>
      </c>
      <c r="N186" s="86">
        <f>VLOOKUP($A186,'Data shares'!$C:$FA,78)</f>
        <v>2455950</v>
      </c>
      <c r="O186" s="87">
        <f>VLOOKUP($A186,'Data shares'!$C:$FA,81)</f>
        <v>-8.9999999999999993E-3</v>
      </c>
    </row>
    <row r="187" spans="1:15" x14ac:dyDescent="0.25">
      <c r="A187" s="100" t="str">
        <f>'OI(Value)'!A187</f>
        <v>SOLARINDS</v>
      </c>
      <c r="B187" s="82">
        <f>VLOOKUP(A187,'Data shares'!$C$2:$CV$215,98,0)</f>
        <v>1823350</v>
      </c>
      <c r="C187" s="82">
        <f>VLOOKUP(A187,'Data shares'!$C$2:$CX$215,100,0)</f>
        <v>35400</v>
      </c>
      <c r="D187" s="141">
        <f>VLOOKUP(A187,'Data shares'!$C$2:$CY$538,101,0)</f>
        <v>1.9800000000000002E-2</v>
      </c>
      <c r="E187" s="86">
        <f>VLOOKUP($A187,'Data shares'!$C:$FA,74)</f>
        <v>1199300</v>
      </c>
      <c r="F187" s="86">
        <f>VLOOKUP($A187,'Data shares'!$C:$FA,76)</f>
        <v>-1000</v>
      </c>
      <c r="G187" s="87">
        <f>VLOOKUP(A187,'Data shares'!$C$2:$CA$215,77,0)</f>
        <v>-8.0000000000000004E-4</v>
      </c>
      <c r="H187" s="86">
        <f>VLOOKUP($A187,'Data shares'!$C:$FA,90)</f>
        <v>397850</v>
      </c>
      <c r="I187" s="86">
        <f>VLOOKUP($A187,'Data shares'!$C:$FA,92)</f>
        <v>35350</v>
      </c>
      <c r="J187" s="87">
        <f>VLOOKUP($A187,'Data shares'!$C:$FA,93)</f>
        <v>9.7500000000000003E-2</v>
      </c>
      <c r="K187" s="86">
        <f>VLOOKUP($A187,'Data shares'!$C:$FA,94)</f>
        <v>226200</v>
      </c>
      <c r="L187" s="86">
        <f>VLOOKUP($A187,'Data shares'!$C:$FA,96)</f>
        <v>1050</v>
      </c>
      <c r="M187" s="87">
        <f>VLOOKUP($A187,'Data shares'!$C:$FA,97)</f>
        <v>4.7000000000000002E-3</v>
      </c>
      <c r="N187" s="86">
        <f>VLOOKUP($A187,'Data shares'!$C:$FA,78)</f>
        <v>1132100</v>
      </c>
      <c r="O187" s="87">
        <f>VLOOKUP($A187,'Data shares'!$C:$FA,81)</f>
        <v>-1.6000000000000001E-3</v>
      </c>
    </row>
    <row r="188" spans="1:15" x14ac:dyDescent="0.25">
      <c r="A188" s="100" t="str">
        <f>'OI(Value)'!A188</f>
        <v>SONACOMS</v>
      </c>
      <c r="B188" s="82">
        <f>VLOOKUP(A188,'Data shares'!$C$2:$CV$215,98,0)</f>
        <v>17510150</v>
      </c>
      <c r="C188" s="82">
        <f>VLOOKUP(A188,'Data shares'!$C$2:$CX$215,100,0)</f>
        <v>330750</v>
      </c>
      <c r="D188" s="141">
        <f>VLOOKUP(A188,'Data shares'!$C$2:$CY$538,101,0)</f>
        <v>1.9300000000000001E-2</v>
      </c>
      <c r="E188" s="86">
        <f>VLOOKUP($A188,'Data shares'!$C:$FA,74)</f>
        <v>14551775</v>
      </c>
      <c r="F188" s="86">
        <f>VLOOKUP($A188,'Data shares'!$C:$FA,76)</f>
        <v>17150</v>
      </c>
      <c r="G188" s="87">
        <f>VLOOKUP(A188,'Data shares'!$C$2:$CA$215,77,0)</f>
        <v>1.1999999999999999E-3</v>
      </c>
      <c r="H188" s="86">
        <f>VLOOKUP($A188,'Data shares'!$C:$FA,90)</f>
        <v>1762775</v>
      </c>
      <c r="I188" s="86">
        <f>VLOOKUP($A188,'Data shares'!$C:$FA,92)</f>
        <v>253575</v>
      </c>
      <c r="J188" s="87">
        <f>VLOOKUP($A188,'Data shares'!$C:$FA,93)</f>
        <v>0.16800000000000001</v>
      </c>
      <c r="K188" s="86">
        <f>VLOOKUP($A188,'Data shares'!$C:$FA,94)</f>
        <v>1195600</v>
      </c>
      <c r="L188" s="86">
        <f>VLOOKUP($A188,'Data shares'!$C:$FA,96)</f>
        <v>60025</v>
      </c>
      <c r="M188" s="87">
        <f>VLOOKUP($A188,'Data shares'!$C:$FA,97)</f>
        <v>5.2900000000000003E-2</v>
      </c>
      <c r="N188" s="86">
        <f>VLOOKUP($A188,'Data shares'!$C:$FA,78)</f>
        <v>14266350</v>
      </c>
      <c r="O188" s="87">
        <f>VLOOKUP($A188,'Data shares'!$C:$FA,81)</f>
        <v>2.9999999999999997E-4</v>
      </c>
    </row>
    <row r="189" spans="1:15" x14ac:dyDescent="0.25">
      <c r="A189" s="100" t="str">
        <f>'OI(Value)'!A189</f>
        <v>ZYDUSLIFE</v>
      </c>
      <c r="B189" s="82">
        <f>VLOOKUP(A189,'Data shares'!$C$2:$CV$215,98,0)</f>
        <v>15251400</v>
      </c>
      <c r="C189" s="82">
        <f>VLOOKUP(A189,'Data shares'!$C$2:$CX$215,100,0)</f>
        <v>459000</v>
      </c>
      <c r="D189" s="141">
        <f>VLOOKUP(A189,'Data shares'!$C$2:$CY$538,101,0)</f>
        <v>3.1E-2</v>
      </c>
      <c r="E189" s="86">
        <f>VLOOKUP($A189,'Data shares'!$C:$FA,74)</f>
        <v>10278900</v>
      </c>
      <c r="F189" s="86">
        <f>VLOOKUP($A189,'Data shares'!$C:$FA,76)</f>
        <v>-92700</v>
      </c>
      <c r="G189" s="87">
        <f>VLOOKUP(A189,'Data shares'!$C$2:$CA$215,77,0)</f>
        <v>-8.8999999999999999E-3</v>
      </c>
      <c r="H189" s="86">
        <f>VLOOKUP($A189,'Data shares'!$C:$FA,90)</f>
        <v>2719800</v>
      </c>
      <c r="I189" s="86">
        <f>VLOOKUP($A189,'Data shares'!$C:$FA,92)</f>
        <v>288000</v>
      </c>
      <c r="J189" s="87">
        <f>VLOOKUP($A189,'Data shares'!$C:$FA,93)</f>
        <v>0.11840000000000001</v>
      </c>
      <c r="K189" s="86">
        <f>VLOOKUP($A189,'Data shares'!$C:$FA,94)</f>
        <v>2252700</v>
      </c>
      <c r="L189" s="86">
        <f>VLOOKUP($A189,'Data shares'!$C:$FA,96)</f>
        <v>263700</v>
      </c>
      <c r="M189" s="87">
        <f>VLOOKUP($A189,'Data shares'!$C:$FA,97)</f>
        <v>0.1326</v>
      </c>
      <c r="N189" s="86">
        <f>VLOOKUP($A189,'Data shares'!$C:$FA,78)</f>
        <v>10020600</v>
      </c>
      <c r="O189" s="87">
        <f>VLOOKUP($A189,'Data shares'!$C:$FA,81)</f>
        <v>-9.7999999999999997E-3</v>
      </c>
    </row>
    <row r="190" spans="1:15" x14ac:dyDescent="0.25">
      <c r="A190" s="100"/>
      <c r="B190" s="82"/>
      <c r="C190" s="82"/>
      <c r="D190" s="141"/>
      <c r="E190" s="86"/>
      <c r="F190" s="86"/>
      <c r="G190" s="87"/>
      <c r="H190" s="86"/>
      <c r="I190" s="86"/>
      <c r="J190" s="87"/>
      <c r="K190" s="86"/>
      <c r="L190" s="86"/>
      <c r="M190" s="87"/>
      <c r="N190" s="86"/>
      <c r="O190" s="87"/>
    </row>
    <row r="191" spans="1:15" x14ac:dyDescent="0.25">
      <c r="A191" s="100"/>
      <c r="B191" s="82"/>
      <c r="C191" s="82"/>
      <c r="D191" s="141"/>
      <c r="E191" s="86"/>
      <c r="F191" s="86"/>
      <c r="G191" s="87"/>
      <c r="H191" s="86"/>
      <c r="I191" s="86"/>
      <c r="J191" s="87"/>
      <c r="K191" s="86"/>
      <c r="L191" s="86"/>
      <c r="M191" s="87"/>
      <c r="N191" s="86"/>
      <c r="O191" s="87"/>
    </row>
    <row r="192" spans="1:15" x14ac:dyDescent="0.25">
      <c r="A192" s="100"/>
      <c r="B192" s="82"/>
      <c r="C192" s="82"/>
      <c r="D192" s="141"/>
      <c r="E192" s="86"/>
      <c r="F192" s="86"/>
      <c r="G192" s="87"/>
      <c r="H192" s="86"/>
      <c r="I192" s="86"/>
      <c r="J192" s="87"/>
      <c r="K192" s="86"/>
      <c r="L192" s="86"/>
      <c r="M192" s="87"/>
      <c r="N192" s="86"/>
      <c r="O192" s="87"/>
    </row>
    <row r="193" spans="1:15" x14ac:dyDescent="0.25">
      <c r="A193" s="100"/>
      <c r="B193" s="82"/>
      <c r="C193" s="82"/>
      <c r="D193" s="141"/>
      <c r="E193" s="86"/>
      <c r="F193" s="86"/>
      <c r="G193" s="87"/>
      <c r="H193" s="86"/>
      <c r="I193" s="86"/>
      <c r="J193" s="87"/>
      <c r="K193" s="86"/>
      <c r="L193" s="86"/>
      <c r="M193" s="87"/>
      <c r="N193" s="86"/>
      <c r="O193" s="87"/>
    </row>
    <row r="194" spans="1:15" x14ac:dyDescent="0.25">
      <c r="A194" s="100"/>
      <c r="B194" s="82"/>
      <c r="C194" s="82"/>
      <c r="D194" s="141"/>
      <c r="E194" s="86"/>
      <c r="F194" s="86"/>
      <c r="G194" s="87"/>
      <c r="H194" s="86"/>
      <c r="I194" s="86"/>
      <c r="J194" s="87"/>
      <c r="K194" s="86"/>
      <c r="L194" s="86"/>
      <c r="M194" s="87"/>
      <c r="N194" s="86"/>
      <c r="O194" s="87"/>
    </row>
    <row r="195" spans="1:15" x14ac:dyDescent="0.25">
      <c r="A195" s="100"/>
      <c r="B195" s="82"/>
      <c r="C195" s="82"/>
      <c r="D195" s="141"/>
      <c r="E195" s="86"/>
      <c r="F195" s="86"/>
      <c r="G195" s="87"/>
      <c r="H195" s="86"/>
      <c r="I195" s="86"/>
      <c r="J195" s="87"/>
      <c r="K195" s="86"/>
      <c r="L195" s="86"/>
      <c r="M195" s="87"/>
      <c r="N195" s="86"/>
      <c r="O195" s="87"/>
    </row>
    <row r="196" spans="1:15" x14ac:dyDescent="0.25">
      <c r="A196" s="100"/>
      <c r="B196" s="82"/>
      <c r="C196" s="82"/>
      <c r="D196" s="141"/>
      <c r="E196" s="86"/>
      <c r="F196" s="86"/>
      <c r="G196" s="87"/>
      <c r="H196" s="86"/>
      <c r="I196" s="86"/>
      <c r="J196" s="87"/>
      <c r="K196" s="86"/>
      <c r="L196" s="86"/>
      <c r="M196" s="87"/>
      <c r="N196" s="86"/>
      <c r="O196" s="87"/>
    </row>
    <row r="197" spans="1:15" x14ac:dyDescent="0.25">
      <c r="A197" s="100"/>
      <c r="B197" s="82"/>
      <c r="C197" s="82"/>
      <c r="D197" s="141"/>
      <c r="E197" s="86"/>
      <c r="F197" s="86"/>
      <c r="G197" s="87"/>
      <c r="H197" s="86"/>
      <c r="I197" s="86"/>
      <c r="J197" s="87"/>
      <c r="K197" s="86"/>
      <c r="L197" s="86"/>
      <c r="M197" s="87"/>
      <c r="N197" s="86"/>
      <c r="O197" s="87"/>
    </row>
    <row r="198" spans="1:15" x14ac:dyDescent="0.25">
      <c r="A198" s="100"/>
      <c r="B198" s="82"/>
      <c r="C198" s="82"/>
      <c r="D198" s="141"/>
      <c r="E198" s="86"/>
      <c r="F198" s="86"/>
      <c r="G198" s="87"/>
      <c r="H198" s="86"/>
      <c r="I198" s="86"/>
      <c r="J198" s="87"/>
      <c r="K198" s="86"/>
      <c r="L198" s="86"/>
      <c r="M198" s="87"/>
      <c r="N198" s="86"/>
      <c r="O198" s="87"/>
    </row>
    <row r="199" spans="1:15" x14ac:dyDescent="0.25">
      <c r="A199" s="100"/>
      <c r="B199" s="82"/>
      <c r="C199" s="82"/>
      <c r="D199" s="141"/>
      <c r="E199" s="86"/>
      <c r="F199" s="86"/>
      <c r="G199" s="87"/>
      <c r="H199" s="86"/>
      <c r="I199" s="86"/>
      <c r="J199" s="87"/>
      <c r="K199" s="86"/>
      <c r="L199" s="86"/>
      <c r="M199" s="87"/>
      <c r="N199" s="86"/>
      <c r="O199" s="87"/>
    </row>
    <row r="200" spans="1:15" x14ac:dyDescent="0.25">
      <c r="A200" s="100"/>
      <c r="B200" s="82"/>
      <c r="C200" s="82"/>
      <c r="D200" s="141"/>
      <c r="E200" s="86"/>
      <c r="F200" s="86"/>
      <c r="G200" s="87"/>
      <c r="H200" s="86"/>
      <c r="I200" s="86"/>
      <c r="J200" s="87"/>
      <c r="K200" s="86"/>
      <c r="L200" s="86"/>
      <c r="M200" s="87"/>
      <c r="N200" s="86"/>
      <c r="O200" s="87"/>
    </row>
    <row r="201" spans="1:15" x14ac:dyDescent="0.25">
      <c r="A201" s="100"/>
      <c r="B201" s="82"/>
      <c r="C201" s="82"/>
      <c r="D201" s="141"/>
      <c r="E201" s="86"/>
      <c r="F201" s="86"/>
      <c r="G201" s="87"/>
      <c r="H201" s="86"/>
      <c r="I201" s="86"/>
      <c r="J201" s="87"/>
      <c r="K201" s="86"/>
      <c r="L201" s="86"/>
      <c r="M201" s="87"/>
      <c r="N201" s="86"/>
      <c r="O201" s="87"/>
    </row>
    <row r="202" spans="1:15" x14ac:dyDescent="0.25">
      <c r="A202" s="100"/>
      <c r="B202" s="82"/>
      <c r="C202" s="82"/>
      <c r="D202" s="141"/>
      <c r="E202" s="86"/>
      <c r="F202" s="86"/>
      <c r="G202" s="87"/>
      <c r="H202" s="86"/>
      <c r="I202" s="86"/>
      <c r="J202" s="87"/>
      <c r="K202" s="86"/>
      <c r="L202" s="86"/>
      <c r="M202" s="87"/>
      <c r="N202" s="86"/>
      <c r="O202" s="87"/>
    </row>
    <row r="203" spans="1:15" x14ac:dyDescent="0.25">
      <c r="A203" s="100"/>
      <c r="B203" s="82"/>
      <c r="C203" s="82"/>
      <c r="D203" s="141"/>
      <c r="E203" s="86"/>
      <c r="F203" s="86"/>
      <c r="G203" s="87"/>
      <c r="H203" s="86"/>
      <c r="I203" s="86"/>
      <c r="J203" s="87"/>
      <c r="K203" s="86"/>
      <c r="L203" s="86"/>
      <c r="M203" s="87"/>
      <c r="N203" s="86"/>
      <c r="O203" s="87"/>
    </row>
    <row r="204" spans="1:15" x14ac:dyDescent="0.25">
      <c r="A204" s="100"/>
      <c r="B204" s="82"/>
      <c r="C204" s="82"/>
      <c r="D204" s="141"/>
      <c r="E204" s="86"/>
      <c r="F204" s="86"/>
      <c r="G204" s="87"/>
      <c r="H204" s="86"/>
      <c r="I204" s="86"/>
      <c r="J204" s="87"/>
      <c r="K204" s="86"/>
      <c r="L204" s="86"/>
      <c r="M204" s="87"/>
      <c r="N204" s="86"/>
      <c r="O204" s="87"/>
    </row>
    <row r="205" spans="1:15" x14ac:dyDescent="0.25">
      <c r="A205" s="100"/>
      <c r="B205" s="82"/>
      <c r="C205" s="82"/>
      <c r="D205" s="141"/>
      <c r="E205" s="86"/>
      <c r="F205" s="86"/>
      <c r="G205" s="87"/>
      <c r="H205" s="86"/>
      <c r="I205" s="86"/>
      <c r="J205" s="87"/>
      <c r="K205" s="86"/>
      <c r="L205" s="86"/>
      <c r="M205" s="87"/>
      <c r="N205" s="86"/>
      <c r="O205" s="87"/>
    </row>
    <row r="206" spans="1:15" x14ac:dyDescent="0.25">
      <c r="A206" s="100"/>
      <c r="B206" s="82"/>
      <c r="C206" s="82"/>
      <c r="D206" s="141"/>
      <c r="E206" s="86"/>
      <c r="F206" s="86"/>
      <c r="G206" s="87"/>
      <c r="H206" s="86"/>
      <c r="I206" s="86"/>
      <c r="J206" s="87"/>
      <c r="K206" s="86"/>
      <c r="L206" s="86"/>
      <c r="M206" s="87"/>
      <c r="N206" s="86"/>
      <c r="O206" s="87"/>
    </row>
    <row r="207" spans="1:15" x14ac:dyDescent="0.25">
      <c r="A207" s="100"/>
      <c r="B207" s="82"/>
      <c r="C207" s="82"/>
      <c r="D207" s="141"/>
      <c r="E207" s="86"/>
      <c r="F207" s="86"/>
      <c r="G207" s="87"/>
      <c r="H207" s="86"/>
      <c r="I207" s="86"/>
      <c r="J207" s="87"/>
      <c r="K207" s="86"/>
      <c r="L207" s="86"/>
      <c r="M207" s="87"/>
      <c r="N207" s="86"/>
      <c r="O207" s="87"/>
    </row>
    <row r="208" spans="1:15" x14ac:dyDescent="0.25">
      <c r="A208" s="100"/>
      <c r="B208" s="82"/>
      <c r="C208" s="82"/>
      <c r="D208" s="141"/>
      <c r="E208" s="86"/>
      <c r="F208" s="86"/>
      <c r="G208" s="87"/>
      <c r="H208" s="86"/>
      <c r="I208" s="86"/>
      <c r="J208" s="87"/>
      <c r="K208" s="86"/>
      <c r="L208" s="86"/>
      <c r="M208" s="87"/>
      <c r="N208" s="86"/>
      <c r="O208" s="87"/>
    </row>
    <row r="209" spans="1:15" x14ac:dyDescent="0.25">
      <c r="A209" s="100"/>
      <c r="B209" s="82"/>
      <c r="C209" s="82"/>
      <c r="D209" s="141"/>
      <c r="E209" s="86"/>
      <c r="F209" s="86"/>
      <c r="G209" s="87"/>
      <c r="H209" s="86"/>
      <c r="I209" s="86"/>
      <c r="J209" s="87"/>
      <c r="K209" s="86"/>
      <c r="L209" s="86"/>
      <c r="M209" s="87"/>
      <c r="N209" s="86"/>
      <c r="O209" s="87"/>
    </row>
    <row r="210" spans="1:15" x14ac:dyDescent="0.25">
      <c r="A210" s="100"/>
      <c r="B210" s="82"/>
      <c r="C210" s="82"/>
      <c r="D210" s="141"/>
      <c r="E210" s="86"/>
      <c r="F210" s="86"/>
      <c r="G210" s="87"/>
      <c r="H210" s="86"/>
      <c r="I210" s="86"/>
      <c r="J210" s="87"/>
      <c r="K210" s="86"/>
      <c r="L210" s="86"/>
      <c r="M210" s="87"/>
      <c r="N210" s="86"/>
      <c r="O210" s="87"/>
    </row>
    <row r="211" spans="1:15" x14ac:dyDescent="0.25">
      <c r="A211" s="100"/>
      <c r="B211" s="82"/>
      <c r="C211" s="82"/>
      <c r="D211" s="141"/>
      <c r="E211" s="86"/>
      <c r="F211" s="86"/>
      <c r="G211" s="87"/>
      <c r="H211" s="86"/>
      <c r="I211" s="86"/>
      <c r="J211" s="87"/>
      <c r="K211" s="86"/>
      <c r="L211" s="86"/>
      <c r="M211" s="87"/>
      <c r="N211" s="86"/>
      <c r="O211" s="87"/>
    </row>
    <row r="212" spans="1:15" x14ac:dyDescent="0.25">
      <c r="A212" s="100"/>
      <c r="B212" s="82"/>
      <c r="C212" s="82"/>
      <c r="D212" s="141"/>
      <c r="E212" s="86"/>
      <c r="F212" s="86"/>
      <c r="G212" s="87"/>
      <c r="H212" s="86"/>
      <c r="I212" s="86"/>
      <c r="J212" s="87"/>
      <c r="K212" s="86"/>
      <c r="L212" s="86"/>
      <c r="M212" s="87"/>
      <c r="N212" s="86"/>
      <c r="O212" s="87"/>
    </row>
    <row r="213" spans="1:15" x14ac:dyDescent="0.25">
      <c r="A213" s="100"/>
      <c r="B213" s="82"/>
      <c r="C213" s="82"/>
      <c r="D213" s="141"/>
      <c r="E213" s="86"/>
      <c r="F213" s="86"/>
      <c r="G213" s="87"/>
      <c r="H213" s="86"/>
      <c r="I213" s="86"/>
      <c r="J213" s="87"/>
      <c r="K213" s="86"/>
      <c r="L213" s="86"/>
      <c r="M213" s="87"/>
      <c r="N213" s="86"/>
      <c r="O213" s="87"/>
    </row>
    <row r="214" spans="1:15" x14ac:dyDescent="0.25">
      <c r="A214" s="100"/>
      <c r="B214" s="17"/>
      <c r="C214" s="17"/>
      <c r="D214" s="17"/>
      <c r="E214" s="17"/>
      <c r="F214" s="17"/>
      <c r="G214" s="17"/>
      <c r="H214" s="17"/>
      <c r="I214" s="17"/>
      <c r="J214" s="17"/>
      <c r="K214" s="17"/>
      <c r="L214" s="17"/>
      <c r="M214" s="17"/>
      <c r="N214" s="17"/>
      <c r="O214" s="17"/>
    </row>
    <row r="215" spans="1:15" x14ac:dyDescent="0.25">
      <c r="A215" s="98"/>
      <c r="B215" s="17"/>
      <c r="C215" s="17"/>
      <c r="D215" s="17"/>
      <c r="E215" s="17"/>
      <c r="F215" s="17"/>
      <c r="G215" s="17"/>
      <c r="H215" s="17"/>
      <c r="I215" s="17"/>
      <c r="J215" s="17"/>
      <c r="K215" s="17"/>
      <c r="L215" s="17"/>
      <c r="M215" s="17"/>
      <c r="N215" s="17"/>
      <c r="O215" s="17"/>
    </row>
    <row r="216" spans="1:15" s="89" customFormat="1" ht="16.5" customHeight="1" x14ac:dyDescent="0.25">
      <c r="A216" s="118" t="s">
        <v>391</v>
      </c>
      <c r="B216" s="119">
        <f>SUM(B7:B215)</f>
        <v>22553482160</v>
      </c>
      <c r="C216" s="119">
        <f>SUM(C7:C215)</f>
        <v>1177384573</v>
      </c>
      <c r="D216" s="120">
        <f>C216*100/(B216-C216)</f>
        <v>5.5079490922423249</v>
      </c>
      <c r="E216" s="119">
        <f>SUM(E7:E215)</f>
        <v>14404192241</v>
      </c>
      <c r="F216" s="119">
        <f>SUM(F7:F215)</f>
        <v>327279929</v>
      </c>
      <c r="G216" s="120">
        <f>F216*100/(E216-F216)</f>
        <v>2.3249411642708542</v>
      </c>
      <c r="H216" s="119">
        <f>SUM(H7:H215)</f>
        <v>4876446540</v>
      </c>
      <c r="I216" s="119">
        <f>SUM(I7:I215)</f>
        <v>458249690</v>
      </c>
      <c r="J216" s="120">
        <f>I216*100/(H216-I216)</f>
        <v>10.371871275948241</v>
      </c>
      <c r="K216" s="119">
        <f>SUM(K7:K215)</f>
        <v>3272843379</v>
      </c>
      <c r="L216" s="119">
        <f>SUM(L7:L215)</f>
        <v>391854954</v>
      </c>
      <c r="M216" s="120">
        <f>L216*100/(K216-L216)</f>
        <v>13.601406746366917</v>
      </c>
      <c r="N216" s="119">
        <f>SUM(N7:N215)</f>
        <v>13816243972</v>
      </c>
      <c r="O216" s="120">
        <f>(N216-FII!V3)/N216*100</f>
        <v>-14.248047877479969</v>
      </c>
    </row>
    <row r="217" spans="1:15" s="89" customFormat="1" ht="16.5" customHeight="1" x14ac:dyDescent="0.25">
      <c r="A217" s="118" t="s">
        <v>409</v>
      </c>
      <c r="B217" s="121">
        <f>B216/10000000</f>
        <v>2255.3482159999999</v>
      </c>
      <c r="C217" s="121">
        <f>C216/10000000</f>
        <v>117.73845729999999</v>
      </c>
      <c r="D217" s="120">
        <f>D216</f>
        <v>5.5079490922423249</v>
      </c>
      <c r="E217" s="121">
        <f>E216/10000000</f>
        <v>1440.4192241000001</v>
      </c>
      <c r="F217" s="121">
        <f>F216/10000000</f>
        <v>32.727992899999997</v>
      </c>
      <c r="G217" s="120">
        <f>G216</f>
        <v>2.3249411642708542</v>
      </c>
      <c r="H217" s="121">
        <f>H216/10000000</f>
        <v>487.644654</v>
      </c>
      <c r="I217" s="121">
        <f>I216/10000000</f>
        <v>45.824969000000003</v>
      </c>
      <c r="J217" s="120">
        <f>J216</f>
        <v>10.371871275948241</v>
      </c>
      <c r="K217" s="121">
        <f>K216/10000000</f>
        <v>327.28433790000003</v>
      </c>
      <c r="L217" s="121">
        <f>L216/10000000</f>
        <v>39.185495400000001</v>
      </c>
      <c r="M217" s="120">
        <f>M216</f>
        <v>13.601406746366917</v>
      </c>
      <c r="N217" s="121">
        <f>N216/10000000</f>
        <v>1381.6243972</v>
      </c>
      <c r="O217" s="120">
        <f>O216</f>
        <v>-14.248047877479969</v>
      </c>
    </row>
    <row r="225" spans="1:4" x14ac:dyDescent="0.25">
      <c r="A225" s="273" t="s">
        <v>410</v>
      </c>
      <c r="B225" s="273"/>
      <c r="C225" s="273"/>
      <c r="D225" s="273"/>
    </row>
    <row r="226" spans="1:4" x14ac:dyDescent="0.25">
      <c r="A226" s="35" t="s">
        <v>401</v>
      </c>
      <c r="B226" s="35" t="s">
        <v>402</v>
      </c>
      <c r="C226" s="35" t="s">
        <v>369</v>
      </c>
      <c r="D226" s="35" t="s">
        <v>407</v>
      </c>
    </row>
    <row r="227" spans="1:4" x14ac:dyDescent="0.25">
      <c r="A227" s="36" t="s">
        <v>403</v>
      </c>
      <c r="B227" s="37">
        <f>E217</f>
        <v>1440.4192241000001</v>
      </c>
      <c r="C227" s="37">
        <f>F217</f>
        <v>32.727992899999997</v>
      </c>
      <c r="D227" s="39">
        <f>C227/B227</f>
        <v>2.2721158085382425E-2</v>
      </c>
    </row>
    <row r="228" spans="1:4" x14ac:dyDescent="0.25">
      <c r="A228" s="36" t="s">
        <v>404</v>
      </c>
      <c r="B228" s="37">
        <f>H217</f>
        <v>487.644654</v>
      </c>
      <c r="C228" s="37">
        <f>I217</f>
        <v>45.824969000000003</v>
      </c>
      <c r="D228" s="39">
        <f>C228/B228</f>
        <v>9.397205244456551E-2</v>
      </c>
    </row>
    <row r="229" spans="1:4" x14ac:dyDescent="0.25">
      <c r="A229" s="36" t="s">
        <v>405</v>
      </c>
      <c r="B229" s="37">
        <f>K217</f>
        <v>327.28433790000003</v>
      </c>
      <c r="C229" s="37">
        <f>L217</f>
        <v>39.185495400000001</v>
      </c>
      <c r="D229" s="39">
        <f>C229/B229</f>
        <v>0.11972921054344164</v>
      </c>
    </row>
    <row r="230" spans="1:4" x14ac:dyDescent="0.25">
      <c r="A230" s="36" t="s">
        <v>406</v>
      </c>
      <c r="B230" s="40">
        <f>SUM(B227:B229)</f>
        <v>2255.3482159999999</v>
      </c>
      <c r="C230" s="40">
        <f>SUM(C227:C229)</f>
        <v>117.73845729999999</v>
      </c>
      <c r="D230" s="41">
        <f>C230/B230</f>
        <v>5.2204114852302703E-2</v>
      </c>
    </row>
  </sheetData>
  <mergeCells count="9">
    <mergeCell ref="A225:D22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ySplit="6" topLeftCell="A157" activePane="bottomLeft" state="frozen"/>
      <selection pane="bottomLeft" activeCell="A2" sqref="A2:XFD2"/>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79" t="s">
        <v>334</v>
      </c>
      <c r="B3" s="280"/>
      <c r="C3" s="280"/>
      <c r="D3" s="281"/>
      <c r="E3" s="282"/>
      <c r="F3" s="282"/>
      <c r="G3" s="282"/>
      <c r="H3" s="282"/>
      <c r="I3" s="282"/>
      <c r="J3" s="282"/>
      <c r="K3" s="282"/>
      <c r="L3" s="282"/>
      <c r="M3" s="282"/>
      <c r="N3" s="282"/>
      <c r="O3" s="283"/>
    </row>
    <row r="4" spans="1:15" x14ac:dyDescent="0.25">
      <c r="A4" s="284" t="s">
        <v>330</v>
      </c>
      <c r="B4" s="286" t="s">
        <v>309</v>
      </c>
      <c r="C4" s="287"/>
      <c r="D4" s="287"/>
      <c r="E4" s="287"/>
      <c r="F4" s="287"/>
      <c r="G4" s="287"/>
      <c r="H4" s="287"/>
      <c r="I4" s="287"/>
      <c r="J4" s="287"/>
      <c r="K4" s="287"/>
      <c r="L4" s="287"/>
      <c r="M4" s="287"/>
      <c r="N4" s="287"/>
      <c r="O4" s="288"/>
    </row>
    <row r="5" spans="1:15" x14ac:dyDescent="0.25">
      <c r="A5" s="285"/>
      <c r="B5" s="289" t="s">
        <v>314</v>
      </c>
      <c r="C5" s="289"/>
      <c r="D5" s="290"/>
      <c r="E5" s="289" t="s">
        <v>335</v>
      </c>
      <c r="F5" s="289"/>
      <c r="G5" s="290"/>
      <c r="H5" s="289" t="s">
        <v>336</v>
      </c>
      <c r="I5" s="289"/>
      <c r="J5" s="290"/>
      <c r="K5" s="289" t="s">
        <v>337</v>
      </c>
      <c r="L5" s="289"/>
      <c r="M5" s="290"/>
      <c r="N5" s="289" t="s">
        <v>338</v>
      </c>
      <c r="O5" s="290"/>
    </row>
    <row r="6" spans="1:15" x14ac:dyDescent="0.25">
      <c r="A6" s="3" t="s">
        <v>318</v>
      </c>
      <c r="B6" s="3">
        <f>'Sectorwise OI'!D6</f>
        <v>46023</v>
      </c>
      <c r="C6" s="76" t="s">
        <v>333</v>
      </c>
      <c r="D6" s="76" t="s">
        <v>328</v>
      </c>
      <c r="E6" s="3">
        <f>B6</f>
        <v>46023</v>
      </c>
      <c r="F6" s="76" t="s">
        <v>333</v>
      </c>
      <c r="G6" s="76" t="s">
        <v>328</v>
      </c>
      <c r="H6" s="3">
        <f>E6</f>
        <v>46023</v>
      </c>
      <c r="I6" s="76" t="s">
        <v>333</v>
      </c>
      <c r="J6" s="76" t="s">
        <v>328</v>
      </c>
      <c r="K6" s="3">
        <f>E6</f>
        <v>46023</v>
      </c>
      <c r="L6" s="76" t="s">
        <v>333</v>
      </c>
      <c r="M6" s="76" t="s">
        <v>328</v>
      </c>
      <c r="N6" s="76" t="s">
        <v>339</v>
      </c>
      <c r="O6" s="76" t="s">
        <v>328</v>
      </c>
    </row>
    <row r="7" spans="1:15" x14ac:dyDescent="0.25">
      <c r="A7" s="97" t="str">
        <f>'Data Vlaue (Cr)'!C2</f>
        <v>360ONE</v>
      </c>
      <c r="B7" s="142">
        <f>VLOOKUP(A7,'Data Vlaue (Cr)'!C2:CW215,99,0)</f>
        <v>346</v>
      </c>
      <c r="C7" s="90">
        <f>VLOOKUP(A7,'Data Vlaue (Cr)'!C2:CY215,101,0)</f>
        <v>7</v>
      </c>
      <c r="D7" s="139">
        <f>VLOOKUP(A7,'Data Vlaue (Cr)'!C2:CZ215,102,0)</f>
        <v>2.0400000000000001E-2</v>
      </c>
      <c r="E7" s="91">
        <f>VLOOKUP($A7,'Data Vlaue (Cr)'!$C:$FB,75)</f>
        <v>271</v>
      </c>
      <c r="F7" s="91">
        <f>VLOOKUP($A7,'Data Vlaue (Cr)'!$C:$FB,77)</f>
        <v>3</v>
      </c>
      <c r="G7" s="92">
        <f>VLOOKUP(A7,'Data Vlaue (Cr)'!C2:CB215,78,0)</f>
        <v>1.15E-2</v>
      </c>
      <c r="H7" s="91">
        <f>VLOOKUP($A7,'Data Vlaue (Cr)'!$C:$FB,91)</f>
        <v>53</v>
      </c>
      <c r="I7" s="91">
        <f>VLOOKUP($A7,'Data Vlaue (Cr)'!$C:$FB,93)</f>
        <v>3</v>
      </c>
      <c r="J7" s="92">
        <f>VLOOKUP($A7,'Data Vlaue (Cr)'!$C:$FB,94)</f>
        <v>6.3700000000000007E-2</v>
      </c>
      <c r="K7" s="91">
        <f>VLOOKUP($A7,'Data Vlaue (Cr)'!$C:$FB,95)</f>
        <v>22</v>
      </c>
      <c r="L7" s="91">
        <f>VLOOKUP($A7,'Data Vlaue (Cr)'!$C:$FB,97)</f>
        <v>1</v>
      </c>
      <c r="M7" s="92">
        <f>VLOOKUP($A7,'Data Vlaue (Cr)'!$C:$FB,98)</f>
        <v>3.0599999999999999E-2</v>
      </c>
      <c r="N7" s="91">
        <f>VLOOKUP($A7,'Data Vlaue (Cr)'!$C:$FB,79)</f>
        <v>266</v>
      </c>
      <c r="O7" s="92">
        <f>VLOOKUP($A7,'Data Vlaue (Cr)'!$C:$FB,82)</f>
        <v>1.17E-2</v>
      </c>
    </row>
    <row r="8" spans="1:15" x14ac:dyDescent="0.25">
      <c r="A8" s="97" t="str">
        <f>'Data Vlaue (Cr)'!C3</f>
        <v>ABB</v>
      </c>
      <c r="B8" s="142">
        <f>VLOOKUP(A8,'Data Vlaue (Cr)'!C3:CW216,99,0)</f>
        <v>1593</v>
      </c>
      <c r="C8" s="90">
        <f>VLOOKUP(A8,'Data Vlaue (Cr)'!C3:CY216,101,0)</f>
        <v>20</v>
      </c>
      <c r="D8" s="139">
        <f>VLOOKUP(A8,'Data Vlaue (Cr)'!C3:CZ216,102,0)</f>
        <v>1.2699999999999999E-2</v>
      </c>
      <c r="E8" s="91">
        <f>VLOOKUP($A8,'Data Vlaue (Cr)'!$C:$FB,75)</f>
        <v>1173</v>
      </c>
      <c r="F8" s="91">
        <f>VLOOKUP($A8,'Data Vlaue (Cr)'!$C:$FB,77)</f>
        <v>-8</v>
      </c>
      <c r="G8" s="92">
        <f>VLOOKUP(A8,'Data Vlaue (Cr)'!C3:CB216,78,0)</f>
        <v>-7.1999999999999998E-3</v>
      </c>
      <c r="H8" s="91">
        <f>VLOOKUP($A8,'Data Vlaue (Cr)'!$C:$FB,91)</f>
        <v>203</v>
      </c>
      <c r="I8" s="91">
        <f>VLOOKUP($A8,'Data Vlaue (Cr)'!$C:$FB,93)</f>
        <v>16</v>
      </c>
      <c r="J8" s="92">
        <f>VLOOKUP($A8,'Data Vlaue (Cr)'!$C:$FB,94)</f>
        <v>8.43E-2</v>
      </c>
      <c r="K8" s="91">
        <f>VLOOKUP($A8,'Data Vlaue (Cr)'!$C:$FB,95)</f>
        <v>216</v>
      </c>
      <c r="L8" s="91">
        <f>VLOOKUP($A8,'Data Vlaue (Cr)'!$C:$FB,97)</f>
        <v>13</v>
      </c>
      <c r="M8" s="92">
        <f>VLOOKUP($A8,'Data Vlaue (Cr)'!$C:$FB,98)</f>
        <v>6.1699999999999998E-2</v>
      </c>
      <c r="N8" s="91">
        <f>VLOOKUP($A8,'Data Vlaue (Cr)'!$C:$FB,79)</f>
        <v>1142</v>
      </c>
      <c r="O8" s="92">
        <f>VLOOKUP($A8,'Data Vlaue (Cr)'!$C:$FB,82)</f>
        <v>-7.4000000000000003E-3</v>
      </c>
    </row>
    <row r="9" spans="1:15" x14ac:dyDescent="0.25">
      <c r="A9" s="97" t="str">
        <f>'Data Vlaue (Cr)'!C4</f>
        <v>ABCAPITAL</v>
      </c>
      <c r="B9" s="142">
        <f>VLOOKUP(A9,'Data Vlaue (Cr)'!C4:CW217,99,0)</f>
        <v>3889</v>
      </c>
      <c r="C9" s="90">
        <f>VLOOKUP(A9,'Data Vlaue (Cr)'!C4:CY217,101,0)</f>
        <v>254</v>
      </c>
      <c r="D9" s="139">
        <f>VLOOKUP(A9,'Data Vlaue (Cr)'!C4:CZ217,102,0)</f>
        <v>6.9900000000000004E-2</v>
      </c>
      <c r="E9" s="91">
        <f>VLOOKUP($A9,'Data Vlaue (Cr)'!$C:$FB,75)</f>
        <v>2831</v>
      </c>
      <c r="F9" s="91">
        <f>VLOOKUP($A9,'Data Vlaue (Cr)'!$C:$FB,77)</f>
        <v>9</v>
      </c>
      <c r="G9" s="92">
        <f>VLOOKUP(A9,'Data Vlaue (Cr)'!C4:CB217,78,0)</f>
        <v>3.3E-3</v>
      </c>
      <c r="H9" s="91">
        <f>VLOOKUP($A9,'Data Vlaue (Cr)'!$C:$FB,91)</f>
        <v>682</v>
      </c>
      <c r="I9" s="91">
        <f>VLOOKUP($A9,'Data Vlaue (Cr)'!$C:$FB,93)</f>
        <v>177</v>
      </c>
      <c r="J9" s="92">
        <f>VLOOKUP($A9,'Data Vlaue (Cr)'!$C:$FB,94)</f>
        <v>0.3503</v>
      </c>
      <c r="K9" s="91">
        <f>VLOOKUP($A9,'Data Vlaue (Cr)'!$C:$FB,95)</f>
        <v>376</v>
      </c>
      <c r="L9" s="91">
        <f>VLOOKUP($A9,'Data Vlaue (Cr)'!$C:$FB,97)</f>
        <v>68</v>
      </c>
      <c r="M9" s="92">
        <f>VLOOKUP($A9,'Data Vlaue (Cr)'!$C:$FB,98)</f>
        <v>0.22009999999999999</v>
      </c>
      <c r="N9" s="91">
        <f>VLOOKUP($A9,'Data Vlaue (Cr)'!$C:$FB,79)</f>
        <v>2797</v>
      </c>
      <c r="O9" s="92">
        <f>VLOOKUP($A9,'Data Vlaue (Cr)'!$C:$FB,82)</f>
        <v>2.8999999999999998E-3</v>
      </c>
    </row>
    <row r="10" spans="1:15" x14ac:dyDescent="0.25">
      <c r="A10" s="97" t="str">
        <f>'Data Vlaue (Cr)'!C5</f>
        <v>ADANIENSOL</v>
      </c>
      <c r="B10" s="142">
        <f>VLOOKUP(A10,'Data Vlaue (Cr)'!C5:CW218,99,0)</f>
        <v>2347</v>
      </c>
      <c r="C10" s="90">
        <f>VLOOKUP(A10,'Data Vlaue (Cr)'!C5:CY218,101,0)</f>
        <v>202</v>
      </c>
      <c r="D10" s="139">
        <f>VLOOKUP(A10,'Data Vlaue (Cr)'!C5:CZ218,102,0)</f>
        <v>9.4E-2</v>
      </c>
      <c r="E10" s="91">
        <f>VLOOKUP($A10,'Data Vlaue (Cr)'!$C:$FB,75)</f>
        <v>1884</v>
      </c>
      <c r="F10" s="91">
        <f>VLOOKUP($A10,'Data Vlaue (Cr)'!$C:$FB,77)</f>
        <v>23</v>
      </c>
      <c r="G10" s="92">
        <f>VLOOKUP(A10,'Data Vlaue (Cr)'!C5:CB218,78,0)</f>
        <v>1.2500000000000001E-2</v>
      </c>
      <c r="H10" s="91">
        <f>VLOOKUP($A10,'Data Vlaue (Cr)'!$C:$FB,91)</f>
        <v>301</v>
      </c>
      <c r="I10" s="91">
        <f>VLOOKUP($A10,'Data Vlaue (Cr)'!$C:$FB,93)</f>
        <v>123</v>
      </c>
      <c r="J10" s="92">
        <f>VLOOKUP($A10,'Data Vlaue (Cr)'!$C:$FB,94)</f>
        <v>0.69620000000000004</v>
      </c>
      <c r="K10" s="91">
        <f>VLOOKUP($A10,'Data Vlaue (Cr)'!$C:$FB,95)</f>
        <v>162</v>
      </c>
      <c r="L10" s="91">
        <f>VLOOKUP($A10,'Data Vlaue (Cr)'!$C:$FB,97)</f>
        <v>55</v>
      </c>
      <c r="M10" s="92">
        <f>VLOOKUP($A10,'Data Vlaue (Cr)'!$C:$FB,98)</f>
        <v>0.51600000000000001</v>
      </c>
      <c r="N10" s="91">
        <f>VLOOKUP($A10,'Data Vlaue (Cr)'!$C:$FB,79)</f>
        <v>1869</v>
      </c>
      <c r="O10" s="92">
        <f>VLOOKUP($A10,'Data Vlaue (Cr)'!$C:$FB,82)</f>
        <v>1.0800000000000001E-2</v>
      </c>
    </row>
    <row r="11" spans="1:15" x14ac:dyDescent="0.25">
      <c r="A11" s="97" t="str">
        <f>'Data Vlaue (Cr)'!C6</f>
        <v>ADANIENT</v>
      </c>
      <c r="B11" s="142">
        <f>VLOOKUP(A11,'Data Vlaue (Cr)'!C6:CW219,99,0)</f>
        <v>7510</v>
      </c>
      <c r="C11" s="90">
        <f>VLOOKUP(A11,'Data Vlaue (Cr)'!C6:CY219,101,0)</f>
        <v>187</v>
      </c>
      <c r="D11" s="139">
        <f>VLOOKUP(A11,'Data Vlaue (Cr)'!C6:CZ219,102,0)</f>
        <v>2.5600000000000001E-2</v>
      </c>
      <c r="E11" s="91">
        <f>VLOOKUP($A11,'Data Vlaue (Cr)'!$C:$FB,75)</f>
        <v>4912</v>
      </c>
      <c r="F11" s="91">
        <f>VLOOKUP($A11,'Data Vlaue (Cr)'!$C:$FB,77)</f>
        <v>-33</v>
      </c>
      <c r="G11" s="92">
        <f>VLOOKUP(A11,'Data Vlaue (Cr)'!C6:CB219,78,0)</f>
        <v>-6.7000000000000002E-3</v>
      </c>
      <c r="H11" s="91">
        <f>VLOOKUP($A11,'Data Vlaue (Cr)'!$C:$FB,91)</f>
        <v>1383</v>
      </c>
      <c r="I11" s="91">
        <f>VLOOKUP($A11,'Data Vlaue (Cr)'!$C:$FB,93)</f>
        <v>164</v>
      </c>
      <c r="J11" s="92">
        <f>VLOOKUP($A11,'Data Vlaue (Cr)'!$C:$FB,94)</f>
        <v>0.1341</v>
      </c>
      <c r="K11" s="91">
        <f>VLOOKUP($A11,'Data Vlaue (Cr)'!$C:$FB,95)</f>
        <v>1215</v>
      </c>
      <c r="L11" s="91">
        <f>VLOOKUP($A11,'Data Vlaue (Cr)'!$C:$FB,97)</f>
        <v>57</v>
      </c>
      <c r="M11" s="92">
        <f>VLOOKUP($A11,'Data Vlaue (Cr)'!$C:$FB,98)</f>
        <v>4.8899999999999999E-2</v>
      </c>
      <c r="N11" s="91">
        <f>VLOOKUP($A11,'Data Vlaue (Cr)'!$C:$FB,79)</f>
        <v>4733</v>
      </c>
      <c r="O11" s="92">
        <f>VLOOKUP($A11,'Data Vlaue (Cr)'!$C:$FB,82)</f>
        <v>-8.3999999999999995E-3</v>
      </c>
    </row>
    <row r="12" spans="1:15" x14ac:dyDescent="0.25">
      <c r="A12" s="97" t="str">
        <f>'Data Vlaue (Cr)'!C7</f>
        <v>ADANIGREEN</v>
      </c>
      <c r="B12" s="142">
        <f>VLOOKUP(A12,'Data Vlaue (Cr)'!C7:CW220,99,0)</f>
        <v>3555</v>
      </c>
      <c r="C12" s="90">
        <f>VLOOKUP(A12,'Data Vlaue (Cr)'!C7:CY220,101,0)</f>
        <v>244</v>
      </c>
      <c r="D12" s="139">
        <f>VLOOKUP(A12,'Data Vlaue (Cr)'!C7:CZ220,102,0)</f>
        <v>7.3599999999999999E-2</v>
      </c>
      <c r="E12" s="91">
        <f>VLOOKUP($A12,'Data Vlaue (Cr)'!$C:$FB,75)</f>
        <v>2502</v>
      </c>
      <c r="F12" s="91">
        <f>VLOOKUP($A12,'Data Vlaue (Cr)'!$C:$FB,77)</f>
        <v>14</v>
      </c>
      <c r="G12" s="92">
        <f>VLOOKUP(A12,'Data Vlaue (Cr)'!C7:CB220,78,0)</f>
        <v>5.4000000000000003E-3</v>
      </c>
      <c r="H12" s="91">
        <f>VLOOKUP($A12,'Data Vlaue (Cr)'!$C:$FB,91)</f>
        <v>661</v>
      </c>
      <c r="I12" s="91">
        <f>VLOOKUP($A12,'Data Vlaue (Cr)'!$C:$FB,93)</f>
        <v>170</v>
      </c>
      <c r="J12" s="92">
        <f>VLOOKUP($A12,'Data Vlaue (Cr)'!$C:$FB,94)</f>
        <v>0.3463</v>
      </c>
      <c r="K12" s="91">
        <f>VLOOKUP($A12,'Data Vlaue (Cr)'!$C:$FB,95)</f>
        <v>393</v>
      </c>
      <c r="L12" s="91">
        <f>VLOOKUP($A12,'Data Vlaue (Cr)'!$C:$FB,97)</f>
        <v>60</v>
      </c>
      <c r="M12" s="92">
        <f>VLOOKUP($A12,'Data Vlaue (Cr)'!$C:$FB,98)</f>
        <v>0.18190000000000001</v>
      </c>
      <c r="N12" s="91">
        <f>VLOOKUP($A12,'Data Vlaue (Cr)'!$C:$FB,79)</f>
        <v>2456</v>
      </c>
      <c r="O12" s="92">
        <f>VLOOKUP($A12,'Data Vlaue (Cr)'!$C:$FB,82)</f>
        <v>3.2000000000000002E-3</v>
      </c>
    </row>
    <row r="13" spans="1:15" x14ac:dyDescent="0.25">
      <c r="A13" s="97" t="str">
        <f>'Data Vlaue (Cr)'!C8</f>
        <v>ADANIPORTS</v>
      </c>
      <c r="B13" s="142">
        <f>VLOOKUP(A13,'Data Vlaue (Cr)'!C8:CW221,99,0)</f>
        <v>5080</v>
      </c>
      <c r="C13" s="90">
        <f>VLOOKUP(A13,'Data Vlaue (Cr)'!C8:CY221,101,0)</f>
        <v>112</v>
      </c>
      <c r="D13" s="139">
        <f>VLOOKUP(A13,'Data Vlaue (Cr)'!C8:CZ221,102,0)</f>
        <v>2.2499999999999999E-2</v>
      </c>
      <c r="E13" s="91">
        <f>VLOOKUP($A13,'Data Vlaue (Cr)'!$C:$FB,75)</f>
        <v>3747</v>
      </c>
      <c r="F13" s="91">
        <f>VLOOKUP($A13,'Data Vlaue (Cr)'!$C:$FB,77)</f>
        <v>8</v>
      </c>
      <c r="G13" s="92">
        <f>VLOOKUP(A13,'Data Vlaue (Cr)'!C8:CB221,78,0)</f>
        <v>2.0999999999999999E-3</v>
      </c>
      <c r="H13" s="91">
        <f>VLOOKUP($A13,'Data Vlaue (Cr)'!$C:$FB,91)</f>
        <v>773</v>
      </c>
      <c r="I13" s="91">
        <f>VLOOKUP($A13,'Data Vlaue (Cr)'!$C:$FB,93)</f>
        <v>64</v>
      </c>
      <c r="J13" s="92">
        <f>VLOOKUP($A13,'Data Vlaue (Cr)'!$C:$FB,94)</f>
        <v>9.0999999999999998E-2</v>
      </c>
      <c r="K13" s="91">
        <f>VLOOKUP($A13,'Data Vlaue (Cr)'!$C:$FB,95)</f>
        <v>560</v>
      </c>
      <c r="L13" s="91">
        <f>VLOOKUP($A13,'Data Vlaue (Cr)'!$C:$FB,97)</f>
        <v>40</v>
      </c>
      <c r="M13" s="92">
        <f>VLOOKUP($A13,'Data Vlaue (Cr)'!$C:$FB,98)</f>
        <v>7.5899999999999995E-2</v>
      </c>
      <c r="N13" s="91">
        <f>VLOOKUP($A13,'Data Vlaue (Cr)'!$C:$FB,79)</f>
        <v>3638</v>
      </c>
      <c r="O13" s="92">
        <f>VLOOKUP($A13,'Data Vlaue (Cr)'!$C:$FB,82)</f>
        <v>1E-3</v>
      </c>
    </row>
    <row r="14" spans="1:15" x14ac:dyDescent="0.25">
      <c r="A14" s="97" t="str">
        <f>'Data Vlaue (Cr)'!C9</f>
        <v>ALKEM</v>
      </c>
      <c r="B14" s="142">
        <f>VLOOKUP(A14,'Data Vlaue (Cr)'!C9:CW222,99,0)</f>
        <v>934</v>
      </c>
      <c r="C14" s="90">
        <f>VLOOKUP(A14,'Data Vlaue (Cr)'!C9:CY222,101,0)</f>
        <v>37</v>
      </c>
      <c r="D14" s="139">
        <f>VLOOKUP(A14,'Data Vlaue (Cr)'!C9:CZ222,102,0)</f>
        <v>4.07E-2</v>
      </c>
      <c r="E14" s="91">
        <f>VLOOKUP($A14,'Data Vlaue (Cr)'!$C:$FB,75)</f>
        <v>829</v>
      </c>
      <c r="F14" s="91">
        <f>VLOOKUP($A14,'Data Vlaue (Cr)'!$C:$FB,77)</f>
        <v>-6</v>
      </c>
      <c r="G14" s="92">
        <f>VLOOKUP(A14,'Data Vlaue (Cr)'!C9:CB222,78,0)</f>
        <v>-7.3000000000000001E-3</v>
      </c>
      <c r="H14" s="91">
        <f>VLOOKUP($A14,'Data Vlaue (Cr)'!$C:$FB,91)</f>
        <v>48</v>
      </c>
      <c r="I14" s="91">
        <f>VLOOKUP($A14,'Data Vlaue (Cr)'!$C:$FB,93)</f>
        <v>13</v>
      </c>
      <c r="J14" s="92">
        <f>VLOOKUP($A14,'Data Vlaue (Cr)'!$C:$FB,94)</f>
        <v>0.39200000000000002</v>
      </c>
      <c r="K14" s="91">
        <f>VLOOKUP($A14,'Data Vlaue (Cr)'!$C:$FB,95)</f>
        <v>58</v>
      </c>
      <c r="L14" s="91">
        <f>VLOOKUP($A14,'Data Vlaue (Cr)'!$C:$FB,97)</f>
        <v>29</v>
      </c>
      <c r="M14" s="92">
        <f>VLOOKUP($A14,'Data Vlaue (Cr)'!$C:$FB,98)</f>
        <v>1.0095000000000001</v>
      </c>
      <c r="N14" s="91">
        <f>VLOOKUP($A14,'Data Vlaue (Cr)'!$C:$FB,79)</f>
        <v>823</v>
      </c>
      <c r="O14" s="92">
        <f>VLOOKUP($A14,'Data Vlaue (Cr)'!$C:$FB,82)</f>
        <v>-8.2000000000000007E-3</v>
      </c>
    </row>
    <row r="15" spans="1:15" x14ac:dyDescent="0.25">
      <c r="A15" s="97" t="str">
        <f>'Data Vlaue (Cr)'!C10</f>
        <v>AMBER</v>
      </c>
      <c r="B15" s="142">
        <f>VLOOKUP(A15,'Data Vlaue (Cr)'!C10:CW223,99,0)</f>
        <v>973</v>
      </c>
      <c r="C15" s="90">
        <f>VLOOKUP(A15,'Data Vlaue (Cr)'!C10:CY223,101,0)</f>
        <v>25</v>
      </c>
      <c r="D15" s="139">
        <f>VLOOKUP(A15,'Data Vlaue (Cr)'!C10:CZ223,102,0)</f>
        <v>2.64E-2</v>
      </c>
      <c r="E15" s="91">
        <f>VLOOKUP($A15,'Data Vlaue (Cr)'!$C:$FB,75)</f>
        <v>598</v>
      </c>
      <c r="F15" s="91">
        <f>VLOOKUP($A15,'Data Vlaue (Cr)'!$C:$FB,77)</f>
        <v>3</v>
      </c>
      <c r="G15" s="92">
        <f>VLOOKUP(A15,'Data Vlaue (Cr)'!C10:CB223,78,0)</f>
        <v>4.4999999999999997E-3</v>
      </c>
      <c r="H15" s="91">
        <f>VLOOKUP($A15,'Data Vlaue (Cr)'!$C:$FB,91)</f>
        <v>216</v>
      </c>
      <c r="I15" s="91">
        <f>VLOOKUP($A15,'Data Vlaue (Cr)'!$C:$FB,93)</f>
        <v>11</v>
      </c>
      <c r="J15" s="92">
        <f>VLOOKUP($A15,'Data Vlaue (Cr)'!$C:$FB,94)</f>
        <v>5.57E-2</v>
      </c>
      <c r="K15" s="91">
        <f>VLOOKUP($A15,'Data Vlaue (Cr)'!$C:$FB,95)</f>
        <v>159</v>
      </c>
      <c r="L15" s="91">
        <f>VLOOKUP($A15,'Data Vlaue (Cr)'!$C:$FB,97)</f>
        <v>11</v>
      </c>
      <c r="M15" s="92">
        <f>VLOOKUP($A15,'Data Vlaue (Cr)'!$C:$FB,98)</f>
        <v>7.3899999999999993E-2</v>
      </c>
      <c r="N15" s="91">
        <f>VLOOKUP($A15,'Data Vlaue (Cr)'!$C:$FB,79)</f>
        <v>571</v>
      </c>
      <c r="O15" s="92">
        <f>VLOOKUP($A15,'Data Vlaue (Cr)'!$C:$FB,82)</f>
        <v>1.1999999999999999E-3</v>
      </c>
    </row>
    <row r="16" spans="1:15" x14ac:dyDescent="0.25">
      <c r="A16" s="97" t="str">
        <f>'Data Vlaue (Cr)'!C11</f>
        <v>AMBUJACEM</v>
      </c>
      <c r="B16" s="142">
        <f>VLOOKUP(A16,'Data Vlaue (Cr)'!C11:CW224,99,0)</f>
        <v>4025</v>
      </c>
      <c r="C16" s="90">
        <f>VLOOKUP(A16,'Data Vlaue (Cr)'!C11:CY224,101,0)</f>
        <v>74</v>
      </c>
      <c r="D16" s="139">
        <f>VLOOKUP(A16,'Data Vlaue (Cr)'!C11:CZ224,102,0)</f>
        <v>1.8800000000000001E-2</v>
      </c>
      <c r="E16" s="91">
        <f>VLOOKUP($A16,'Data Vlaue (Cr)'!$C:$FB,75)</f>
        <v>2930</v>
      </c>
      <c r="F16" s="91">
        <f>VLOOKUP($A16,'Data Vlaue (Cr)'!$C:$FB,77)</f>
        <v>12</v>
      </c>
      <c r="G16" s="92">
        <f>VLOOKUP(A16,'Data Vlaue (Cr)'!C11:CB224,78,0)</f>
        <v>4.1000000000000003E-3</v>
      </c>
      <c r="H16" s="91">
        <f>VLOOKUP($A16,'Data Vlaue (Cr)'!$C:$FB,91)</f>
        <v>556</v>
      </c>
      <c r="I16" s="91">
        <f>VLOOKUP($A16,'Data Vlaue (Cr)'!$C:$FB,93)</f>
        <v>33</v>
      </c>
      <c r="J16" s="92">
        <f>VLOOKUP($A16,'Data Vlaue (Cr)'!$C:$FB,94)</f>
        <v>6.2100000000000002E-2</v>
      </c>
      <c r="K16" s="91">
        <f>VLOOKUP($A16,'Data Vlaue (Cr)'!$C:$FB,95)</f>
        <v>538</v>
      </c>
      <c r="L16" s="91">
        <f>VLOOKUP($A16,'Data Vlaue (Cr)'!$C:$FB,97)</f>
        <v>30</v>
      </c>
      <c r="M16" s="92">
        <f>VLOOKUP($A16,'Data Vlaue (Cr)'!$C:$FB,98)</f>
        <v>5.8900000000000001E-2</v>
      </c>
      <c r="N16" s="91">
        <f>VLOOKUP($A16,'Data Vlaue (Cr)'!$C:$FB,79)</f>
        <v>2884</v>
      </c>
      <c r="O16" s="92">
        <f>VLOOKUP($A16,'Data Vlaue (Cr)'!$C:$FB,82)</f>
        <v>3.8E-3</v>
      </c>
    </row>
    <row r="17" spans="1:15" x14ac:dyDescent="0.25">
      <c r="A17" s="97" t="str">
        <f>'Data Vlaue (Cr)'!C12</f>
        <v>ANGELONE</v>
      </c>
      <c r="B17" s="142">
        <f>VLOOKUP(A17,'Data Vlaue (Cr)'!C12:CW225,99,0)</f>
        <v>1757</v>
      </c>
      <c r="C17" s="90">
        <f>VLOOKUP(A17,'Data Vlaue (Cr)'!C12:CY225,101,0)</f>
        <v>61</v>
      </c>
      <c r="D17" s="139">
        <f>VLOOKUP(A17,'Data Vlaue (Cr)'!C12:CZ225,102,0)</f>
        <v>3.61E-2</v>
      </c>
      <c r="E17" s="91">
        <f>VLOOKUP($A17,'Data Vlaue (Cr)'!$C:$FB,75)</f>
        <v>872</v>
      </c>
      <c r="F17" s="91">
        <f>VLOOKUP($A17,'Data Vlaue (Cr)'!$C:$FB,77)</f>
        <v>11</v>
      </c>
      <c r="G17" s="92">
        <f>VLOOKUP(A17,'Data Vlaue (Cr)'!C12:CB225,78,0)</f>
        <v>1.29E-2</v>
      </c>
      <c r="H17" s="91">
        <f>VLOOKUP($A17,'Data Vlaue (Cr)'!$C:$FB,91)</f>
        <v>472</v>
      </c>
      <c r="I17" s="91">
        <f>VLOOKUP($A17,'Data Vlaue (Cr)'!$C:$FB,93)</f>
        <v>29</v>
      </c>
      <c r="J17" s="92">
        <f>VLOOKUP($A17,'Data Vlaue (Cr)'!$C:$FB,94)</f>
        <v>6.6199999999999995E-2</v>
      </c>
      <c r="K17" s="91">
        <f>VLOOKUP($A17,'Data Vlaue (Cr)'!$C:$FB,95)</f>
        <v>414</v>
      </c>
      <c r="L17" s="91">
        <f>VLOOKUP($A17,'Data Vlaue (Cr)'!$C:$FB,97)</f>
        <v>21</v>
      </c>
      <c r="M17" s="92">
        <f>VLOOKUP($A17,'Data Vlaue (Cr)'!$C:$FB,98)</f>
        <v>5.2999999999999999E-2</v>
      </c>
      <c r="N17" s="91">
        <f>VLOOKUP($A17,'Data Vlaue (Cr)'!$C:$FB,79)</f>
        <v>829</v>
      </c>
      <c r="O17" s="92">
        <f>VLOOKUP($A17,'Data Vlaue (Cr)'!$C:$FB,82)</f>
        <v>1.23E-2</v>
      </c>
    </row>
    <row r="18" spans="1:15" x14ac:dyDescent="0.25">
      <c r="A18" s="97" t="str">
        <f>'Data Vlaue (Cr)'!C13</f>
        <v>APLAPOLLO</v>
      </c>
      <c r="B18" s="142">
        <f>VLOOKUP(A18,'Data Vlaue (Cr)'!C13:CW226,99,0)</f>
        <v>2291</v>
      </c>
      <c r="C18" s="90">
        <f>VLOOKUP(A18,'Data Vlaue (Cr)'!C13:CY226,101,0)</f>
        <v>319</v>
      </c>
      <c r="D18" s="139">
        <f>VLOOKUP(A18,'Data Vlaue (Cr)'!C13:CZ226,102,0)</f>
        <v>0.16189999999999999</v>
      </c>
      <c r="E18" s="91">
        <f>VLOOKUP($A18,'Data Vlaue (Cr)'!$C:$FB,75)</f>
        <v>1980</v>
      </c>
      <c r="F18" s="91">
        <f>VLOOKUP($A18,'Data Vlaue (Cr)'!$C:$FB,77)</f>
        <v>193</v>
      </c>
      <c r="G18" s="92">
        <f>VLOOKUP(A18,'Data Vlaue (Cr)'!C13:CB226,78,0)</f>
        <v>0.108</v>
      </c>
      <c r="H18" s="91">
        <f>VLOOKUP($A18,'Data Vlaue (Cr)'!$C:$FB,91)</f>
        <v>202</v>
      </c>
      <c r="I18" s="91">
        <f>VLOOKUP($A18,'Data Vlaue (Cr)'!$C:$FB,93)</f>
        <v>83</v>
      </c>
      <c r="J18" s="92">
        <f>VLOOKUP($A18,'Data Vlaue (Cr)'!$C:$FB,94)</f>
        <v>0.69279999999999997</v>
      </c>
      <c r="K18" s="91">
        <f>VLOOKUP($A18,'Data Vlaue (Cr)'!$C:$FB,95)</f>
        <v>109</v>
      </c>
      <c r="L18" s="91">
        <f>VLOOKUP($A18,'Data Vlaue (Cr)'!$C:$FB,97)</f>
        <v>44</v>
      </c>
      <c r="M18" s="92">
        <f>VLOOKUP($A18,'Data Vlaue (Cr)'!$C:$FB,98)</f>
        <v>0.66379999999999995</v>
      </c>
      <c r="N18" s="91">
        <f>VLOOKUP($A18,'Data Vlaue (Cr)'!$C:$FB,79)</f>
        <v>1967</v>
      </c>
      <c r="O18" s="92">
        <f>VLOOKUP($A18,'Data Vlaue (Cr)'!$C:$FB,82)</f>
        <v>0.1076</v>
      </c>
    </row>
    <row r="19" spans="1:15" x14ac:dyDescent="0.25">
      <c r="A19" s="97" t="str">
        <f>'Data Vlaue (Cr)'!C14</f>
        <v>APOLLOHOSP</v>
      </c>
      <c r="B19" s="142">
        <f>VLOOKUP(A19,'Data Vlaue (Cr)'!C14:CW227,99,0)</f>
        <v>3303</v>
      </c>
      <c r="C19" s="90">
        <f>VLOOKUP(A19,'Data Vlaue (Cr)'!C14:CY227,101,0)</f>
        <v>74</v>
      </c>
      <c r="D19" s="139">
        <f>VLOOKUP(A19,'Data Vlaue (Cr)'!C14:CZ227,102,0)</f>
        <v>2.2800000000000001E-2</v>
      </c>
      <c r="E19" s="91">
        <f>VLOOKUP($A19,'Data Vlaue (Cr)'!$C:$FB,75)</f>
        <v>2156</v>
      </c>
      <c r="F19" s="91">
        <f>VLOOKUP($A19,'Data Vlaue (Cr)'!$C:$FB,77)</f>
        <v>-1</v>
      </c>
      <c r="G19" s="92">
        <f>VLOOKUP(A19,'Data Vlaue (Cr)'!C14:CB227,78,0)</f>
        <v>-4.0000000000000002E-4</v>
      </c>
      <c r="H19" s="91">
        <f>VLOOKUP($A19,'Data Vlaue (Cr)'!$C:$FB,91)</f>
        <v>664</v>
      </c>
      <c r="I19" s="91">
        <f>VLOOKUP($A19,'Data Vlaue (Cr)'!$C:$FB,93)</f>
        <v>-11</v>
      </c>
      <c r="J19" s="92">
        <f>VLOOKUP($A19,'Data Vlaue (Cr)'!$C:$FB,94)</f>
        <v>-1.6500000000000001E-2</v>
      </c>
      <c r="K19" s="91">
        <f>VLOOKUP($A19,'Data Vlaue (Cr)'!$C:$FB,95)</f>
        <v>483</v>
      </c>
      <c r="L19" s="91">
        <f>VLOOKUP($A19,'Data Vlaue (Cr)'!$C:$FB,97)</f>
        <v>86</v>
      </c>
      <c r="M19" s="92">
        <f>VLOOKUP($A19,'Data Vlaue (Cr)'!$C:$FB,98)</f>
        <v>0.21529999999999999</v>
      </c>
      <c r="N19" s="91">
        <f>VLOOKUP($A19,'Data Vlaue (Cr)'!$C:$FB,79)</f>
        <v>2118</v>
      </c>
      <c r="O19" s="92">
        <f>VLOOKUP($A19,'Data Vlaue (Cr)'!$C:$FB,82)</f>
        <v>-1.6999999999999999E-3</v>
      </c>
    </row>
    <row r="20" spans="1:15" x14ac:dyDescent="0.25">
      <c r="A20" s="97" t="str">
        <f>'Data Vlaue (Cr)'!C15</f>
        <v>ASHOKLEY</v>
      </c>
      <c r="B20" s="142">
        <f>VLOOKUP(A20,'Data Vlaue (Cr)'!C15:CW228,99,0)</f>
        <v>4903</v>
      </c>
      <c r="C20" s="90">
        <f>VLOOKUP(A20,'Data Vlaue (Cr)'!C15:CY228,101,0)</f>
        <v>670</v>
      </c>
      <c r="D20" s="139">
        <f>VLOOKUP(A20,'Data Vlaue (Cr)'!C15:CZ228,102,0)</f>
        <v>0.15820000000000001</v>
      </c>
      <c r="E20" s="91">
        <f>VLOOKUP($A20,'Data Vlaue (Cr)'!$C:$FB,75)</f>
        <v>3244</v>
      </c>
      <c r="F20" s="91">
        <f>VLOOKUP($A20,'Data Vlaue (Cr)'!$C:$FB,77)</f>
        <v>118</v>
      </c>
      <c r="G20" s="92">
        <f>VLOOKUP(A20,'Data Vlaue (Cr)'!C15:CB228,78,0)</f>
        <v>3.7900000000000003E-2</v>
      </c>
      <c r="H20" s="91">
        <f>VLOOKUP($A20,'Data Vlaue (Cr)'!$C:$FB,91)</f>
        <v>1044</v>
      </c>
      <c r="I20" s="91">
        <f>VLOOKUP($A20,'Data Vlaue (Cr)'!$C:$FB,93)</f>
        <v>354</v>
      </c>
      <c r="J20" s="92">
        <f>VLOOKUP($A20,'Data Vlaue (Cr)'!$C:$FB,94)</f>
        <v>0.51270000000000004</v>
      </c>
      <c r="K20" s="91">
        <f>VLOOKUP($A20,'Data Vlaue (Cr)'!$C:$FB,95)</f>
        <v>615</v>
      </c>
      <c r="L20" s="91">
        <f>VLOOKUP($A20,'Data Vlaue (Cr)'!$C:$FB,97)</f>
        <v>198</v>
      </c>
      <c r="M20" s="92">
        <f>VLOOKUP($A20,'Data Vlaue (Cr)'!$C:$FB,98)</f>
        <v>0.4733</v>
      </c>
      <c r="N20" s="91">
        <f>VLOOKUP($A20,'Data Vlaue (Cr)'!$C:$FB,79)</f>
        <v>3186</v>
      </c>
      <c r="O20" s="92">
        <f>VLOOKUP($A20,'Data Vlaue (Cr)'!$C:$FB,82)</f>
        <v>3.4299999999999997E-2</v>
      </c>
    </row>
    <row r="21" spans="1:15" x14ac:dyDescent="0.25">
      <c r="A21" s="97" t="str">
        <f>'Data Vlaue (Cr)'!C16</f>
        <v>ASIANPAINT</v>
      </c>
      <c r="B21" s="142">
        <f>VLOOKUP(A21,'Data Vlaue (Cr)'!C16:CW229,99,0)</f>
        <v>5249</v>
      </c>
      <c r="C21" s="90">
        <f>VLOOKUP(A21,'Data Vlaue (Cr)'!C16:CY229,101,0)</f>
        <v>197</v>
      </c>
      <c r="D21" s="139">
        <f>VLOOKUP(A21,'Data Vlaue (Cr)'!C16:CZ229,102,0)</f>
        <v>3.8899999999999997E-2</v>
      </c>
      <c r="E21" s="91">
        <f>VLOOKUP($A21,'Data Vlaue (Cr)'!$C:$FB,75)</f>
        <v>3683</v>
      </c>
      <c r="F21" s="91">
        <f>VLOOKUP($A21,'Data Vlaue (Cr)'!$C:$FB,77)</f>
        <v>-2</v>
      </c>
      <c r="G21" s="92">
        <f>VLOOKUP(A21,'Data Vlaue (Cr)'!C16:CB229,78,0)</f>
        <v>-5.0000000000000001E-4</v>
      </c>
      <c r="H21" s="91">
        <f>VLOOKUP($A21,'Data Vlaue (Cr)'!$C:$FB,91)</f>
        <v>916</v>
      </c>
      <c r="I21" s="91">
        <f>VLOOKUP($A21,'Data Vlaue (Cr)'!$C:$FB,93)</f>
        <v>106</v>
      </c>
      <c r="J21" s="92">
        <f>VLOOKUP($A21,'Data Vlaue (Cr)'!$C:$FB,94)</f>
        <v>0.1313</v>
      </c>
      <c r="K21" s="91">
        <f>VLOOKUP($A21,'Data Vlaue (Cr)'!$C:$FB,95)</f>
        <v>651</v>
      </c>
      <c r="L21" s="91">
        <f>VLOOKUP($A21,'Data Vlaue (Cr)'!$C:$FB,97)</f>
        <v>92</v>
      </c>
      <c r="M21" s="92">
        <f>VLOOKUP($A21,'Data Vlaue (Cr)'!$C:$FB,98)</f>
        <v>0.16439999999999999</v>
      </c>
      <c r="N21" s="91">
        <f>VLOOKUP($A21,'Data Vlaue (Cr)'!$C:$FB,79)</f>
        <v>3611</v>
      </c>
      <c r="O21" s="92">
        <f>VLOOKUP($A21,'Data Vlaue (Cr)'!$C:$FB,82)</f>
        <v>-1.2999999999999999E-3</v>
      </c>
    </row>
    <row r="22" spans="1:15" x14ac:dyDescent="0.25">
      <c r="A22" s="97" t="str">
        <f>'Data Vlaue (Cr)'!C17</f>
        <v>ASTRAL</v>
      </c>
      <c r="B22" s="142">
        <f>VLOOKUP(A22,'Data Vlaue (Cr)'!C17:CW230,99,0)</f>
        <v>1627</v>
      </c>
      <c r="C22" s="90">
        <f>VLOOKUP(A22,'Data Vlaue (Cr)'!C17:CY230,101,0)</f>
        <v>17</v>
      </c>
      <c r="D22" s="139">
        <f>VLOOKUP(A22,'Data Vlaue (Cr)'!C17:CZ230,102,0)</f>
        <v>1.04E-2</v>
      </c>
      <c r="E22" s="91">
        <f>VLOOKUP($A22,'Data Vlaue (Cr)'!$C:$FB,75)</f>
        <v>1093</v>
      </c>
      <c r="F22" s="91">
        <f>VLOOKUP($A22,'Data Vlaue (Cr)'!$C:$FB,77)</f>
        <v>-1</v>
      </c>
      <c r="G22" s="92">
        <f>VLOOKUP(A22,'Data Vlaue (Cr)'!C17:CB230,78,0)</f>
        <v>-1.2999999999999999E-3</v>
      </c>
      <c r="H22" s="91">
        <f>VLOOKUP($A22,'Data Vlaue (Cr)'!$C:$FB,91)</f>
        <v>315</v>
      </c>
      <c r="I22" s="91">
        <f>VLOOKUP($A22,'Data Vlaue (Cr)'!$C:$FB,93)</f>
        <v>30</v>
      </c>
      <c r="J22" s="92">
        <f>VLOOKUP($A22,'Data Vlaue (Cr)'!$C:$FB,94)</f>
        <v>0.10589999999999999</v>
      </c>
      <c r="K22" s="91">
        <f>VLOOKUP($A22,'Data Vlaue (Cr)'!$C:$FB,95)</f>
        <v>219</v>
      </c>
      <c r="L22" s="91">
        <f>VLOOKUP($A22,'Data Vlaue (Cr)'!$C:$FB,97)</f>
        <v>-12</v>
      </c>
      <c r="M22" s="92">
        <f>VLOOKUP($A22,'Data Vlaue (Cr)'!$C:$FB,98)</f>
        <v>-5.16E-2</v>
      </c>
      <c r="N22" s="91">
        <f>VLOOKUP($A22,'Data Vlaue (Cr)'!$C:$FB,79)</f>
        <v>1037</v>
      </c>
      <c r="O22" s="92">
        <f>VLOOKUP($A22,'Data Vlaue (Cr)'!$C:$FB,82)</f>
        <v>-3.8E-3</v>
      </c>
    </row>
    <row r="23" spans="1:15" x14ac:dyDescent="0.25">
      <c r="A23" s="97" t="str">
        <f>'Data Vlaue (Cr)'!C18</f>
        <v>AUBANK</v>
      </c>
      <c r="B23" s="142">
        <f>VLOOKUP(A23,'Data Vlaue (Cr)'!C18:CW231,99,0)</f>
        <v>2769</v>
      </c>
      <c r="C23" s="90">
        <f>VLOOKUP(A23,'Data Vlaue (Cr)'!C18:CY231,101,0)</f>
        <v>67</v>
      </c>
      <c r="D23" s="139">
        <f>VLOOKUP(A23,'Data Vlaue (Cr)'!C18:CZ231,102,0)</f>
        <v>2.47E-2</v>
      </c>
      <c r="E23" s="91">
        <f>VLOOKUP($A23,'Data Vlaue (Cr)'!$C:$FB,75)</f>
        <v>2050</v>
      </c>
      <c r="F23" s="91">
        <f>VLOOKUP($A23,'Data Vlaue (Cr)'!$C:$FB,77)</f>
        <v>-4</v>
      </c>
      <c r="G23" s="92">
        <f>VLOOKUP(A23,'Data Vlaue (Cr)'!C18:CB231,78,0)</f>
        <v>-1.8E-3</v>
      </c>
      <c r="H23" s="91">
        <f>VLOOKUP($A23,'Data Vlaue (Cr)'!$C:$FB,91)</f>
        <v>404</v>
      </c>
      <c r="I23" s="91">
        <f>VLOOKUP($A23,'Data Vlaue (Cr)'!$C:$FB,93)</f>
        <v>48</v>
      </c>
      <c r="J23" s="92">
        <f>VLOOKUP($A23,'Data Vlaue (Cr)'!$C:$FB,94)</f>
        <v>0.13489999999999999</v>
      </c>
      <c r="K23" s="91">
        <f>VLOOKUP($A23,'Data Vlaue (Cr)'!$C:$FB,95)</f>
        <v>314</v>
      </c>
      <c r="L23" s="91">
        <f>VLOOKUP($A23,'Data Vlaue (Cr)'!$C:$FB,97)</f>
        <v>22</v>
      </c>
      <c r="M23" s="92">
        <f>VLOOKUP($A23,'Data Vlaue (Cr)'!$C:$FB,98)</f>
        <v>7.6999999999999999E-2</v>
      </c>
      <c r="N23" s="91">
        <f>VLOOKUP($A23,'Data Vlaue (Cr)'!$C:$FB,79)</f>
        <v>2010</v>
      </c>
      <c r="O23" s="92">
        <f>VLOOKUP($A23,'Data Vlaue (Cr)'!$C:$FB,82)</f>
        <v>-2.5000000000000001E-3</v>
      </c>
    </row>
    <row r="24" spans="1:15" x14ac:dyDescent="0.25">
      <c r="A24" s="97" t="str">
        <f>'Data Vlaue (Cr)'!C19</f>
        <v>AUROPHARMA</v>
      </c>
      <c r="B24" s="142">
        <f>VLOOKUP(A24,'Data Vlaue (Cr)'!C19:CW232,99,0)</f>
        <v>3200</v>
      </c>
      <c r="C24" s="90">
        <f>VLOOKUP(A24,'Data Vlaue (Cr)'!C19:CY232,101,0)</f>
        <v>78</v>
      </c>
      <c r="D24" s="139">
        <f>VLOOKUP(A24,'Data Vlaue (Cr)'!C19:CZ232,102,0)</f>
        <v>2.5000000000000001E-2</v>
      </c>
      <c r="E24" s="91">
        <f>VLOOKUP($A24,'Data Vlaue (Cr)'!$C:$FB,75)</f>
        <v>2628</v>
      </c>
      <c r="F24" s="91">
        <f>VLOOKUP($A24,'Data Vlaue (Cr)'!$C:$FB,77)</f>
        <v>17</v>
      </c>
      <c r="G24" s="92">
        <f>VLOOKUP(A24,'Data Vlaue (Cr)'!C19:CB232,78,0)</f>
        <v>6.6E-3</v>
      </c>
      <c r="H24" s="91">
        <f>VLOOKUP($A24,'Data Vlaue (Cr)'!$C:$FB,91)</f>
        <v>362</v>
      </c>
      <c r="I24" s="91">
        <f>VLOOKUP($A24,'Data Vlaue (Cr)'!$C:$FB,93)</f>
        <v>39</v>
      </c>
      <c r="J24" s="92">
        <f>VLOOKUP($A24,'Data Vlaue (Cr)'!$C:$FB,94)</f>
        <v>0.11940000000000001</v>
      </c>
      <c r="K24" s="91">
        <f>VLOOKUP($A24,'Data Vlaue (Cr)'!$C:$FB,95)</f>
        <v>209</v>
      </c>
      <c r="L24" s="91">
        <f>VLOOKUP($A24,'Data Vlaue (Cr)'!$C:$FB,97)</f>
        <v>22</v>
      </c>
      <c r="M24" s="92">
        <f>VLOOKUP($A24,'Data Vlaue (Cr)'!$C:$FB,98)</f>
        <v>0.1181</v>
      </c>
      <c r="N24" s="91">
        <f>VLOOKUP($A24,'Data Vlaue (Cr)'!$C:$FB,79)</f>
        <v>2608</v>
      </c>
      <c r="O24" s="92">
        <f>VLOOKUP($A24,'Data Vlaue (Cr)'!$C:$FB,82)</f>
        <v>4.4000000000000003E-3</v>
      </c>
    </row>
    <row r="25" spans="1:15" x14ac:dyDescent="0.25">
      <c r="A25" s="97" t="str">
        <f>'Data Vlaue (Cr)'!C20</f>
        <v>AXISBANK</v>
      </c>
      <c r="B25" s="142">
        <f>VLOOKUP(A25,'Data Vlaue (Cr)'!C20:CW233,99,0)</f>
        <v>12541</v>
      </c>
      <c r="C25" s="90">
        <f>VLOOKUP(A25,'Data Vlaue (Cr)'!C20:CY233,101,0)</f>
        <v>268</v>
      </c>
      <c r="D25" s="139">
        <f>VLOOKUP(A25,'Data Vlaue (Cr)'!C20:CZ233,102,0)</f>
        <v>2.18E-2</v>
      </c>
      <c r="E25" s="91">
        <f>VLOOKUP($A25,'Data Vlaue (Cr)'!$C:$FB,75)</f>
        <v>9921</v>
      </c>
      <c r="F25" s="91">
        <f>VLOOKUP($A25,'Data Vlaue (Cr)'!$C:$FB,77)</f>
        <v>-1</v>
      </c>
      <c r="G25" s="92">
        <f>VLOOKUP(A25,'Data Vlaue (Cr)'!C20:CB233,78,0)</f>
        <v>-1E-4</v>
      </c>
      <c r="H25" s="91">
        <f>VLOOKUP($A25,'Data Vlaue (Cr)'!$C:$FB,91)</f>
        <v>1392</v>
      </c>
      <c r="I25" s="91">
        <f>VLOOKUP($A25,'Data Vlaue (Cr)'!$C:$FB,93)</f>
        <v>129</v>
      </c>
      <c r="J25" s="92">
        <f>VLOOKUP($A25,'Data Vlaue (Cr)'!$C:$FB,94)</f>
        <v>0.10249999999999999</v>
      </c>
      <c r="K25" s="91">
        <f>VLOOKUP($A25,'Data Vlaue (Cr)'!$C:$FB,95)</f>
        <v>1228</v>
      </c>
      <c r="L25" s="91">
        <f>VLOOKUP($A25,'Data Vlaue (Cr)'!$C:$FB,97)</f>
        <v>140</v>
      </c>
      <c r="M25" s="92">
        <f>VLOOKUP($A25,'Data Vlaue (Cr)'!$C:$FB,98)</f>
        <v>0.12820000000000001</v>
      </c>
      <c r="N25" s="91">
        <f>VLOOKUP($A25,'Data Vlaue (Cr)'!$C:$FB,79)</f>
        <v>9859</v>
      </c>
      <c r="O25" s="92">
        <f>VLOOKUP($A25,'Data Vlaue (Cr)'!$C:$FB,82)</f>
        <v>-5.0000000000000001E-4</v>
      </c>
    </row>
    <row r="26" spans="1:15" x14ac:dyDescent="0.25">
      <c r="A26" s="97" t="str">
        <f>'Data Vlaue (Cr)'!C21</f>
        <v>BAJAJ-AUTO</v>
      </c>
      <c r="B26" s="142">
        <f>VLOOKUP(A26,'Data Vlaue (Cr)'!C21:CW234,99,0)</f>
        <v>4904</v>
      </c>
      <c r="C26" s="90">
        <f>VLOOKUP(A26,'Data Vlaue (Cr)'!C21:CY234,101,0)</f>
        <v>471</v>
      </c>
      <c r="D26" s="139">
        <f>VLOOKUP(A26,'Data Vlaue (Cr)'!C21:CZ234,102,0)</f>
        <v>0.10630000000000001</v>
      </c>
      <c r="E26" s="91">
        <f>VLOOKUP($A26,'Data Vlaue (Cr)'!$C:$FB,75)</f>
        <v>3013</v>
      </c>
      <c r="F26" s="91">
        <f>VLOOKUP($A26,'Data Vlaue (Cr)'!$C:$FB,77)</f>
        <v>73</v>
      </c>
      <c r="G26" s="92">
        <f>VLOOKUP(A26,'Data Vlaue (Cr)'!C21:CB234,78,0)</f>
        <v>2.47E-2</v>
      </c>
      <c r="H26" s="91">
        <f>VLOOKUP($A26,'Data Vlaue (Cr)'!$C:$FB,91)</f>
        <v>1039</v>
      </c>
      <c r="I26" s="91">
        <f>VLOOKUP($A26,'Data Vlaue (Cr)'!$C:$FB,93)</f>
        <v>182</v>
      </c>
      <c r="J26" s="92">
        <f>VLOOKUP($A26,'Data Vlaue (Cr)'!$C:$FB,94)</f>
        <v>0.21240000000000001</v>
      </c>
      <c r="K26" s="91">
        <f>VLOOKUP($A26,'Data Vlaue (Cr)'!$C:$FB,95)</f>
        <v>852</v>
      </c>
      <c r="L26" s="91">
        <f>VLOOKUP($A26,'Data Vlaue (Cr)'!$C:$FB,97)</f>
        <v>217</v>
      </c>
      <c r="M26" s="92">
        <f>VLOOKUP($A26,'Data Vlaue (Cr)'!$C:$FB,98)</f>
        <v>0.34110000000000001</v>
      </c>
      <c r="N26" s="91">
        <f>VLOOKUP($A26,'Data Vlaue (Cr)'!$C:$FB,79)</f>
        <v>2970</v>
      </c>
      <c r="O26" s="92">
        <f>VLOOKUP($A26,'Data Vlaue (Cr)'!$C:$FB,82)</f>
        <v>2.3199999999999998E-2</v>
      </c>
    </row>
    <row r="27" spans="1:15" x14ac:dyDescent="0.25">
      <c r="A27" s="97" t="str">
        <f>'Data Vlaue (Cr)'!C22</f>
        <v>BAJAJFINSV</v>
      </c>
      <c r="B27" s="142">
        <f>VLOOKUP(A27,'Data Vlaue (Cr)'!C22:CW235,99,0)</f>
        <v>4777</v>
      </c>
      <c r="C27" s="90">
        <f>VLOOKUP(A27,'Data Vlaue (Cr)'!C22:CY235,101,0)</f>
        <v>117</v>
      </c>
      <c r="D27" s="139">
        <f>VLOOKUP(A27,'Data Vlaue (Cr)'!C22:CZ235,102,0)</f>
        <v>2.5000000000000001E-2</v>
      </c>
      <c r="E27" s="91">
        <f>VLOOKUP($A27,'Data Vlaue (Cr)'!$C:$FB,75)</f>
        <v>3656</v>
      </c>
      <c r="F27" s="91">
        <f>VLOOKUP($A27,'Data Vlaue (Cr)'!$C:$FB,77)</f>
        <v>-11</v>
      </c>
      <c r="G27" s="92">
        <f>VLOOKUP(A27,'Data Vlaue (Cr)'!C22:CB235,78,0)</f>
        <v>-2.8999999999999998E-3</v>
      </c>
      <c r="H27" s="91">
        <f>VLOOKUP($A27,'Data Vlaue (Cr)'!$C:$FB,91)</f>
        <v>601</v>
      </c>
      <c r="I27" s="91">
        <f>VLOOKUP($A27,'Data Vlaue (Cr)'!$C:$FB,93)</f>
        <v>84</v>
      </c>
      <c r="J27" s="92">
        <f>VLOOKUP($A27,'Data Vlaue (Cr)'!$C:$FB,94)</f>
        <v>0.16239999999999999</v>
      </c>
      <c r="K27" s="91">
        <f>VLOOKUP($A27,'Data Vlaue (Cr)'!$C:$FB,95)</f>
        <v>520</v>
      </c>
      <c r="L27" s="91">
        <f>VLOOKUP($A27,'Data Vlaue (Cr)'!$C:$FB,97)</f>
        <v>43</v>
      </c>
      <c r="M27" s="92">
        <f>VLOOKUP($A27,'Data Vlaue (Cr)'!$C:$FB,98)</f>
        <v>9.0899999999999995E-2</v>
      </c>
      <c r="N27" s="91">
        <f>VLOOKUP($A27,'Data Vlaue (Cr)'!$C:$FB,79)</f>
        <v>3612</v>
      </c>
      <c r="O27" s="92">
        <f>VLOOKUP($A27,'Data Vlaue (Cr)'!$C:$FB,82)</f>
        <v>-3.5000000000000001E-3</v>
      </c>
    </row>
    <row r="28" spans="1:15" x14ac:dyDescent="0.25">
      <c r="A28" s="97" t="str">
        <f>'Data Vlaue (Cr)'!C23</f>
        <v>BAJAJHLDNG</v>
      </c>
      <c r="B28" s="142">
        <f>VLOOKUP(A28,'Data Vlaue (Cr)'!C23:CW236,99,0)</f>
        <v>126</v>
      </c>
      <c r="C28" s="90">
        <f>VLOOKUP(A28,'Data Vlaue (Cr)'!C23:CY236,101,0)</f>
        <v>28</v>
      </c>
      <c r="D28" s="139">
        <f>VLOOKUP(A28,'Data Vlaue (Cr)'!C23:CZ236,102,0)</f>
        <v>0.28589999999999999</v>
      </c>
      <c r="E28" s="91">
        <f>VLOOKUP($A28,'Data Vlaue (Cr)'!$C:$FB,75)</f>
        <v>70</v>
      </c>
      <c r="F28" s="91">
        <f>VLOOKUP($A28,'Data Vlaue (Cr)'!$C:$FB,77)</f>
        <v>10</v>
      </c>
      <c r="G28" s="92">
        <f>VLOOKUP(A28,'Data Vlaue (Cr)'!C23:CB236,78,0)</f>
        <v>0.16700000000000001</v>
      </c>
      <c r="H28" s="91">
        <f>VLOOKUP($A28,'Data Vlaue (Cr)'!$C:$FB,91)</f>
        <v>45</v>
      </c>
      <c r="I28" s="91">
        <f>VLOOKUP($A28,'Data Vlaue (Cr)'!$C:$FB,93)</f>
        <v>12</v>
      </c>
      <c r="J28" s="92">
        <f>VLOOKUP($A28,'Data Vlaue (Cr)'!$C:$FB,94)</f>
        <v>0.3543</v>
      </c>
      <c r="K28" s="91">
        <f>VLOOKUP($A28,'Data Vlaue (Cr)'!$C:$FB,95)</f>
        <v>11</v>
      </c>
      <c r="L28" s="91">
        <f>VLOOKUP($A28,'Data Vlaue (Cr)'!$C:$FB,97)</f>
        <v>6</v>
      </c>
      <c r="M28" s="92">
        <f>VLOOKUP($A28,'Data Vlaue (Cr)'!$C:$FB,98)</f>
        <v>1.2674000000000001</v>
      </c>
      <c r="N28" s="91">
        <f>VLOOKUP($A28,'Data Vlaue (Cr)'!$C:$FB,79)</f>
        <v>69</v>
      </c>
      <c r="O28" s="92">
        <f>VLOOKUP($A28,'Data Vlaue (Cr)'!$C:$FB,82)</f>
        <v>0.1648</v>
      </c>
    </row>
    <row r="29" spans="1:15" x14ac:dyDescent="0.25">
      <c r="A29" s="97" t="str">
        <f>'Data Vlaue (Cr)'!C24</f>
        <v>BAJFINANCE</v>
      </c>
      <c r="B29" s="142">
        <f>VLOOKUP(A29,'Data Vlaue (Cr)'!C24:CW237,99,0)</f>
        <v>13099</v>
      </c>
      <c r="C29" s="90">
        <f>VLOOKUP(A29,'Data Vlaue (Cr)'!C24:CY237,101,0)</f>
        <v>837</v>
      </c>
      <c r="D29" s="139">
        <f>VLOOKUP(A29,'Data Vlaue (Cr)'!C24:CZ237,102,0)</f>
        <v>6.83E-2</v>
      </c>
      <c r="E29" s="91">
        <f>VLOOKUP($A29,'Data Vlaue (Cr)'!$C:$FB,75)</f>
        <v>9188</v>
      </c>
      <c r="F29" s="91">
        <f>VLOOKUP($A29,'Data Vlaue (Cr)'!$C:$FB,77)</f>
        <v>192</v>
      </c>
      <c r="G29" s="92">
        <f>VLOOKUP(A29,'Data Vlaue (Cr)'!C24:CB237,78,0)</f>
        <v>2.1399999999999999E-2</v>
      </c>
      <c r="H29" s="91">
        <f>VLOOKUP($A29,'Data Vlaue (Cr)'!$C:$FB,91)</f>
        <v>2289</v>
      </c>
      <c r="I29" s="91">
        <f>VLOOKUP($A29,'Data Vlaue (Cr)'!$C:$FB,93)</f>
        <v>411</v>
      </c>
      <c r="J29" s="92">
        <f>VLOOKUP($A29,'Data Vlaue (Cr)'!$C:$FB,94)</f>
        <v>0.21909999999999999</v>
      </c>
      <c r="K29" s="91">
        <f>VLOOKUP($A29,'Data Vlaue (Cr)'!$C:$FB,95)</f>
        <v>1621</v>
      </c>
      <c r="L29" s="91">
        <f>VLOOKUP($A29,'Data Vlaue (Cr)'!$C:$FB,97)</f>
        <v>233</v>
      </c>
      <c r="M29" s="92">
        <f>VLOOKUP($A29,'Data Vlaue (Cr)'!$C:$FB,98)</f>
        <v>0.16830000000000001</v>
      </c>
      <c r="N29" s="91">
        <f>VLOOKUP($A29,'Data Vlaue (Cr)'!$C:$FB,79)</f>
        <v>9040</v>
      </c>
      <c r="O29" s="92">
        <f>VLOOKUP($A29,'Data Vlaue (Cr)'!$C:$FB,82)</f>
        <v>1.9599999999999999E-2</v>
      </c>
    </row>
    <row r="30" spans="1:15" x14ac:dyDescent="0.25">
      <c r="A30" s="97" t="str">
        <f>'Data Vlaue (Cr)'!C25</f>
        <v>BANDHANBNK</v>
      </c>
      <c r="B30" s="142">
        <f>VLOOKUP(A30,'Data Vlaue (Cr)'!C25:CW238,99,0)</f>
        <v>2434</v>
      </c>
      <c r="C30" s="90">
        <f>VLOOKUP(A30,'Data Vlaue (Cr)'!C25:CY238,101,0)</f>
        <v>68</v>
      </c>
      <c r="D30" s="139">
        <f>VLOOKUP(A30,'Data Vlaue (Cr)'!C25:CZ238,102,0)</f>
        <v>2.8899999999999999E-2</v>
      </c>
      <c r="E30" s="91">
        <f>VLOOKUP($A30,'Data Vlaue (Cr)'!$C:$FB,75)</f>
        <v>1737</v>
      </c>
      <c r="F30" s="91">
        <f>VLOOKUP($A30,'Data Vlaue (Cr)'!$C:$FB,77)</f>
        <v>17</v>
      </c>
      <c r="G30" s="92">
        <f>VLOOKUP(A30,'Data Vlaue (Cr)'!C25:CB238,78,0)</f>
        <v>9.9000000000000008E-3</v>
      </c>
      <c r="H30" s="91">
        <f>VLOOKUP($A30,'Data Vlaue (Cr)'!$C:$FB,91)</f>
        <v>337</v>
      </c>
      <c r="I30" s="91">
        <f>VLOOKUP($A30,'Data Vlaue (Cr)'!$C:$FB,93)</f>
        <v>27</v>
      </c>
      <c r="J30" s="92">
        <f>VLOOKUP($A30,'Data Vlaue (Cr)'!$C:$FB,94)</f>
        <v>8.8499999999999995E-2</v>
      </c>
      <c r="K30" s="91">
        <f>VLOOKUP($A30,'Data Vlaue (Cr)'!$C:$FB,95)</f>
        <v>360</v>
      </c>
      <c r="L30" s="91">
        <f>VLOOKUP($A30,'Data Vlaue (Cr)'!$C:$FB,97)</f>
        <v>24</v>
      </c>
      <c r="M30" s="92">
        <f>VLOOKUP($A30,'Data Vlaue (Cr)'!$C:$FB,98)</f>
        <v>7.1400000000000005E-2</v>
      </c>
      <c r="N30" s="91">
        <f>VLOOKUP($A30,'Data Vlaue (Cr)'!$C:$FB,79)</f>
        <v>1655</v>
      </c>
      <c r="O30" s="92">
        <f>VLOOKUP($A30,'Data Vlaue (Cr)'!$C:$FB,82)</f>
        <v>5.1000000000000004E-3</v>
      </c>
    </row>
    <row r="31" spans="1:15" x14ac:dyDescent="0.25">
      <c r="A31" s="97" t="str">
        <f>'Data Vlaue (Cr)'!C26</f>
        <v>BANKBARODA</v>
      </c>
      <c r="B31" s="142">
        <f>VLOOKUP(A31,'Data Vlaue (Cr)'!C26:CW239,99,0)</f>
        <v>4081</v>
      </c>
      <c r="C31" s="90">
        <f>VLOOKUP(A31,'Data Vlaue (Cr)'!C26:CY239,101,0)</f>
        <v>358</v>
      </c>
      <c r="D31" s="139">
        <f>VLOOKUP(A31,'Data Vlaue (Cr)'!C26:CZ239,102,0)</f>
        <v>9.6299999999999997E-2</v>
      </c>
      <c r="E31" s="91">
        <f>VLOOKUP($A31,'Data Vlaue (Cr)'!$C:$FB,75)</f>
        <v>2522</v>
      </c>
      <c r="F31" s="91">
        <f>VLOOKUP($A31,'Data Vlaue (Cr)'!$C:$FB,77)</f>
        <v>52</v>
      </c>
      <c r="G31" s="92">
        <f>VLOOKUP(A31,'Data Vlaue (Cr)'!C26:CB239,78,0)</f>
        <v>2.0899999999999998E-2</v>
      </c>
      <c r="H31" s="91">
        <f>VLOOKUP($A31,'Data Vlaue (Cr)'!$C:$FB,91)</f>
        <v>817</v>
      </c>
      <c r="I31" s="91">
        <f>VLOOKUP($A31,'Data Vlaue (Cr)'!$C:$FB,93)</f>
        <v>218</v>
      </c>
      <c r="J31" s="92">
        <f>VLOOKUP($A31,'Data Vlaue (Cr)'!$C:$FB,94)</f>
        <v>0.36330000000000001</v>
      </c>
      <c r="K31" s="91">
        <f>VLOOKUP($A31,'Data Vlaue (Cr)'!$C:$FB,95)</f>
        <v>742</v>
      </c>
      <c r="L31" s="91">
        <f>VLOOKUP($A31,'Data Vlaue (Cr)'!$C:$FB,97)</f>
        <v>89</v>
      </c>
      <c r="M31" s="92">
        <f>VLOOKUP($A31,'Data Vlaue (Cr)'!$C:$FB,98)</f>
        <v>0.1363</v>
      </c>
      <c r="N31" s="91">
        <f>VLOOKUP($A31,'Data Vlaue (Cr)'!$C:$FB,79)</f>
        <v>2477</v>
      </c>
      <c r="O31" s="92">
        <f>VLOOKUP($A31,'Data Vlaue (Cr)'!$C:$FB,82)</f>
        <v>2.0500000000000001E-2</v>
      </c>
    </row>
    <row r="32" spans="1:15" x14ac:dyDescent="0.25">
      <c r="A32" s="97" t="str">
        <f>'Data Vlaue (Cr)'!C27</f>
        <v>BANKINDIA</v>
      </c>
      <c r="B32" s="142">
        <f>VLOOKUP(A32,'Data Vlaue (Cr)'!C27:CW240,99,0)</f>
        <v>1065</v>
      </c>
      <c r="C32" s="90">
        <f>VLOOKUP(A32,'Data Vlaue (Cr)'!C27:CY240,101,0)</f>
        <v>12</v>
      </c>
      <c r="D32" s="139">
        <f>VLOOKUP(A32,'Data Vlaue (Cr)'!C27:CZ240,102,0)</f>
        <v>1.15E-2</v>
      </c>
      <c r="E32" s="91">
        <f>VLOOKUP($A32,'Data Vlaue (Cr)'!$C:$FB,75)</f>
        <v>772</v>
      </c>
      <c r="F32" s="91">
        <f>VLOOKUP($A32,'Data Vlaue (Cr)'!$C:$FB,77)</f>
        <v>-10</v>
      </c>
      <c r="G32" s="92">
        <f>VLOOKUP(A32,'Data Vlaue (Cr)'!C27:CB240,78,0)</f>
        <v>-1.3100000000000001E-2</v>
      </c>
      <c r="H32" s="91">
        <f>VLOOKUP($A32,'Data Vlaue (Cr)'!$C:$FB,91)</f>
        <v>132</v>
      </c>
      <c r="I32" s="91">
        <f>VLOOKUP($A32,'Data Vlaue (Cr)'!$C:$FB,93)</f>
        <v>1</v>
      </c>
      <c r="J32" s="92">
        <f>VLOOKUP($A32,'Data Vlaue (Cr)'!$C:$FB,94)</f>
        <v>4.7000000000000002E-3</v>
      </c>
      <c r="K32" s="91">
        <f>VLOOKUP($A32,'Data Vlaue (Cr)'!$C:$FB,95)</f>
        <v>160</v>
      </c>
      <c r="L32" s="91">
        <f>VLOOKUP($A32,'Data Vlaue (Cr)'!$C:$FB,97)</f>
        <v>22</v>
      </c>
      <c r="M32" s="92">
        <f>VLOOKUP($A32,'Data Vlaue (Cr)'!$C:$FB,98)</f>
        <v>0.1565</v>
      </c>
      <c r="N32" s="91">
        <f>VLOOKUP($A32,'Data Vlaue (Cr)'!$C:$FB,79)</f>
        <v>759</v>
      </c>
      <c r="O32" s="92">
        <f>VLOOKUP($A32,'Data Vlaue (Cr)'!$C:$FB,82)</f>
        <v>-1.6400000000000001E-2</v>
      </c>
    </row>
    <row r="33" spans="1:15" x14ac:dyDescent="0.25">
      <c r="A33" s="97" t="str">
        <f>'Data Vlaue (Cr)'!C28</f>
        <v>BANKNIFTY</v>
      </c>
      <c r="B33" s="142">
        <f>VLOOKUP(A33,'Data Vlaue (Cr)'!C28:CW241,99,0)</f>
        <v>138164</v>
      </c>
      <c r="C33" s="90">
        <f>VLOOKUP(A33,'Data Vlaue (Cr)'!C28:CY241,101,0)</f>
        <v>10367</v>
      </c>
      <c r="D33" s="139">
        <f>VLOOKUP(A33,'Data Vlaue (Cr)'!C28:CZ241,102,0)</f>
        <v>8.1100000000000005E-2</v>
      </c>
      <c r="E33" s="91">
        <f>VLOOKUP($A33,'Data Vlaue (Cr)'!$C:$FB,75)</f>
        <v>8512</v>
      </c>
      <c r="F33" s="91">
        <f>VLOOKUP($A33,'Data Vlaue (Cr)'!$C:$FB,77)</f>
        <v>445</v>
      </c>
      <c r="G33" s="92">
        <f>VLOOKUP(A33,'Data Vlaue (Cr)'!C28:CB241,78,0)</f>
        <v>5.5199999999999999E-2</v>
      </c>
      <c r="H33" s="91">
        <f>VLOOKUP($A33,'Data Vlaue (Cr)'!$C:$FB,91)</f>
        <v>60670</v>
      </c>
      <c r="I33" s="91">
        <f>VLOOKUP($A33,'Data Vlaue (Cr)'!$C:$FB,93)</f>
        <v>4515</v>
      </c>
      <c r="J33" s="92">
        <f>VLOOKUP($A33,'Data Vlaue (Cr)'!$C:$FB,94)</f>
        <v>8.0399999999999999E-2</v>
      </c>
      <c r="K33" s="91">
        <f>VLOOKUP($A33,'Data Vlaue (Cr)'!$C:$FB,95)</f>
        <v>68982</v>
      </c>
      <c r="L33" s="91">
        <f>VLOOKUP($A33,'Data Vlaue (Cr)'!$C:$FB,97)</f>
        <v>5406</v>
      </c>
      <c r="M33" s="92">
        <f>VLOOKUP($A33,'Data Vlaue (Cr)'!$C:$FB,98)</f>
        <v>8.5000000000000006E-2</v>
      </c>
      <c r="N33" s="91">
        <f>VLOOKUP($A33,'Data Vlaue (Cr)'!$C:$FB,79)</f>
        <v>7897</v>
      </c>
      <c r="O33" s="92">
        <f>VLOOKUP($A33,'Data Vlaue (Cr)'!$C:$FB,82)</f>
        <v>5.5500000000000001E-2</v>
      </c>
    </row>
    <row r="34" spans="1:15" x14ac:dyDescent="0.25">
      <c r="A34" s="97" t="str">
        <f>'Data Vlaue (Cr)'!C29</f>
        <v>BDL</v>
      </c>
      <c r="B34" s="142">
        <f>VLOOKUP(A34,'Data Vlaue (Cr)'!C29:CW242,99,0)</f>
        <v>1540</v>
      </c>
      <c r="C34" s="90">
        <f>VLOOKUP(A34,'Data Vlaue (Cr)'!C29:CY242,101,0)</f>
        <v>14</v>
      </c>
      <c r="D34" s="139">
        <f>VLOOKUP(A34,'Data Vlaue (Cr)'!C29:CZ242,102,0)</f>
        <v>9.4000000000000004E-3</v>
      </c>
      <c r="E34" s="91">
        <f>VLOOKUP($A34,'Data Vlaue (Cr)'!$C:$FB,75)</f>
        <v>779</v>
      </c>
      <c r="F34" s="91">
        <f>VLOOKUP($A34,'Data Vlaue (Cr)'!$C:$FB,77)</f>
        <v>-10</v>
      </c>
      <c r="G34" s="92">
        <f>VLOOKUP(A34,'Data Vlaue (Cr)'!C29:CB242,78,0)</f>
        <v>-1.2999999999999999E-2</v>
      </c>
      <c r="H34" s="91">
        <f>VLOOKUP($A34,'Data Vlaue (Cr)'!$C:$FB,91)</f>
        <v>401</v>
      </c>
      <c r="I34" s="91">
        <f>VLOOKUP($A34,'Data Vlaue (Cr)'!$C:$FB,93)</f>
        <v>16</v>
      </c>
      <c r="J34" s="92">
        <f>VLOOKUP($A34,'Data Vlaue (Cr)'!$C:$FB,94)</f>
        <v>4.1599999999999998E-2</v>
      </c>
      <c r="K34" s="91">
        <f>VLOOKUP($A34,'Data Vlaue (Cr)'!$C:$FB,95)</f>
        <v>361</v>
      </c>
      <c r="L34" s="91">
        <f>VLOOKUP($A34,'Data Vlaue (Cr)'!$C:$FB,97)</f>
        <v>9</v>
      </c>
      <c r="M34" s="92">
        <f>VLOOKUP($A34,'Data Vlaue (Cr)'!$C:$FB,98)</f>
        <v>2.4400000000000002E-2</v>
      </c>
      <c r="N34" s="91">
        <f>VLOOKUP($A34,'Data Vlaue (Cr)'!$C:$FB,79)</f>
        <v>722</v>
      </c>
      <c r="O34" s="92">
        <f>VLOOKUP($A34,'Data Vlaue (Cr)'!$C:$FB,82)</f>
        <v>-1.4500000000000001E-2</v>
      </c>
    </row>
    <row r="35" spans="1:15" x14ac:dyDescent="0.25">
      <c r="A35" s="97" t="str">
        <f>'Data Vlaue (Cr)'!C30</f>
        <v>BEL</v>
      </c>
      <c r="B35" s="142">
        <f>VLOOKUP(A35,'Data Vlaue (Cr)'!C30:CW243,99,0)</f>
        <v>7767</v>
      </c>
      <c r="C35" s="90">
        <f>VLOOKUP(A35,'Data Vlaue (Cr)'!C30:CY243,101,0)</f>
        <v>105</v>
      </c>
      <c r="D35" s="139">
        <f>VLOOKUP(A35,'Data Vlaue (Cr)'!C30:CZ243,102,0)</f>
        <v>1.37E-2</v>
      </c>
      <c r="E35" s="91">
        <f>VLOOKUP($A35,'Data Vlaue (Cr)'!$C:$FB,75)</f>
        <v>4953</v>
      </c>
      <c r="F35" s="91">
        <f>VLOOKUP($A35,'Data Vlaue (Cr)'!$C:$FB,77)</f>
        <v>25</v>
      </c>
      <c r="G35" s="92">
        <f>VLOOKUP(A35,'Data Vlaue (Cr)'!C30:CB243,78,0)</f>
        <v>5.1000000000000004E-3</v>
      </c>
      <c r="H35" s="91">
        <f>VLOOKUP($A35,'Data Vlaue (Cr)'!$C:$FB,91)</f>
        <v>1672</v>
      </c>
      <c r="I35" s="91">
        <f>VLOOKUP($A35,'Data Vlaue (Cr)'!$C:$FB,93)</f>
        <v>62</v>
      </c>
      <c r="J35" s="92">
        <f>VLOOKUP($A35,'Data Vlaue (Cr)'!$C:$FB,94)</f>
        <v>3.8600000000000002E-2</v>
      </c>
      <c r="K35" s="91">
        <f>VLOOKUP($A35,'Data Vlaue (Cr)'!$C:$FB,95)</f>
        <v>1142</v>
      </c>
      <c r="L35" s="91">
        <f>VLOOKUP($A35,'Data Vlaue (Cr)'!$C:$FB,97)</f>
        <v>18</v>
      </c>
      <c r="M35" s="92">
        <f>VLOOKUP($A35,'Data Vlaue (Cr)'!$C:$FB,98)</f>
        <v>1.5800000000000002E-2</v>
      </c>
      <c r="N35" s="91">
        <f>VLOOKUP($A35,'Data Vlaue (Cr)'!$C:$FB,79)</f>
        <v>4757</v>
      </c>
      <c r="O35" s="92">
        <f>VLOOKUP($A35,'Data Vlaue (Cr)'!$C:$FB,82)</f>
        <v>2.8999999999999998E-3</v>
      </c>
    </row>
    <row r="36" spans="1:15" x14ac:dyDescent="0.25">
      <c r="A36" s="97" t="str">
        <f>'Data Vlaue (Cr)'!C31</f>
        <v>BHARATFORG</v>
      </c>
      <c r="B36" s="142">
        <f>VLOOKUP(A36,'Data Vlaue (Cr)'!C31:CW244,99,0)</f>
        <v>1869</v>
      </c>
      <c r="C36" s="90">
        <f>VLOOKUP(A36,'Data Vlaue (Cr)'!C31:CY244,101,0)</f>
        <v>59</v>
      </c>
      <c r="D36" s="139">
        <f>VLOOKUP(A36,'Data Vlaue (Cr)'!C31:CZ244,102,0)</f>
        <v>3.2300000000000002E-2</v>
      </c>
      <c r="E36" s="91">
        <f>VLOOKUP($A36,'Data Vlaue (Cr)'!$C:$FB,75)</f>
        <v>1233</v>
      </c>
      <c r="F36" s="91">
        <f>VLOOKUP($A36,'Data Vlaue (Cr)'!$C:$FB,77)</f>
        <v>39</v>
      </c>
      <c r="G36" s="92">
        <f>VLOOKUP(A36,'Data Vlaue (Cr)'!C31:CB244,78,0)</f>
        <v>3.2899999999999999E-2</v>
      </c>
      <c r="H36" s="91">
        <f>VLOOKUP($A36,'Data Vlaue (Cr)'!$C:$FB,91)</f>
        <v>402</v>
      </c>
      <c r="I36" s="91">
        <f>VLOOKUP($A36,'Data Vlaue (Cr)'!$C:$FB,93)</f>
        <v>6</v>
      </c>
      <c r="J36" s="92">
        <f>VLOOKUP($A36,'Data Vlaue (Cr)'!$C:$FB,94)</f>
        <v>1.49E-2</v>
      </c>
      <c r="K36" s="91">
        <f>VLOOKUP($A36,'Data Vlaue (Cr)'!$C:$FB,95)</f>
        <v>234</v>
      </c>
      <c r="L36" s="91">
        <f>VLOOKUP($A36,'Data Vlaue (Cr)'!$C:$FB,97)</f>
        <v>13</v>
      </c>
      <c r="M36" s="92">
        <f>VLOOKUP($A36,'Data Vlaue (Cr)'!$C:$FB,98)</f>
        <v>6.0299999999999999E-2</v>
      </c>
      <c r="N36" s="91">
        <f>VLOOKUP($A36,'Data Vlaue (Cr)'!$C:$FB,79)</f>
        <v>1213</v>
      </c>
      <c r="O36" s="92">
        <f>VLOOKUP($A36,'Data Vlaue (Cr)'!$C:$FB,82)</f>
        <v>3.32E-2</v>
      </c>
    </row>
    <row r="37" spans="1:15" x14ac:dyDescent="0.25">
      <c r="A37" s="97" t="str">
        <f>'Data Vlaue (Cr)'!C32</f>
        <v>BHARTIARTL</v>
      </c>
      <c r="B37" s="142">
        <f>VLOOKUP(A37,'Data Vlaue (Cr)'!C32:CW245,99,0)</f>
        <v>12584</v>
      </c>
      <c r="C37" s="90">
        <f>VLOOKUP(A37,'Data Vlaue (Cr)'!C32:CY245,101,0)</f>
        <v>279</v>
      </c>
      <c r="D37" s="139">
        <f>VLOOKUP(A37,'Data Vlaue (Cr)'!C32:CZ245,102,0)</f>
        <v>2.2700000000000001E-2</v>
      </c>
      <c r="E37" s="91">
        <f>VLOOKUP($A37,'Data Vlaue (Cr)'!$C:$FB,75)</f>
        <v>10290</v>
      </c>
      <c r="F37" s="91">
        <f>VLOOKUP($A37,'Data Vlaue (Cr)'!$C:$FB,77)</f>
        <v>41</v>
      </c>
      <c r="G37" s="92">
        <f>VLOOKUP(A37,'Data Vlaue (Cr)'!C32:CB245,78,0)</f>
        <v>4.0000000000000001E-3</v>
      </c>
      <c r="H37" s="91">
        <f>VLOOKUP($A37,'Data Vlaue (Cr)'!$C:$FB,91)</f>
        <v>1384</v>
      </c>
      <c r="I37" s="91">
        <f>VLOOKUP($A37,'Data Vlaue (Cr)'!$C:$FB,93)</f>
        <v>141</v>
      </c>
      <c r="J37" s="92">
        <f>VLOOKUP($A37,'Data Vlaue (Cr)'!$C:$FB,94)</f>
        <v>0.113</v>
      </c>
      <c r="K37" s="91">
        <f>VLOOKUP($A37,'Data Vlaue (Cr)'!$C:$FB,95)</f>
        <v>910</v>
      </c>
      <c r="L37" s="91">
        <f>VLOOKUP($A37,'Data Vlaue (Cr)'!$C:$FB,97)</f>
        <v>97</v>
      </c>
      <c r="M37" s="92">
        <f>VLOOKUP($A37,'Data Vlaue (Cr)'!$C:$FB,98)</f>
        <v>0.1196</v>
      </c>
      <c r="N37" s="91">
        <f>VLOOKUP($A37,'Data Vlaue (Cr)'!$C:$FB,79)</f>
        <v>9864</v>
      </c>
      <c r="O37" s="92">
        <f>VLOOKUP($A37,'Data Vlaue (Cr)'!$C:$FB,82)</f>
        <v>3.3E-3</v>
      </c>
    </row>
    <row r="38" spans="1:15" x14ac:dyDescent="0.25">
      <c r="A38" s="97" t="str">
        <f>'Data Vlaue (Cr)'!C33</f>
        <v>BHEL</v>
      </c>
      <c r="B38" s="142">
        <f>VLOOKUP(A38,'Data Vlaue (Cr)'!C33:CW246,99,0)</f>
        <v>3394</v>
      </c>
      <c r="C38" s="90">
        <f>VLOOKUP(A38,'Data Vlaue (Cr)'!C33:CY246,101,0)</f>
        <v>176</v>
      </c>
      <c r="D38" s="139">
        <f>VLOOKUP(A38,'Data Vlaue (Cr)'!C33:CZ246,102,0)</f>
        <v>5.4699999999999999E-2</v>
      </c>
      <c r="E38" s="91">
        <f>VLOOKUP($A38,'Data Vlaue (Cr)'!$C:$FB,75)</f>
        <v>2005</v>
      </c>
      <c r="F38" s="91">
        <f>VLOOKUP($A38,'Data Vlaue (Cr)'!$C:$FB,77)</f>
        <v>45</v>
      </c>
      <c r="G38" s="92">
        <f>VLOOKUP(A38,'Data Vlaue (Cr)'!C33:CB246,78,0)</f>
        <v>2.3199999999999998E-2</v>
      </c>
      <c r="H38" s="91">
        <f>VLOOKUP($A38,'Data Vlaue (Cr)'!$C:$FB,91)</f>
        <v>877</v>
      </c>
      <c r="I38" s="91">
        <f>VLOOKUP($A38,'Data Vlaue (Cr)'!$C:$FB,93)</f>
        <v>59</v>
      </c>
      <c r="J38" s="92">
        <f>VLOOKUP($A38,'Data Vlaue (Cr)'!$C:$FB,94)</f>
        <v>7.2499999999999995E-2</v>
      </c>
      <c r="K38" s="91">
        <f>VLOOKUP($A38,'Data Vlaue (Cr)'!$C:$FB,95)</f>
        <v>512</v>
      </c>
      <c r="L38" s="91">
        <f>VLOOKUP($A38,'Data Vlaue (Cr)'!$C:$FB,97)</f>
        <v>71</v>
      </c>
      <c r="M38" s="92">
        <f>VLOOKUP($A38,'Data Vlaue (Cr)'!$C:$FB,98)</f>
        <v>0.16189999999999999</v>
      </c>
      <c r="N38" s="91">
        <f>VLOOKUP($A38,'Data Vlaue (Cr)'!$C:$FB,79)</f>
        <v>1959</v>
      </c>
      <c r="O38" s="92">
        <f>VLOOKUP($A38,'Data Vlaue (Cr)'!$C:$FB,82)</f>
        <v>2.2499999999999999E-2</v>
      </c>
    </row>
    <row r="39" spans="1:15" x14ac:dyDescent="0.25">
      <c r="A39" s="97" t="str">
        <f>'Data Vlaue (Cr)'!C34</f>
        <v>BIOCON</v>
      </c>
      <c r="B39" s="142">
        <f>VLOOKUP(A39,'Data Vlaue (Cr)'!C34:CW247,99,0)</f>
        <v>2549</v>
      </c>
      <c r="C39" s="90">
        <f>VLOOKUP(A39,'Data Vlaue (Cr)'!C34:CY247,101,0)</f>
        <v>82</v>
      </c>
      <c r="D39" s="139">
        <f>VLOOKUP(A39,'Data Vlaue (Cr)'!C34:CZ247,102,0)</f>
        <v>3.3099999999999997E-2</v>
      </c>
      <c r="E39" s="91">
        <f>VLOOKUP($A39,'Data Vlaue (Cr)'!$C:$FB,75)</f>
        <v>1757</v>
      </c>
      <c r="F39" s="91">
        <f>VLOOKUP($A39,'Data Vlaue (Cr)'!$C:$FB,77)</f>
        <v>12</v>
      </c>
      <c r="G39" s="92">
        <f>VLOOKUP(A39,'Data Vlaue (Cr)'!C34:CB247,78,0)</f>
        <v>7.0000000000000001E-3</v>
      </c>
      <c r="H39" s="91">
        <f>VLOOKUP($A39,'Data Vlaue (Cr)'!$C:$FB,91)</f>
        <v>481</v>
      </c>
      <c r="I39" s="91">
        <f>VLOOKUP($A39,'Data Vlaue (Cr)'!$C:$FB,93)</f>
        <v>42</v>
      </c>
      <c r="J39" s="92">
        <f>VLOOKUP($A39,'Data Vlaue (Cr)'!$C:$FB,94)</f>
        <v>9.5899999999999999E-2</v>
      </c>
      <c r="K39" s="91">
        <f>VLOOKUP($A39,'Data Vlaue (Cr)'!$C:$FB,95)</f>
        <v>312</v>
      </c>
      <c r="L39" s="91">
        <f>VLOOKUP($A39,'Data Vlaue (Cr)'!$C:$FB,97)</f>
        <v>27</v>
      </c>
      <c r="M39" s="92">
        <f>VLOOKUP($A39,'Data Vlaue (Cr)'!$C:$FB,98)</f>
        <v>9.6500000000000002E-2</v>
      </c>
      <c r="N39" s="91">
        <f>VLOOKUP($A39,'Data Vlaue (Cr)'!$C:$FB,79)</f>
        <v>1729</v>
      </c>
      <c r="O39" s="92">
        <f>VLOOKUP($A39,'Data Vlaue (Cr)'!$C:$FB,82)</f>
        <v>3.5999999999999999E-3</v>
      </c>
    </row>
    <row r="40" spans="1:15" x14ac:dyDescent="0.25">
      <c r="A40" s="97" t="str">
        <f>'Data Vlaue (Cr)'!C35</f>
        <v>BLUESTARCO</v>
      </c>
      <c r="B40" s="142">
        <f>VLOOKUP(A40,'Data Vlaue (Cr)'!C35:CW248,99,0)</f>
        <v>503</v>
      </c>
      <c r="C40" s="90">
        <f>VLOOKUP(A40,'Data Vlaue (Cr)'!C35:CY248,101,0)</f>
        <v>34</v>
      </c>
      <c r="D40" s="139">
        <f>VLOOKUP(A40,'Data Vlaue (Cr)'!C35:CZ248,102,0)</f>
        <v>7.2900000000000006E-2</v>
      </c>
      <c r="E40" s="91">
        <f>VLOOKUP($A40,'Data Vlaue (Cr)'!$C:$FB,75)</f>
        <v>431</v>
      </c>
      <c r="F40" s="91">
        <f>VLOOKUP($A40,'Data Vlaue (Cr)'!$C:$FB,77)</f>
        <v>16</v>
      </c>
      <c r="G40" s="92">
        <f>VLOOKUP(A40,'Data Vlaue (Cr)'!C35:CB248,78,0)</f>
        <v>3.8699999999999998E-2</v>
      </c>
      <c r="H40" s="91">
        <f>VLOOKUP($A40,'Data Vlaue (Cr)'!$C:$FB,91)</f>
        <v>36</v>
      </c>
      <c r="I40" s="91">
        <f>VLOOKUP($A40,'Data Vlaue (Cr)'!$C:$FB,93)</f>
        <v>7</v>
      </c>
      <c r="J40" s="92">
        <f>VLOOKUP($A40,'Data Vlaue (Cr)'!$C:$FB,94)</f>
        <v>0.25850000000000001</v>
      </c>
      <c r="K40" s="91">
        <f>VLOOKUP($A40,'Data Vlaue (Cr)'!$C:$FB,95)</f>
        <v>36</v>
      </c>
      <c r="L40" s="91">
        <f>VLOOKUP($A40,'Data Vlaue (Cr)'!$C:$FB,97)</f>
        <v>11</v>
      </c>
      <c r="M40" s="92">
        <f>VLOOKUP($A40,'Data Vlaue (Cr)'!$C:$FB,98)</f>
        <v>0.4279</v>
      </c>
      <c r="N40" s="91">
        <f>VLOOKUP($A40,'Data Vlaue (Cr)'!$C:$FB,79)</f>
        <v>428</v>
      </c>
      <c r="O40" s="92">
        <f>VLOOKUP($A40,'Data Vlaue (Cr)'!$C:$FB,82)</f>
        <v>3.8399999999999997E-2</v>
      </c>
    </row>
    <row r="41" spans="1:15" x14ac:dyDescent="0.25">
      <c r="A41" s="97" t="str">
        <f>'Data Vlaue (Cr)'!C36</f>
        <v>BOSCHLTD</v>
      </c>
      <c r="B41" s="142">
        <f>VLOOKUP(A41,'Data Vlaue (Cr)'!C36:CW249,99,0)</f>
        <v>937</v>
      </c>
      <c r="C41" s="90">
        <f>VLOOKUP(A41,'Data Vlaue (Cr)'!C36:CY249,101,0)</f>
        <v>52</v>
      </c>
      <c r="D41" s="139">
        <f>VLOOKUP(A41,'Data Vlaue (Cr)'!C36:CZ249,102,0)</f>
        <v>5.8500000000000003E-2</v>
      </c>
      <c r="E41" s="91">
        <f>VLOOKUP($A41,'Data Vlaue (Cr)'!$C:$FB,75)</f>
        <v>700</v>
      </c>
      <c r="F41" s="91">
        <f>VLOOKUP($A41,'Data Vlaue (Cr)'!$C:$FB,77)</f>
        <v>2</v>
      </c>
      <c r="G41" s="92">
        <f>VLOOKUP(A41,'Data Vlaue (Cr)'!C36:CB249,78,0)</f>
        <v>2.8999999999999998E-3</v>
      </c>
      <c r="H41" s="91">
        <f>VLOOKUP($A41,'Data Vlaue (Cr)'!$C:$FB,91)</f>
        <v>113</v>
      </c>
      <c r="I41" s="91">
        <f>VLOOKUP($A41,'Data Vlaue (Cr)'!$C:$FB,93)</f>
        <v>17</v>
      </c>
      <c r="J41" s="92">
        <f>VLOOKUP($A41,'Data Vlaue (Cr)'!$C:$FB,94)</f>
        <v>0.18140000000000001</v>
      </c>
      <c r="K41" s="91">
        <f>VLOOKUP($A41,'Data Vlaue (Cr)'!$C:$FB,95)</f>
        <v>124</v>
      </c>
      <c r="L41" s="91">
        <f>VLOOKUP($A41,'Data Vlaue (Cr)'!$C:$FB,97)</f>
        <v>32</v>
      </c>
      <c r="M41" s="92">
        <f>VLOOKUP($A41,'Data Vlaue (Cr)'!$C:$FB,98)</f>
        <v>0.3538</v>
      </c>
      <c r="N41" s="91">
        <f>VLOOKUP($A41,'Data Vlaue (Cr)'!$C:$FB,79)</f>
        <v>691</v>
      </c>
      <c r="O41" s="92">
        <f>VLOOKUP($A41,'Data Vlaue (Cr)'!$C:$FB,82)</f>
        <v>2.2000000000000001E-3</v>
      </c>
    </row>
    <row r="42" spans="1:15" x14ac:dyDescent="0.25">
      <c r="A42" s="97" t="str">
        <f>'Data Vlaue (Cr)'!C37</f>
        <v>BPCL</v>
      </c>
      <c r="B42" s="142">
        <f>VLOOKUP(A42,'Data Vlaue (Cr)'!C37:CW250,99,0)</f>
        <v>1730</v>
      </c>
      <c r="C42" s="90">
        <f>VLOOKUP(A42,'Data Vlaue (Cr)'!C37:CY250,101,0)</f>
        <v>95</v>
      </c>
      <c r="D42" s="139">
        <f>VLOOKUP(A42,'Data Vlaue (Cr)'!C37:CZ250,102,0)</f>
        <v>5.8000000000000003E-2</v>
      </c>
      <c r="E42" s="91">
        <f>VLOOKUP($A42,'Data Vlaue (Cr)'!$C:$FB,75)</f>
        <v>1059</v>
      </c>
      <c r="F42" s="91">
        <f>VLOOKUP($A42,'Data Vlaue (Cr)'!$C:$FB,77)</f>
        <v>38</v>
      </c>
      <c r="G42" s="92">
        <f>VLOOKUP(A42,'Data Vlaue (Cr)'!C37:CB250,78,0)</f>
        <v>3.7499999999999999E-2</v>
      </c>
      <c r="H42" s="91">
        <f>VLOOKUP($A42,'Data Vlaue (Cr)'!$C:$FB,91)</f>
        <v>405</v>
      </c>
      <c r="I42" s="91">
        <f>VLOOKUP($A42,'Data Vlaue (Cr)'!$C:$FB,93)</f>
        <v>63</v>
      </c>
      <c r="J42" s="92">
        <f>VLOOKUP($A42,'Data Vlaue (Cr)'!$C:$FB,94)</f>
        <v>0.18290000000000001</v>
      </c>
      <c r="K42" s="91">
        <f>VLOOKUP($A42,'Data Vlaue (Cr)'!$C:$FB,95)</f>
        <v>266</v>
      </c>
      <c r="L42" s="91">
        <f>VLOOKUP($A42,'Data Vlaue (Cr)'!$C:$FB,97)</f>
        <v>-6</v>
      </c>
      <c r="M42" s="92">
        <f>VLOOKUP($A42,'Data Vlaue (Cr)'!$C:$FB,98)</f>
        <v>-2.1700000000000001E-2</v>
      </c>
      <c r="N42" s="91">
        <f>VLOOKUP($A42,'Data Vlaue (Cr)'!$C:$FB,79)</f>
        <v>1018</v>
      </c>
      <c r="O42" s="92">
        <f>VLOOKUP($A42,'Data Vlaue (Cr)'!$C:$FB,82)</f>
        <v>3.3399999999999999E-2</v>
      </c>
    </row>
    <row r="43" spans="1:15" x14ac:dyDescent="0.25">
      <c r="A43" s="97" t="str">
        <f>'Data Vlaue (Cr)'!C38</f>
        <v>BRITANNIA</v>
      </c>
      <c r="B43" s="142">
        <f>VLOOKUP(A43,'Data Vlaue (Cr)'!C38:CW251,99,0)</f>
        <v>2119</v>
      </c>
      <c r="C43" s="90">
        <f>VLOOKUP(A43,'Data Vlaue (Cr)'!C38:CY251,101,0)</f>
        <v>133</v>
      </c>
      <c r="D43" s="139">
        <f>VLOOKUP(A43,'Data Vlaue (Cr)'!C38:CZ251,102,0)</f>
        <v>6.6900000000000001E-2</v>
      </c>
      <c r="E43" s="91">
        <f>VLOOKUP($A43,'Data Vlaue (Cr)'!$C:$FB,75)</f>
        <v>1734</v>
      </c>
      <c r="F43" s="91">
        <f>VLOOKUP($A43,'Data Vlaue (Cr)'!$C:$FB,77)</f>
        <v>11</v>
      </c>
      <c r="G43" s="92">
        <f>VLOOKUP(A43,'Data Vlaue (Cr)'!C38:CB251,78,0)</f>
        <v>6.3E-3</v>
      </c>
      <c r="H43" s="91">
        <f>VLOOKUP($A43,'Data Vlaue (Cr)'!$C:$FB,91)</f>
        <v>268</v>
      </c>
      <c r="I43" s="91">
        <f>VLOOKUP($A43,'Data Vlaue (Cr)'!$C:$FB,93)</f>
        <v>94</v>
      </c>
      <c r="J43" s="92">
        <f>VLOOKUP($A43,'Data Vlaue (Cr)'!$C:$FB,94)</f>
        <v>0.53749999999999998</v>
      </c>
      <c r="K43" s="91">
        <f>VLOOKUP($A43,'Data Vlaue (Cr)'!$C:$FB,95)</f>
        <v>117</v>
      </c>
      <c r="L43" s="91">
        <f>VLOOKUP($A43,'Data Vlaue (Cr)'!$C:$FB,97)</f>
        <v>28</v>
      </c>
      <c r="M43" s="92">
        <f>VLOOKUP($A43,'Data Vlaue (Cr)'!$C:$FB,98)</f>
        <v>0.31630000000000003</v>
      </c>
      <c r="N43" s="91">
        <f>VLOOKUP($A43,'Data Vlaue (Cr)'!$C:$FB,79)</f>
        <v>1728</v>
      </c>
      <c r="O43" s="92">
        <f>VLOOKUP($A43,'Data Vlaue (Cr)'!$C:$FB,82)</f>
        <v>6.3E-3</v>
      </c>
    </row>
    <row r="44" spans="1:15" x14ac:dyDescent="0.25">
      <c r="A44" s="97" t="str">
        <f>'Data Vlaue (Cr)'!C39</f>
        <v>BSE</v>
      </c>
      <c r="B44" s="142">
        <f>VLOOKUP(A44,'Data Vlaue (Cr)'!C39:CW252,99,0)</f>
        <v>6099</v>
      </c>
      <c r="C44" s="90">
        <f>VLOOKUP(A44,'Data Vlaue (Cr)'!C39:CY252,101,0)</f>
        <v>199</v>
      </c>
      <c r="D44" s="139">
        <f>VLOOKUP(A44,'Data Vlaue (Cr)'!C39:CZ252,102,0)</f>
        <v>3.3599999999999998E-2</v>
      </c>
      <c r="E44" s="91">
        <f>VLOOKUP($A44,'Data Vlaue (Cr)'!$C:$FB,75)</f>
        <v>3186</v>
      </c>
      <c r="F44" s="91">
        <f>VLOOKUP($A44,'Data Vlaue (Cr)'!$C:$FB,77)</f>
        <v>33</v>
      </c>
      <c r="G44" s="92">
        <f>VLOOKUP(A44,'Data Vlaue (Cr)'!C39:CB252,78,0)</f>
        <v>1.03E-2</v>
      </c>
      <c r="H44" s="91">
        <f>VLOOKUP($A44,'Data Vlaue (Cr)'!$C:$FB,91)</f>
        <v>1759</v>
      </c>
      <c r="I44" s="91">
        <f>VLOOKUP($A44,'Data Vlaue (Cr)'!$C:$FB,93)</f>
        <v>127</v>
      </c>
      <c r="J44" s="92">
        <f>VLOOKUP($A44,'Data Vlaue (Cr)'!$C:$FB,94)</f>
        <v>7.7600000000000002E-2</v>
      </c>
      <c r="K44" s="91">
        <f>VLOOKUP($A44,'Data Vlaue (Cr)'!$C:$FB,95)</f>
        <v>1154</v>
      </c>
      <c r="L44" s="91">
        <f>VLOOKUP($A44,'Data Vlaue (Cr)'!$C:$FB,97)</f>
        <v>39</v>
      </c>
      <c r="M44" s="92">
        <f>VLOOKUP($A44,'Data Vlaue (Cr)'!$C:$FB,98)</f>
        <v>3.5099999999999999E-2</v>
      </c>
      <c r="N44" s="91">
        <f>VLOOKUP($A44,'Data Vlaue (Cr)'!$C:$FB,79)</f>
        <v>3048</v>
      </c>
      <c r="O44" s="92">
        <f>VLOOKUP($A44,'Data Vlaue (Cr)'!$C:$FB,82)</f>
        <v>0.01</v>
      </c>
    </row>
    <row r="45" spans="1:15" x14ac:dyDescent="0.25">
      <c r="A45" s="97" t="str">
        <f>'Data Vlaue (Cr)'!C40</f>
        <v>CAMS</v>
      </c>
      <c r="B45" s="142">
        <f>VLOOKUP(A45,'Data Vlaue (Cr)'!C40:CW253,99,0)</f>
        <v>892</v>
      </c>
      <c r="C45" s="90">
        <f>VLOOKUP(A45,'Data Vlaue (Cr)'!C40:CY253,101,0)</f>
        <v>13</v>
      </c>
      <c r="D45" s="139">
        <f>VLOOKUP(A45,'Data Vlaue (Cr)'!C40:CZ253,102,0)</f>
        <v>1.52E-2</v>
      </c>
      <c r="E45" s="91">
        <f>VLOOKUP($A45,'Data Vlaue (Cr)'!$C:$FB,75)</f>
        <v>574</v>
      </c>
      <c r="F45" s="91">
        <f>VLOOKUP($A45,'Data Vlaue (Cr)'!$C:$FB,77)</f>
        <v>-2</v>
      </c>
      <c r="G45" s="92">
        <f>VLOOKUP(A45,'Data Vlaue (Cr)'!C40:CB253,78,0)</f>
        <v>-2.7000000000000001E-3</v>
      </c>
      <c r="H45" s="91">
        <f>VLOOKUP($A45,'Data Vlaue (Cr)'!$C:$FB,91)</f>
        <v>161</v>
      </c>
      <c r="I45" s="91">
        <f>VLOOKUP($A45,'Data Vlaue (Cr)'!$C:$FB,93)</f>
        <v>9</v>
      </c>
      <c r="J45" s="92">
        <f>VLOOKUP($A45,'Data Vlaue (Cr)'!$C:$FB,94)</f>
        <v>5.8900000000000001E-2</v>
      </c>
      <c r="K45" s="91">
        <f>VLOOKUP($A45,'Data Vlaue (Cr)'!$C:$FB,95)</f>
        <v>157</v>
      </c>
      <c r="L45" s="91">
        <f>VLOOKUP($A45,'Data Vlaue (Cr)'!$C:$FB,97)</f>
        <v>6</v>
      </c>
      <c r="M45" s="92">
        <f>VLOOKUP($A45,'Data Vlaue (Cr)'!$C:$FB,98)</f>
        <v>3.9699999999999999E-2</v>
      </c>
      <c r="N45" s="91">
        <f>VLOOKUP($A45,'Data Vlaue (Cr)'!$C:$FB,79)</f>
        <v>544</v>
      </c>
      <c r="O45" s="92">
        <f>VLOOKUP($A45,'Data Vlaue (Cr)'!$C:$FB,82)</f>
        <v>-7.1000000000000004E-3</v>
      </c>
    </row>
    <row r="46" spans="1:15" x14ac:dyDescent="0.25">
      <c r="A46" s="97" t="str">
        <f>'Data Vlaue (Cr)'!C41</f>
        <v>CANBK</v>
      </c>
      <c r="B46" s="142">
        <f>VLOOKUP(A46,'Data Vlaue (Cr)'!C41:CW254,99,0)</f>
        <v>4240</v>
      </c>
      <c r="C46" s="90">
        <f>VLOOKUP(A46,'Data Vlaue (Cr)'!C41:CY254,101,0)</f>
        <v>293</v>
      </c>
      <c r="D46" s="139">
        <f>VLOOKUP(A46,'Data Vlaue (Cr)'!C41:CZ254,102,0)</f>
        <v>7.4300000000000005E-2</v>
      </c>
      <c r="E46" s="91">
        <f>VLOOKUP($A46,'Data Vlaue (Cr)'!$C:$FB,75)</f>
        <v>2261</v>
      </c>
      <c r="F46" s="91">
        <f>VLOOKUP($A46,'Data Vlaue (Cr)'!$C:$FB,77)</f>
        <v>144</v>
      </c>
      <c r="G46" s="92">
        <f>VLOOKUP(A46,'Data Vlaue (Cr)'!C41:CB254,78,0)</f>
        <v>6.7799999999999999E-2</v>
      </c>
      <c r="H46" s="91">
        <f>VLOOKUP($A46,'Data Vlaue (Cr)'!$C:$FB,91)</f>
        <v>1039</v>
      </c>
      <c r="I46" s="91">
        <f>VLOOKUP($A46,'Data Vlaue (Cr)'!$C:$FB,93)</f>
        <v>101</v>
      </c>
      <c r="J46" s="92">
        <f>VLOOKUP($A46,'Data Vlaue (Cr)'!$C:$FB,94)</f>
        <v>0.1082</v>
      </c>
      <c r="K46" s="91">
        <f>VLOOKUP($A46,'Data Vlaue (Cr)'!$C:$FB,95)</f>
        <v>940</v>
      </c>
      <c r="L46" s="91">
        <f>VLOOKUP($A46,'Data Vlaue (Cr)'!$C:$FB,97)</f>
        <v>48</v>
      </c>
      <c r="M46" s="92">
        <f>VLOOKUP($A46,'Data Vlaue (Cr)'!$C:$FB,98)</f>
        <v>5.4100000000000002E-2</v>
      </c>
      <c r="N46" s="91">
        <f>VLOOKUP($A46,'Data Vlaue (Cr)'!$C:$FB,79)</f>
        <v>2170</v>
      </c>
      <c r="O46" s="92">
        <f>VLOOKUP($A46,'Data Vlaue (Cr)'!$C:$FB,82)</f>
        <v>6.1699999999999998E-2</v>
      </c>
    </row>
    <row r="47" spans="1:15" x14ac:dyDescent="0.25">
      <c r="A47" s="97" t="str">
        <f>'Data Vlaue (Cr)'!C42</f>
        <v>CDSL</v>
      </c>
      <c r="B47" s="142">
        <f>VLOOKUP(A47,'Data Vlaue (Cr)'!C42:CW255,99,0)</f>
        <v>2848</v>
      </c>
      <c r="C47" s="90">
        <f>VLOOKUP(A47,'Data Vlaue (Cr)'!C42:CY255,101,0)</f>
        <v>67</v>
      </c>
      <c r="D47" s="139">
        <f>VLOOKUP(A47,'Data Vlaue (Cr)'!C42:CZ255,102,0)</f>
        <v>2.4199999999999999E-2</v>
      </c>
      <c r="E47" s="91">
        <f>VLOOKUP($A47,'Data Vlaue (Cr)'!$C:$FB,75)</f>
        <v>1521</v>
      </c>
      <c r="F47" s="91">
        <f>VLOOKUP($A47,'Data Vlaue (Cr)'!$C:$FB,77)</f>
        <v>16</v>
      </c>
      <c r="G47" s="92">
        <f>VLOOKUP(A47,'Data Vlaue (Cr)'!C42:CB255,78,0)</f>
        <v>1.04E-2</v>
      </c>
      <c r="H47" s="91">
        <f>VLOOKUP($A47,'Data Vlaue (Cr)'!$C:$FB,91)</f>
        <v>754</v>
      </c>
      <c r="I47" s="91">
        <f>VLOOKUP($A47,'Data Vlaue (Cr)'!$C:$FB,93)</f>
        <v>40</v>
      </c>
      <c r="J47" s="92">
        <f>VLOOKUP($A47,'Data Vlaue (Cr)'!$C:$FB,94)</f>
        <v>5.57E-2</v>
      </c>
      <c r="K47" s="91">
        <f>VLOOKUP($A47,'Data Vlaue (Cr)'!$C:$FB,95)</f>
        <v>572</v>
      </c>
      <c r="L47" s="91">
        <f>VLOOKUP($A47,'Data Vlaue (Cr)'!$C:$FB,97)</f>
        <v>12</v>
      </c>
      <c r="M47" s="92">
        <f>VLOOKUP($A47,'Data Vlaue (Cr)'!$C:$FB,98)</f>
        <v>2.12E-2</v>
      </c>
      <c r="N47" s="91">
        <f>VLOOKUP($A47,'Data Vlaue (Cr)'!$C:$FB,79)</f>
        <v>1430</v>
      </c>
      <c r="O47" s="92">
        <f>VLOOKUP($A47,'Data Vlaue (Cr)'!$C:$FB,82)</f>
        <v>8.0000000000000002E-3</v>
      </c>
    </row>
    <row r="48" spans="1:15" x14ac:dyDescent="0.25">
      <c r="A48" s="97" t="str">
        <f>'Data Vlaue (Cr)'!C43</f>
        <v>CGPOWER</v>
      </c>
      <c r="B48" s="142">
        <f>VLOOKUP(A48,'Data Vlaue (Cr)'!C43:CW256,99,0)</f>
        <v>1332</v>
      </c>
      <c r="C48" s="90">
        <f>VLOOKUP(A48,'Data Vlaue (Cr)'!C43:CY256,101,0)</f>
        <v>77</v>
      </c>
      <c r="D48" s="139">
        <f>VLOOKUP(A48,'Data Vlaue (Cr)'!C43:CZ256,102,0)</f>
        <v>6.1199999999999997E-2</v>
      </c>
      <c r="E48" s="91">
        <f>VLOOKUP($A48,'Data Vlaue (Cr)'!$C:$FB,75)</f>
        <v>942</v>
      </c>
      <c r="F48" s="91">
        <f>VLOOKUP($A48,'Data Vlaue (Cr)'!$C:$FB,77)</f>
        <v>28</v>
      </c>
      <c r="G48" s="92">
        <f>VLOOKUP(A48,'Data Vlaue (Cr)'!C43:CB256,78,0)</f>
        <v>3.0700000000000002E-2</v>
      </c>
      <c r="H48" s="91">
        <f>VLOOKUP($A48,'Data Vlaue (Cr)'!$C:$FB,91)</f>
        <v>230</v>
      </c>
      <c r="I48" s="91">
        <f>VLOOKUP($A48,'Data Vlaue (Cr)'!$C:$FB,93)</f>
        <v>36</v>
      </c>
      <c r="J48" s="92">
        <f>VLOOKUP($A48,'Data Vlaue (Cr)'!$C:$FB,94)</f>
        <v>0.18429999999999999</v>
      </c>
      <c r="K48" s="91">
        <f>VLOOKUP($A48,'Data Vlaue (Cr)'!$C:$FB,95)</f>
        <v>159</v>
      </c>
      <c r="L48" s="91">
        <f>VLOOKUP($A48,'Data Vlaue (Cr)'!$C:$FB,97)</f>
        <v>13</v>
      </c>
      <c r="M48" s="92">
        <f>VLOOKUP($A48,'Data Vlaue (Cr)'!$C:$FB,98)</f>
        <v>8.8400000000000006E-2</v>
      </c>
      <c r="N48" s="91">
        <f>VLOOKUP($A48,'Data Vlaue (Cr)'!$C:$FB,79)</f>
        <v>917</v>
      </c>
      <c r="O48" s="92">
        <f>VLOOKUP($A48,'Data Vlaue (Cr)'!$C:$FB,82)</f>
        <v>3.0300000000000001E-2</v>
      </c>
    </row>
    <row r="49" spans="1:15" x14ac:dyDescent="0.25">
      <c r="A49" s="97" t="str">
        <f>'Data Vlaue (Cr)'!C44</f>
        <v>CHOLAFIN</v>
      </c>
      <c r="B49" s="142">
        <f>VLOOKUP(A49,'Data Vlaue (Cr)'!C44:CW257,99,0)</f>
        <v>3295</v>
      </c>
      <c r="C49" s="90">
        <f>VLOOKUP(A49,'Data Vlaue (Cr)'!C44:CY257,101,0)</f>
        <v>59</v>
      </c>
      <c r="D49" s="139">
        <f>VLOOKUP(A49,'Data Vlaue (Cr)'!C44:CZ257,102,0)</f>
        <v>1.8200000000000001E-2</v>
      </c>
      <c r="E49" s="91">
        <f>VLOOKUP($A49,'Data Vlaue (Cr)'!$C:$FB,75)</f>
        <v>2097</v>
      </c>
      <c r="F49" s="91">
        <f>VLOOKUP($A49,'Data Vlaue (Cr)'!$C:$FB,77)</f>
        <v>4</v>
      </c>
      <c r="G49" s="92">
        <f>VLOOKUP(A49,'Data Vlaue (Cr)'!C44:CB257,78,0)</f>
        <v>2E-3</v>
      </c>
      <c r="H49" s="91">
        <f>VLOOKUP($A49,'Data Vlaue (Cr)'!$C:$FB,91)</f>
        <v>593</v>
      </c>
      <c r="I49" s="91">
        <f>VLOOKUP($A49,'Data Vlaue (Cr)'!$C:$FB,93)</f>
        <v>16</v>
      </c>
      <c r="J49" s="92">
        <f>VLOOKUP($A49,'Data Vlaue (Cr)'!$C:$FB,94)</f>
        <v>2.7099999999999999E-2</v>
      </c>
      <c r="K49" s="91">
        <f>VLOOKUP($A49,'Data Vlaue (Cr)'!$C:$FB,95)</f>
        <v>605</v>
      </c>
      <c r="L49" s="91">
        <f>VLOOKUP($A49,'Data Vlaue (Cr)'!$C:$FB,97)</f>
        <v>39</v>
      </c>
      <c r="M49" s="92">
        <f>VLOOKUP($A49,'Data Vlaue (Cr)'!$C:$FB,98)</f>
        <v>6.93E-2</v>
      </c>
      <c r="N49" s="91">
        <f>VLOOKUP($A49,'Data Vlaue (Cr)'!$C:$FB,79)</f>
        <v>2070</v>
      </c>
      <c r="O49" s="92">
        <f>VLOOKUP($A49,'Data Vlaue (Cr)'!$C:$FB,82)</f>
        <v>8.9999999999999998E-4</v>
      </c>
    </row>
    <row r="50" spans="1:15" x14ac:dyDescent="0.25">
      <c r="A50" s="97" t="str">
        <f>'Data Vlaue (Cr)'!C45</f>
        <v>CIPLA</v>
      </c>
      <c r="B50" s="142">
        <f>VLOOKUP(A50,'Data Vlaue (Cr)'!C45:CW258,99,0)</f>
        <v>2620</v>
      </c>
      <c r="C50" s="90">
        <f>VLOOKUP(A50,'Data Vlaue (Cr)'!C45:CY258,101,0)</f>
        <v>66</v>
      </c>
      <c r="D50" s="139">
        <f>VLOOKUP(A50,'Data Vlaue (Cr)'!C45:CZ258,102,0)</f>
        <v>2.5999999999999999E-2</v>
      </c>
      <c r="E50" s="91">
        <f>VLOOKUP($A50,'Data Vlaue (Cr)'!$C:$FB,75)</f>
        <v>1864</v>
      </c>
      <c r="F50" s="91">
        <f>VLOOKUP($A50,'Data Vlaue (Cr)'!$C:$FB,77)</f>
        <v>-8</v>
      </c>
      <c r="G50" s="92">
        <f>VLOOKUP(A50,'Data Vlaue (Cr)'!C45:CB258,78,0)</f>
        <v>-4.1000000000000003E-3</v>
      </c>
      <c r="H50" s="91">
        <f>VLOOKUP($A50,'Data Vlaue (Cr)'!$C:$FB,91)</f>
        <v>408</v>
      </c>
      <c r="I50" s="91">
        <f>VLOOKUP($A50,'Data Vlaue (Cr)'!$C:$FB,93)</f>
        <v>34</v>
      </c>
      <c r="J50" s="92">
        <f>VLOOKUP($A50,'Data Vlaue (Cr)'!$C:$FB,94)</f>
        <v>9.1899999999999996E-2</v>
      </c>
      <c r="K50" s="91">
        <f>VLOOKUP($A50,'Data Vlaue (Cr)'!$C:$FB,95)</f>
        <v>348</v>
      </c>
      <c r="L50" s="91">
        <f>VLOOKUP($A50,'Data Vlaue (Cr)'!$C:$FB,97)</f>
        <v>40</v>
      </c>
      <c r="M50" s="92">
        <f>VLOOKUP($A50,'Data Vlaue (Cr)'!$C:$FB,98)</f>
        <v>0.12909999999999999</v>
      </c>
      <c r="N50" s="91">
        <f>VLOOKUP($A50,'Data Vlaue (Cr)'!$C:$FB,79)</f>
        <v>1842</v>
      </c>
      <c r="O50" s="92">
        <f>VLOOKUP($A50,'Data Vlaue (Cr)'!$C:$FB,82)</f>
        <v>-5.0000000000000001E-3</v>
      </c>
    </row>
    <row r="51" spans="1:15" x14ac:dyDescent="0.25">
      <c r="A51" s="97" t="str">
        <f>'Data Vlaue (Cr)'!C46</f>
        <v>COALINDIA</v>
      </c>
      <c r="B51" s="142">
        <f>VLOOKUP(A51,'Data Vlaue (Cr)'!C46:CW259,99,0)</f>
        <v>4373</v>
      </c>
      <c r="C51" s="90">
        <f>VLOOKUP(A51,'Data Vlaue (Cr)'!C46:CY259,101,0)</f>
        <v>97</v>
      </c>
      <c r="D51" s="139">
        <f>VLOOKUP(A51,'Data Vlaue (Cr)'!C46:CZ259,102,0)</f>
        <v>2.2599999999999999E-2</v>
      </c>
      <c r="E51" s="91">
        <f>VLOOKUP($A51,'Data Vlaue (Cr)'!$C:$FB,75)</f>
        <v>2348</v>
      </c>
      <c r="F51" s="91">
        <f>VLOOKUP($A51,'Data Vlaue (Cr)'!$C:$FB,77)</f>
        <v>2</v>
      </c>
      <c r="G51" s="92">
        <f>VLOOKUP(A51,'Data Vlaue (Cr)'!C46:CB259,78,0)</f>
        <v>1E-3</v>
      </c>
      <c r="H51" s="91">
        <f>VLOOKUP($A51,'Data Vlaue (Cr)'!$C:$FB,91)</f>
        <v>1299</v>
      </c>
      <c r="I51" s="91">
        <f>VLOOKUP($A51,'Data Vlaue (Cr)'!$C:$FB,93)</f>
        <v>42</v>
      </c>
      <c r="J51" s="92">
        <f>VLOOKUP($A51,'Data Vlaue (Cr)'!$C:$FB,94)</f>
        <v>3.3500000000000002E-2</v>
      </c>
      <c r="K51" s="91">
        <f>VLOOKUP($A51,'Data Vlaue (Cr)'!$C:$FB,95)</f>
        <v>727</v>
      </c>
      <c r="L51" s="91">
        <f>VLOOKUP($A51,'Data Vlaue (Cr)'!$C:$FB,97)</f>
        <v>52</v>
      </c>
      <c r="M51" s="92">
        <f>VLOOKUP($A51,'Data Vlaue (Cr)'!$C:$FB,98)</f>
        <v>7.7299999999999994E-2</v>
      </c>
      <c r="N51" s="91">
        <f>VLOOKUP($A51,'Data Vlaue (Cr)'!$C:$FB,79)</f>
        <v>2237</v>
      </c>
      <c r="O51" s="92">
        <f>VLOOKUP($A51,'Data Vlaue (Cr)'!$C:$FB,82)</f>
        <v>-4.7999999999999996E-3</v>
      </c>
    </row>
    <row r="52" spans="1:15" x14ac:dyDescent="0.25">
      <c r="A52" s="97" t="str">
        <f>'Data Vlaue (Cr)'!C47</f>
        <v>COFORGE</v>
      </c>
      <c r="B52" s="142">
        <f>VLOOKUP(A52,'Data Vlaue (Cr)'!C47:CW260,99,0)</f>
        <v>5354</v>
      </c>
      <c r="C52" s="90">
        <f>VLOOKUP(A52,'Data Vlaue (Cr)'!C47:CY260,101,0)</f>
        <v>81</v>
      </c>
      <c r="D52" s="139">
        <f>VLOOKUP(A52,'Data Vlaue (Cr)'!C47:CZ260,102,0)</f>
        <v>1.54E-2</v>
      </c>
      <c r="E52" s="91">
        <f>VLOOKUP($A52,'Data Vlaue (Cr)'!$C:$FB,75)</f>
        <v>2909</v>
      </c>
      <c r="F52" s="91">
        <f>VLOOKUP($A52,'Data Vlaue (Cr)'!$C:$FB,77)</f>
        <v>18</v>
      </c>
      <c r="G52" s="92">
        <f>VLOOKUP(A52,'Data Vlaue (Cr)'!C47:CB260,78,0)</f>
        <v>6.3E-3</v>
      </c>
      <c r="H52" s="91">
        <f>VLOOKUP($A52,'Data Vlaue (Cr)'!$C:$FB,91)</f>
        <v>1633</v>
      </c>
      <c r="I52" s="91">
        <f>VLOOKUP($A52,'Data Vlaue (Cr)'!$C:$FB,93)</f>
        <v>55</v>
      </c>
      <c r="J52" s="92">
        <f>VLOOKUP($A52,'Data Vlaue (Cr)'!$C:$FB,94)</f>
        <v>3.5000000000000003E-2</v>
      </c>
      <c r="K52" s="91">
        <f>VLOOKUP($A52,'Data Vlaue (Cr)'!$C:$FB,95)</f>
        <v>812</v>
      </c>
      <c r="L52" s="91">
        <f>VLOOKUP($A52,'Data Vlaue (Cr)'!$C:$FB,97)</f>
        <v>7</v>
      </c>
      <c r="M52" s="92">
        <f>VLOOKUP($A52,'Data Vlaue (Cr)'!$C:$FB,98)</f>
        <v>9.2999999999999992E-3</v>
      </c>
      <c r="N52" s="91">
        <f>VLOOKUP($A52,'Data Vlaue (Cr)'!$C:$FB,79)</f>
        <v>2828</v>
      </c>
      <c r="O52" s="92">
        <f>VLOOKUP($A52,'Data Vlaue (Cr)'!$C:$FB,82)</f>
        <v>5.1000000000000004E-3</v>
      </c>
    </row>
    <row r="53" spans="1:15" x14ac:dyDescent="0.25">
      <c r="A53" s="97" t="str">
        <f>'Data Vlaue (Cr)'!C48</f>
        <v>COLPAL</v>
      </c>
      <c r="B53" s="142">
        <f>VLOOKUP(A53,'Data Vlaue (Cr)'!C48:CW261,99,0)</f>
        <v>1931</v>
      </c>
      <c r="C53" s="90">
        <f>VLOOKUP(A53,'Data Vlaue (Cr)'!C48:CY261,101,0)</f>
        <v>33</v>
      </c>
      <c r="D53" s="139">
        <f>VLOOKUP(A53,'Data Vlaue (Cr)'!C48:CZ261,102,0)</f>
        <v>1.7500000000000002E-2</v>
      </c>
      <c r="E53" s="91">
        <f>VLOOKUP($A53,'Data Vlaue (Cr)'!$C:$FB,75)</f>
        <v>1360</v>
      </c>
      <c r="F53" s="91">
        <f>VLOOKUP($A53,'Data Vlaue (Cr)'!$C:$FB,77)</f>
        <v>4</v>
      </c>
      <c r="G53" s="92">
        <f>VLOOKUP(A53,'Data Vlaue (Cr)'!C48:CB261,78,0)</f>
        <v>2.7000000000000001E-3</v>
      </c>
      <c r="H53" s="91">
        <f>VLOOKUP($A53,'Data Vlaue (Cr)'!$C:$FB,91)</f>
        <v>283</v>
      </c>
      <c r="I53" s="91">
        <f>VLOOKUP($A53,'Data Vlaue (Cr)'!$C:$FB,93)</f>
        <v>22</v>
      </c>
      <c r="J53" s="92">
        <f>VLOOKUP($A53,'Data Vlaue (Cr)'!$C:$FB,94)</f>
        <v>8.4599999999999995E-2</v>
      </c>
      <c r="K53" s="91">
        <f>VLOOKUP($A53,'Data Vlaue (Cr)'!$C:$FB,95)</f>
        <v>288</v>
      </c>
      <c r="L53" s="91">
        <f>VLOOKUP($A53,'Data Vlaue (Cr)'!$C:$FB,97)</f>
        <v>8</v>
      </c>
      <c r="M53" s="92">
        <f>VLOOKUP($A53,'Data Vlaue (Cr)'!$C:$FB,98)</f>
        <v>2.6700000000000002E-2</v>
      </c>
      <c r="N53" s="91">
        <f>VLOOKUP($A53,'Data Vlaue (Cr)'!$C:$FB,79)</f>
        <v>1308</v>
      </c>
      <c r="O53" s="92">
        <f>VLOOKUP($A53,'Data Vlaue (Cr)'!$C:$FB,82)</f>
        <v>3.0000000000000001E-3</v>
      </c>
    </row>
    <row r="54" spans="1:15" x14ac:dyDescent="0.25">
      <c r="A54" s="97" t="str">
        <f>'Data Vlaue (Cr)'!C49</f>
        <v>CONCOR</v>
      </c>
      <c r="B54" s="142">
        <f>VLOOKUP(A54,'Data Vlaue (Cr)'!C49:CW262,99,0)</f>
        <v>2935</v>
      </c>
      <c r="C54" s="90">
        <f>VLOOKUP(A54,'Data Vlaue (Cr)'!C49:CY262,101,0)</f>
        <v>33</v>
      </c>
      <c r="D54" s="139">
        <f>VLOOKUP(A54,'Data Vlaue (Cr)'!C49:CZ262,102,0)</f>
        <v>1.15E-2</v>
      </c>
      <c r="E54" s="91">
        <f>VLOOKUP($A54,'Data Vlaue (Cr)'!$C:$FB,75)</f>
        <v>1914</v>
      </c>
      <c r="F54" s="91">
        <f>VLOOKUP($A54,'Data Vlaue (Cr)'!$C:$FB,77)</f>
        <v>7</v>
      </c>
      <c r="G54" s="92">
        <f>VLOOKUP(A54,'Data Vlaue (Cr)'!C49:CB262,78,0)</f>
        <v>3.8999999999999998E-3</v>
      </c>
      <c r="H54" s="91">
        <f>VLOOKUP($A54,'Data Vlaue (Cr)'!$C:$FB,91)</f>
        <v>600</v>
      </c>
      <c r="I54" s="91">
        <f>VLOOKUP($A54,'Data Vlaue (Cr)'!$C:$FB,93)</f>
        <v>16</v>
      </c>
      <c r="J54" s="92">
        <f>VLOOKUP($A54,'Data Vlaue (Cr)'!$C:$FB,94)</f>
        <v>2.6599999999999999E-2</v>
      </c>
      <c r="K54" s="91">
        <f>VLOOKUP($A54,'Data Vlaue (Cr)'!$C:$FB,95)</f>
        <v>421</v>
      </c>
      <c r="L54" s="91">
        <f>VLOOKUP($A54,'Data Vlaue (Cr)'!$C:$FB,97)</f>
        <v>10</v>
      </c>
      <c r="M54" s="92">
        <f>VLOOKUP($A54,'Data Vlaue (Cr)'!$C:$FB,98)</f>
        <v>2.52E-2</v>
      </c>
      <c r="N54" s="91">
        <f>VLOOKUP($A54,'Data Vlaue (Cr)'!$C:$FB,79)</f>
        <v>1797</v>
      </c>
      <c r="O54" s="92">
        <f>VLOOKUP($A54,'Data Vlaue (Cr)'!$C:$FB,82)</f>
        <v>2.5999999999999999E-3</v>
      </c>
    </row>
    <row r="55" spans="1:15" x14ac:dyDescent="0.25">
      <c r="A55" s="97" t="str">
        <f>'Data Vlaue (Cr)'!C50</f>
        <v>CROMPTON</v>
      </c>
      <c r="B55" s="142">
        <f>VLOOKUP(A55,'Data Vlaue (Cr)'!C50:CW263,99,0)</f>
        <v>1933</v>
      </c>
      <c r="C55" s="90">
        <f>VLOOKUP(A55,'Data Vlaue (Cr)'!C50:CY263,101,0)</f>
        <v>18</v>
      </c>
      <c r="D55" s="139">
        <f>VLOOKUP(A55,'Data Vlaue (Cr)'!C50:CZ263,102,0)</f>
        <v>9.5999999999999992E-3</v>
      </c>
      <c r="E55" s="91">
        <f>VLOOKUP($A55,'Data Vlaue (Cr)'!$C:$FB,75)</f>
        <v>1366</v>
      </c>
      <c r="F55" s="91">
        <f>VLOOKUP($A55,'Data Vlaue (Cr)'!$C:$FB,77)</f>
        <v>1</v>
      </c>
      <c r="G55" s="92">
        <f>VLOOKUP(A55,'Data Vlaue (Cr)'!C50:CB263,78,0)</f>
        <v>5.0000000000000001E-4</v>
      </c>
      <c r="H55" s="91">
        <f>VLOOKUP($A55,'Data Vlaue (Cr)'!$C:$FB,91)</f>
        <v>339</v>
      </c>
      <c r="I55" s="91">
        <f>VLOOKUP($A55,'Data Vlaue (Cr)'!$C:$FB,93)</f>
        <v>20</v>
      </c>
      <c r="J55" s="92">
        <f>VLOOKUP($A55,'Data Vlaue (Cr)'!$C:$FB,94)</f>
        <v>6.1800000000000001E-2</v>
      </c>
      <c r="K55" s="91">
        <f>VLOOKUP($A55,'Data Vlaue (Cr)'!$C:$FB,95)</f>
        <v>227</v>
      </c>
      <c r="L55" s="91">
        <f>VLOOKUP($A55,'Data Vlaue (Cr)'!$C:$FB,97)</f>
        <v>-2</v>
      </c>
      <c r="M55" s="92">
        <f>VLOOKUP($A55,'Data Vlaue (Cr)'!$C:$FB,98)</f>
        <v>-8.6999999999999994E-3</v>
      </c>
      <c r="N55" s="91">
        <f>VLOOKUP($A55,'Data Vlaue (Cr)'!$C:$FB,79)</f>
        <v>1304</v>
      </c>
      <c r="O55" s="92">
        <f>VLOOKUP($A55,'Data Vlaue (Cr)'!$C:$FB,82)</f>
        <v>-1.1999999999999999E-3</v>
      </c>
    </row>
    <row r="56" spans="1:15" x14ac:dyDescent="0.25">
      <c r="A56" s="97" t="str">
        <f>'Data Vlaue (Cr)'!C51</f>
        <v>CUMMINSIND</v>
      </c>
      <c r="B56" s="142">
        <f>VLOOKUP(A56,'Data Vlaue (Cr)'!C51:CW264,99,0)</f>
        <v>1922</v>
      </c>
      <c r="C56" s="90">
        <f>VLOOKUP(A56,'Data Vlaue (Cr)'!C51:CY264,101,0)</f>
        <v>64</v>
      </c>
      <c r="D56" s="139">
        <f>VLOOKUP(A56,'Data Vlaue (Cr)'!C51:CZ264,102,0)</f>
        <v>3.4599999999999999E-2</v>
      </c>
      <c r="E56" s="91">
        <f>VLOOKUP($A56,'Data Vlaue (Cr)'!$C:$FB,75)</f>
        <v>1473</v>
      </c>
      <c r="F56" s="91">
        <f>VLOOKUP($A56,'Data Vlaue (Cr)'!$C:$FB,77)</f>
        <v>-1</v>
      </c>
      <c r="G56" s="92">
        <f>VLOOKUP(A56,'Data Vlaue (Cr)'!C51:CB264,78,0)</f>
        <v>-8.9999999999999998E-4</v>
      </c>
      <c r="H56" s="91">
        <f>VLOOKUP($A56,'Data Vlaue (Cr)'!$C:$FB,91)</f>
        <v>252</v>
      </c>
      <c r="I56" s="91">
        <f>VLOOKUP($A56,'Data Vlaue (Cr)'!$C:$FB,93)</f>
        <v>41</v>
      </c>
      <c r="J56" s="92">
        <f>VLOOKUP($A56,'Data Vlaue (Cr)'!$C:$FB,94)</f>
        <v>0.1918</v>
      </c>
      <c r="K56" s="91">
        <f>VLOOKUP($A56,'Data Vlaue (Cr)'!$C:$FB,95)</f>
        <v>197</v>
      </c>
      <c r="L56" s="91">
        <f>VLOOKUP($A56,'Data Vlaue (Cr)'!$C:$FB,97)</f>
        <v>25</v>
      </c>
      <c r="M56" s="92">
        <f>VLOOKUP($A56,'Data Vlaue (Cr)'!$C:$FB,98)</f>
        <v>0.1449</v>
      </c>
      <c r="N56" s="91">
        <f>VLOOKUP($A56,'Data Vlaue (Cr)'!$C:$FB,79)</f>
        <v>1462</v>
      </c>
      <c r="O56" s="92">
        <f>VLOOKUP($A56,'Data Vlaue (Cr)'!$C:$FB,82)</f>
        <v>-1.6000000000000001E-3</v>
      </c>
    </row>
    <row r="57" spans="1:15" x14ac:dyDescent="0.25">
      <c r="A57" s="97" t="str">
        <f>'Data Vlaue (Cr)'!C52</f>
        <v>DABUR</v>
      </c>
      <c r="B57" s="142">
        <f>VLOOKUP(A57,'Data Vlaue (Cr)'!C52:CW265,99,0)</f>
        <v>1853</v>
      </c>
      <c r="C57" s="90">
        <f>VLOOKUP(A57,'Data Vlaue (Cr)'!C52:CY265,101,0)</f>
        <v>88</v>
      </c>
      <c r="D57" s="139">
        <f>VLOOKUP(A57,'Data Vlaue (Cr)'!C52:CZ265,102,0)</f>
        <v>4.9700000000000001E-2</v>
      </c>
      <c r="E57" s="91">
        <f>VLOOKUP($A57,'Data Vlaue (Cr)'!$C:$FB,75)</f>
        <v>1063</v>
      </c>
      <c r="F57" s="91">
        <f>VLOOKUP($A57,'Data Vlaue (Cr)'!$C:$FB,77)</f>
        <v>20</v>
      </c>
      <c r="G57" s="92">
        <f>VLOOKUP(A57,'Data Vlaue (Cr)'!C52:CB265,78,0)</f>
        <v>1.9099999999999999E-2</v>
      </c>
      <c r="H57" s="91">
        <f>VLOOKUP($A57,'Data Vlaue (Cr)'!$C:$FB,91)</f>
        <v>480</v>
      </c>
      <c r="I57" s="91">
        <f>VLOOKUP($A57,'Data Vlaue (Cr)'!$C:$FB,93)</f>
        <v>44</v>
      </c>
      <c r="J57" s="92">
        <f>VLOOKUP($A57,'Data Vlaue (Cr)'!$C:$FB,94)</f>
        <v>0.1013</v>
      </c>
      <c r="K57" s="91">
        <f>VLOOKUP($A57,'Data Vlaue (Cr)'!$C:$FB,95)</f>
        <v>309</v>
      </c>
      <c r="L57" s="91">
        <f>VLOOKUP($A57,'Data Vlaue (Cr)'!$C:$FB,97)</f>
        <v>24</v>
      </c>
      <c r="M57" s="92">
        <f>VLOOKUP($A57,'Data Vlaue (Cr)'!$C:$FB,98)</f>
        <v>8.2500000000000004E-2</v>
      </c>
      <c r="N57" s="91">
        <f>VLOOKUP($A57,'Data Vlaue (Cr)'!$C:$FB,79)</f>
        <v>1040</v>
      </c>
      <c r="O57" s="92">
        <f>VLOOKUP($A57,'Data Vlaue (Cr)'!$C:$FB,82)</f>
        <v>1.8200000000000001E-2</v>
      </c>
    </row>
    <row r="58" spans="1:15" x14ac:dyDescent="0.25">
      <c r="A58" s="97" t="str">
        <f>'Data Vlaue (Cr)'!C53</f>
        <v>DALBHARAT</v>
      </c>
      <c r="B58" s="142">
        <f>VLOOKUP(A58,'Data Vlaue (Cr)'!C53:CW266,99,0)</f>
        <v>826</v>
      </c>
      <c r="C58" s="90">
        <f>VLOOKUP(A58,'Data Vlaue (Cr)'!C53:CY266,101,0)</f>
        <v>18</v>
      </c>
      <c r="D58" s="139">
        <f>VLOOKUP(A58,'Data Vlaue (Cr)'!C53:CZ266,102,0)</f>
        <v>2.2100000000000002E-2</v>
      </c>
      <c r="E58" s="91">
        <f>VLOOKUP($A58,'Data Vlaue (Cr)'!$C:$FB,75)</f>
        <v>592</v>
      </c>
      <c r="F58" s="91">
        <f>VLOOKUP($A58,'Data Vlaue (Cr)'!$C:$FB,77)</f>
        <v>3</v>
      </c>
      <c r="G58" s="92">
        <f>VLOOKUP(A58,'Data Vlaue (Cr)'!C53:CB266,78,0)</f>
        <v>5.5999999999999999E-3</v>
      </c>
      <c r="H58" s="91">
        <f>VLOOKUP($A58,'Data Vlaue (Cr)'!$C:$FB,91)</f>
        <v>147</v>
      </c>
      <c r="I58" s="91">
        <f>VLOOKUP($A58,'Data Vlaue (Cr)'!$C:$FB,93)</f>
        <v>11</v>
      </c>
      <c r="J58" s="92">
        <f>VLOOKUP($A58,'Data Vlaue (Cr)'!$C:$FB,94)</f>
        <v>8.0600000000000005E-2</v>
      </c>
      <c r="K58" s="91">
        <f>VLOOKUP($A58,'Data Vlaue (Cr)'!$C:$FB,95)</f>
        <v>87</v>
      </c>
      <c r="L58" s="91">
        <f>VLOOKUP($A58,'Data Vlaue (Cr)'!$C:$FB,97)</f>
        <v>4</v>
      </c>
      <c r="M58" s="92">
        <f>VLOOKUP($A58,'Data Vlaue (Cr)'!$C:$FB,98)</f>
        <v>4.2900000000000001E-2</v>
      </c>
      <c r="N58" s="91">
        <f>VLOOKUP($A58,'Data Vlaue (Cr)'!$C:$FB,79)</f>
        <v>580</v>
      </c>
      <c r="O58" s="92">
        <f>VLOOKUP($A58,'Data Vlaue (Cr)'!$C:$FB,82)</f>
        <v>4.7999999999999996E-3</v>
      </c>
    </row>
    <row r="59" spans="1:15" x14ac:dyDescent="0.25">
      <c r="A59" s="97" t="str">
        <f>'Data Vlaue (Cr)'!C54</f>
        <v>DELHIVERY</v>
      </c>
      <c r="B59" s="142">
        <f>VLOOKUP(A59,'Data Vlaue (Cr)'!C54:CW267,99,0)</f>
        <v>931</v>
      </c>
      <c r="C59" s="90">
        <f>VLOOKUP(A59,'Data Vlaue (Cr)'!C54:CY267,101,0)</f>
        <v>24</v>
      </c>
      <c r="D59" s="139">
        <f>VLOOKUP(A59,'Data Vlaue (Cr)'!C54:CZ267,102,0)</f>
        <v>2.6499999999999999E-2</v>
      </c>
      <c r="E59" s="91">
        <f>VLOOKUP($A59,'Data Vlaue (Cr)'!$C:$FB,75)</f>
        <v>689</v>
      </c>
      <c r="F59" s="91">
        <f>VLOOKUP($A59,'Data Vlaue (Cr)'!$C:$FB,77)</f>
        <v>3</v>
      </c>
      <c r="G59" s="92">
        <f>VLOOKUP(A59,'Data Vlaue (Cr)'!C54:CB267,78,0)</f>
        <v>4.7999999999999996E-3</v>
      </c>
      <c r="H59" s="91">
        <f>VLOOKUP($A59,'Data Vlaue (Cr)'!$C:$FB,91)</f>
        <v>127</v>
      </c>
      <c r="I59" s="91">
        <f>VLOOKUP($A59,'Data Vlaue (Cr)'!$C:$FB,93)</f>
        <v>15</v>
      </c>
      <c r="J59" s="92">
        <f>VLOOKUP($A59,'Data Vlaue (Cr)'!$C:$FB,94)</f>
        <v>0.1298</v>
      </c>
      <c r="K59" s="91">
        <f>VLOOKUP($A59,'Data Vlaue (Cr)'!$C:$FB,95)</f>
        <v>115</v>
      </c>
      <c r="L59" s="91">
        <f>VLOOKUP($A59,'Data Vlaue (Cr)'!$C:$FB,97)</f>
        <v>6</v>
      </c>
      <c r="M59" s="92">
        <f>VLOOKUP($A59,'Data Vlaue (Cr)'!$C:$FB,98)</f>
        <v>5.62E-2</v>
      </c>
      <c r="N59" s="91">
        <f>VLOOKUP($A59,'Data Vlaue (Cr)'!$C:$FB,79)</f>
        <v>679</v>
      </c>
      <c r="O59" s="92">
        <f>VLOOKUP($A59,'Data Vlaue (Cr)'!$C:$FB,82)</f>
        <v>2.8E-3</v>
      </c>
    </row>
    <row r="60" spans="1:15" x14ac:dyDescent="0.25">
      <c r="A60" s="97" t="str">
        <f>'Data Vlaue (Cr)'!C55</f>
        <v>DIVISLAB</v>
      </c>
      <c r="B60" s="142">
        <f>VLOOKUP(A60,'Data Vlaue (Cr)'!C55:CW268,99,0)</f>
        <v>2696</v>
      </c>
      <c r="C60" s="90">
        <f>VLOOKUP(A60,'Data Vlaue (Cr)'!C55:CY268,101,0)</f>
        <v>113</v>
      </c>
      <c r="D60" s="139">
        <f>VLOOKUP(A60,'Data Vlaue (Cr)'!C55:CZ268,102,0)</f>
        <v>4.3900000000000002E-2</v>
      </c>
      <c r="E60" s="91">
        <f>VLOOKUP($A60,'Data Vlaue (Cr)'!$C:$FB,75)</f>
        <v>2150</v>
      </c>
      <c r="F60" s="91">
        <f>VLOOKUP($A60,'Data Vlaue (Cr)'!$C:$FB,77)</f>
        <v>34</v>
      </c>
      <c r="G60" s="92">
        <f>VLOOKUP(A60,'Data Vlaue (Cr)'!C55:CB268,78,0)</f>
        <v>1.6E-2</v>
      </c>
      <c r="H60" s="91">
        <f>VLOOKUP($A60,'Data Vlaue (Cr)'!$C:$FB,91)</f>
        <v>349</v>
      </c>
      <c r="I60" s="91">
        <f>VLOOKUP($A60,'Data Vlaue (Cr)'!$C:$FB,93)</f>
        <v>64</v>
      </c>
      <c r="J60" s="92">
        <f>VLOOKUP($A60,'Data Vlaue (Cr)'!$C:$FB,94)</f>
        <v>0.22570000000000001</v>
      </c>
      <c r="K60" s="91">
        <f>VLOOKUP($A60,'Data Vlaue (Cr)'!$C:$FB,95)</f>
        <v>198</v>
      </c>
      <c r="L60" s="91">
        <f>VLOOKUP($A60,'Data Vlaue (Cr)'!$C:$FB,97)</f>
        <v>15</v>
      </c>
      <c r="M60" s="92">
        <f>VLOOKUP($A60,'Data Vlaue (Cr)'!$C:$FB,98)</f>
        <v>8.4000000000000005E-2</v>
      </c>
      <c r="N60" s="91">
        <f>VLOOKUP($A60,'Data Vlaue (Cr)'!$C:$FB,79)</f>
        <v>2130</v>
      </c>
      <c r="O60" s="92">
        <f>VLOOKUP($A60,'Data Vlaue (Cr)'!$C:$FB,82)</f>
        <v>1.52E-2</v>
      </c>
    </row>
    <row r="61" spans="1:15" x14ac:dyDescent="0.25">
      <c r="A61" s="97" t="str">
        <f>'Data Vlaue (Cr)'!C56</f>
        <v>DIXON</v>
      </c>
      <c r="B61" s="142">
        <f>VLOOKUP(A61,'Data Vlaue (Cr)'!C56:CW269,99,0)</f>
        <v>7998</v>
      </c>
      <c r="C61" s="90">
        <f>VLOOKUP(A61,'Data Vlaue (Cr)'!C56:CY269,101,0)</f>
        <v>165</v>
      </c>
      <c r="D61" s="139">
        <f>VLOOKUP(A61,'Data Vlaue (Cr)'!C56:CZ269,102,0)</f>
        <v>2.1100000000000001E-2</v>
      </c>
      <c r="E61" s="91">
        <f>VLOOKUP($A61,'Data Vlaue (Cr)'!$C:$FB,75)</f>
        <v>3450</v>
      </c>
      <c r="F61" s="91">
        <f>VLOOKUP($A61,'Data Vlaue (Cr)'!$C:$FB,77)</f>
        <v>30</v>
      </c>
      <c r="G61" s="92">
        <f>VLOOKUP(A61,'Data Vlaue (Cr)'!C56:CB269,78,0)</f>
        <v>8.8999999999999999E-3</v>
      </c>
      <c r="H61" s="91">
        <f>VLOOKUP($A61,'Data Vlaue (Cr)'!$C:$FB,91)</f>
        <v>2755</v>
      </c>
      <c r="I61" s="91">
        <f>VLOOKUP($A61,'Data Vlaue (Cr)'!$C:$FB,93)</f>
        <v>42</v>
      </c>
      <c r="J61" s="92">
        <f>VLOOKUP($A61,'Data Vlaue (Cr)'!$C:$FB,94)</f>
        <v>1.5599999999999999E-2</v>
      </c>
      <c r="K61" s="91">
        <f>VLOOKUP($A61,'Data Vlaue (Cr)'!$C:$FB,95)</f>
        <v>1793</v>
      </c>
      <c r="L61" s="91">
        <f>VLOOKUP($A61,'Data Vlaue (Cr)'!$C:$FB,97)</f>
        <v>93</v>
      </c>
      <c r="M61" s="92">
        <f>VLOOKUP($A61,'Data Vlaue (Cr)'!$C:$FB,98)</f>
        <v>5.4399999999999997E-2</v>
      </c>
      <c r="N61" s="91">
        <f>VLOOKUP($A61,'Data Vlaue (Cr)'!$C:$FB,79)</f>
        <v>3251</v>
      </c>
      <c r="O61" s="92">
        <f>VLOOKUP($A61,'Data Vlaue (Cr)'!$C:$FB,82)</f>
        <v>6.6E-3</v>
      </c>
    </row>
    <row r="62" spans="1:15" x14ac:dyDescent="0.25">
      <c r="A62" s="97" t="str">
        <f>'Data Vlaue (Cr)'!C57</f>
        <v>DLF</v>
      </c>
      <c r="B62" s="142">
        <f>VLOOKUP(A62,'Data Vlaue (Cr)'!C57:CW270,99,0)</f>
        <v>4612</v>
      </c>
      <c r="C62" s="90">
        <f>VLOOKUP(A62,'Data Vlaue (Cr)'!C57:CY270,101,0)</f>
        <v>71</v>
      </c>
      <c r="D62" s="139">
        <f>VLOOKUP(A62,'Data Vlaue (Cr)'!C57:CZ270,102,0)</f>
        <v>1.5699999999999999E-2</v>
      </c>
      <c r="E62" s="91">
        <f>VLOOKUP($A62,'Data Vlaue (Cr)'!$C:$FB,75)</f>
        <v>3357</v>
      </c>
      <c r="F62" s="91">
        <f>VLOOKUP($A62,'Data Vlaue (Cr)'!$C:$FB,77)</f>
        <v>27</v>
      </c>
      <c r="G62" s="92">
        <f>VLOOKUP(A62,'Data Vlaue (Cr)'!C57:CB270,78,0)</f>
        <v>8.0999999999999996E-3</v>
      </c>
      <c r="H62" s="91">
        <f>VLOOKUP($A62,'Data Vlaue (Cr)'!$C:$FB,91)</f>
        <v>677</v>
      </c>
      <c r="I62" s="91">
        <f>VLOOKUP($A62,'Data Vlaue (Cr)'!$C:$FB,93)</f>
        <v>34</v>
      </c>
      <c r="J62" s="92">
        <f>VLOOKUP($A62,'Data Vlaue (Cr)'!$C:$FB,94)</f>
        <v>5.2999999999999999E-2</v>
      </c>
      <c r="K62" s="91">
        <f>VLOOKUP($A62,'Data Vlaue (Cr)'!$C:$FB,95)</f>
        <v>578</v>
      </c>
      <c r="L62" s="91">
        <f>VLOOKUP($A62,'Data Vlaue (Cr)'!$C:$FB,97)</f>
        <v>10</v>
      </c>
      <c r="M62" s="92">
        <f>VLOOKUP($A62,'Data Vlaue (Cr)'!$C:$FB,98)</f>
        <v>1.7600000000000001E-2</v>
      </c>
      <c r="N62" s="91">
        <f>VLOOKUP($A62,'Data Vlaue (Cr)'!$C:$FB,79)</f>
        <v>3289</v>
      </c>
      <c r="O62" s="92">
        <f>VLOOKUP($A62,'Data Vlaue (Cr)'!$C:$FB,82)</f>
        <v>7.7999999999999996E-3</v>
      </c>
    </row>
    <row r="63" spans="1:15" x14ac:dyDescent="0.25">
      <c r="A63" s="97" t="str">
        <f>'Data Vlaue (Cr)'!C58</f>
        <v>DMART</v>
      </c>
      <c r="B63" s="142">
        <f>VLOOKUP(A63,'Data Vlaue (Cr)'!C58:CW271,99,0)</f>
        <v>2796</v>
      </c>
      <c r="C63" s="90">
        <f>VLOOKUP(A63,'Data Vlaue (Cr)'!C58:CY271,101,0)</f>
        <v>223</v>
      </c>
      <c r="D63" s="139">
        <f>VLOOKUP(A63,'Data Vlaue (Cr)'!C58:CZ271,102,0)</f>
        <v>8.6499999999999994E-2</v>
      </c>
      <c r="E63" s="91">
        <f>VLOOKUP($A63,'Data Vlaue (Cr)'!$C:$FB,75)</f>
        <v>2014</v>
      </c>
      <c r="F63" s="91">
        <f>VLOOKUP($A63,'Data Vlaue (Cr)'!$C:$FB,77)</f>
        <v>102</v>
      </c>
      <c r="G63" s="92">
        <f>VLOOKUP(A63,'Data Vlaue (Cr)'!C58:CB271,78,0)</f>
        <v>5.3199999999999997E-2</v>
      </c>
      <c r="H63" s="91">
        <f>VLOOKUP($A63,'Data Vlaue (Cr)'!$C:$FB,91)</f>
        <v>430</v>
      </c>
      <c r="I63" s="91">
        <f>VLOOKUP($A63,'Data Vlaue (Cr)'!$C:$FB,93)</f>
        <v>72</v>
      </c>
      <c r="J63" s="92">
        <f>VLOOKUP($A63,'Data Vlaue (Cr)'!$C:$FB,94)</f>
        <v>0.20119999999999999</v>
      </c>
      <c r="K63" s="91">
        <f>VLOOKUP($A63,'Data Vlaue (Cr)'!$C:$FB,95)</f>
        <v>352</v>
      </c>
      <c r="L63" s="91">
        <f>VLOOKUP($A63,'Data Vlaue (Cr)'!$C:$FB,97)</f>
        <v>49</v>
      </c>
      <c r="M63" s="92">
        <f>VLOOKUP($A63,'Data Vlaue (Cr)'!$C:$FB,98)</f>
        <v>0.16120000000000001</v>
      </c>
      <c r="N63" s="91">
        <f>VLOOKUP($A63,'Data Vlaue (Cr)'!$C:$FB,79)</f>
        <v>1961</v>
      </c>
      <c r="O63" s="92">
        <f>VLOOKUP($A63,'Data Vlaue (Cr)'!$C:$FB,82)</f>
        <v>4.7699999999999999E-2</v>
      </c>
    </row>
    <row r="64" spans="1:15" x14ac:dyDescent="0.25">
      <c r="A64" s="97" t="str">
        <f>'Data Vlaue (Cr)'!C59</f>
        <v>DRREDDY</v>
      </c>
      <c r="B64" s="142">
        <f>VLOOKUP(A64,'Data Vlaue (Cr)'!C59:CW272,99,0)</f>
        <v>2269</v>
      </c>
      <c r="C64" s="90">
        <f>VLOOKUP(A64,'Data Vlaue (Cr)'!C59:CY272,101,0)</f>
        <v>258</v>
      </c>
      <c r="D64" s="139">
        <f>VLOOKUP(A64,'Data Vlaue (Cr)'!C59:CZ272,102,0)</f>
        <v>0.12839999999999999</v>
      </c>
      <c r="E64" s="91">
        <f>VLOOKUP($A64,'Data Vlaue (Cr)'!$C:$FB,75)</f>
        <v>1561</v>
      </c>
      <c r="F64" s="91">
        <f>VLOOKUP($A64,'Data Vlaue (Cr)'!$C:$FB,77)</f>
        <v>25</v>
      </c>
      <c r="G64" s="92">
        <f>VLOOKUP(A64,'Data Vlaue (Cr)'!C59:CB272,78,0)</f>
        <v>1.6199999999999999E-2</v>
      </c>
      <c r="H64" s="91">
        <f>VLOOKUP($A64,'Data Vlaue (Cr)'!$C:$FB,91)</f>
        <v>452</v>
      </c>
      <c r="I64" s="91">
        <f>VLOOKUP($A64,'Data Vlaue (Cr)'!$C:$FB,93)</f>
        <v>156</v>
      </c>
      <c r="J64" s="92">
        <f>VLOOKUP($A64,'Data Vlaue (Cr)'!$C:$FB,94)</f>
        <v>0.52729999999999999</v>
      </c>
      <c r="K64" s="91">
        <f>VLOOKUP($A64,'Data Vlaue (Cr)'!$C:$FB,95)</f>
        <v>256</v>
      </c>
      <c r="L64" s="91">
        <f>VLOOKUP($A64,'Data Vlaue (Cr)'!$C:$FB,97)</f>
        <v>77</v>
      </c>
      <c r="M64" s="92">
        <f>VLOOKUP($A64,'Data Vlaue (Cr)'!$C:$FB,98)</f>
        <v>0.43109999999999998</v>
      </c>
      <c r="N64" s="91">
        <f>VLOOKUP($A64,'Data Vlaue (Cr)'!$C:$FB,79)</f>
        <v>1543</v>
      </c>
      <c r="O64" s="92">
        <f>VLOOKUP($A64,'Data Vlaue (Cr)'!$C:$FB,82)</f>
        <v>1.2699999999999999E-2</v>
      </c>
    </row>
    <row r="65" spans="1:15" x14ac:dyDescent="0.25">
      <c r="A65" s="97" t="str">
        <f>'Data Vlaue (Cr)'!C60</f>
        <v>EICHERMOT</v>
      </c>
      <c r="B65" s="142">
        <f>VLOOKUP(A65,'Data Vlaue (Cr)'!C60:CW273,99,0)</f>
        <v>3553</v>
      </c>
      <c r="C65" s="90">
        <f>VLOOKUP(A65,'Data Vlaue (Cr)'!C60:CY273,101,0)</f>
        <v>121</v>
      </c>
      <c r="D65" s="139">
        <f>VLOOKUP(A65,'Data Vlaue (Cr)'!C60:CZ273,102,0)</f>
        <v>3.5099999999999999E-2</v>
      </c>
      <c r="E65" s="91">
        <f>VLOOKUP($A65,'Data Vlaue (Cr)'!$C:$FB,75)</f>
        <v>2187</v>
      </c>
      <c r="F65" s="91">
        <f>VLOOKUP($A65,'Data Vlaue (Cr)'!$C:$FB,77)</f>
        <v>18</v>
      </c>
      <c r="G65" s="92">
        <f>VLOOKUP(A65,'Data Vlaue (Cr)'!C60:CB273,78,0)</f>
        <v>8.0999999999999996E-3</v>
      </c>
      <c r="H65" s="91">
        <f>VLOOKUP($A65,'Data Vlaue (Cr)'!$C:$FB,91)</f>
        <v>740</v>
      </c>
      <c r="I65" s="91">
        <f>VLOOKUP($A65,'Data Vlaue (Cr)'!$C:$FB,93)</f>
        <v>42</v>
      </c>
      <c r="J65" s="92">
        <f>VLOOKUP($A65,'Data Vlaue (Cr)'!$C:$FB,94)</f>
        <v>5.9499999999999997E-2</v>
      </c>
      <c r="K65" s="91">
        <f>VLOOKUP($A65,'Data Vlaue (Cr)'!$C:$FB,95)</f>
        <v>626</v>
      </c>
      <c r="L65" s="91">
        <f>VLOOKUP($A65,'Data Vlaue (Cr)'!$C:$FB,97)</f>
        <v>61</v>
      </c>
      <c r="M65" s="92">
        <f>VLOOKUP($A65,'Data Vlaue (Cr)'!$C:$FB,98)</f>
        <v>0.1087</v>
      </c>
      <c r="N65" s="91">
        <f>VLOOKUP($A65,'Data Vlaue (Cr)'!$C:$FB,79)</f>
        <v>2150</v>
      </c>
      <c r="O65" s="92">
        <f>VLOOKUP($A65,'Data Vlaue (Cr)'!$C:$FB,82)</f>
        <v>4.7000000000000002E-3</v>
      </c>
    </row>
    <row r="66" spans="1:15" x14ac:dyDescent="0.25">
      <c r="A66" s="97" t="str">
        <f>'Data Vlaue (Cr)'!C61</f>
        <v>ETERNAL</v>
      </c>
      <c r="B66" s="142">
        <f>VLOOKUP(A66,'Data Vlaue (Cr)'!C61:CW274,99,0)</f>
        <v>9967</v>
      </c>
      <c r="C66" s="90">
        <f>VLOOKUP(A66,'Data Vlaue (Cr)'!C61:CY274,101,0)</f>
        <v>79</v>
      </c>
      <c r="D66" s="139">
        <f>VLOOKUP(A66,'Data Vlaue (Cr)'!C61:CZ274,102,0)</f>
        <v>8.0000000000000002E-3</v>
      </c>
      <c r="E66" s="91">
        <f>VLOOKUP($A66,'Data Vlaue (Cr)'!$C:$FB,75)</f>
        <v>8145</v>
      </c>
      <c r="F66" s="91">
        <f>VLOOKUP($A66,'Data Vlaue (Cr)'!$C:$FB,77)</f>
        <v>-75</v>
      </c>
      <c r="G66" s="92">
        <f>VLOOKUP(A66,'Data Vlaue (Cr)'!C61:CB274,78,0)</f>
        <v>-9.1000000000000004E-3</v>
      </c>
      <c r="H66" s="91">
        <f>VLOOKUP($A66,'Data Vlaue (Cr)'!$C:$FB,91)</f>
        <v>970</v>
      </c>
      <c r="I66" s="91">
        <f>VLOOKUP($A66,'Data Vlaue (Cr)'!$C:$FB,93)</f>
        <v>68</v>
      </c>
      <c r="J66" s="92">
        <f>VLOOKUP($A66,'Data Vlaue (Cr)'!$C:$FB,94)</f>
        <v>7.5300000000000006E-2</v>
      </c>
      <c r="K66" s="91">
        <f>VLOOKUP($A66,'Data Vlaue (Cr)'!$C:$FB,95)</f>
        <v>852</v>
      </c>
      <c r="L66" s="91">
        <f>VLOOKUP($A66,'Data Vlaue (Cr)'!$C:$FB,97)</f>
        <v>86</v>
      </c>
      <c r="M66" s="92">
        <f>VLOOKUP($A66,'Data Vlaue (Cr)'!$C:$FB,98)</f>
        <v>0.112</v>
      </c>
      <c r="N66" s="91">
        <f>VLOOKUP($A66,'Data Vlaue (Cr)'!$C:$FB,79)</f>
        <v>8009</v>
      </c>
      <c r="O66" s="92">
        <f>VLOOKUP($A66,'Data Vlaue (Cr)'!$C:$FB,82)</f>
        <v>-9.7999999999999997E-3</v>
      </c>
    </row>
    <row r="67" spans="1:15" x14ac:dyDescent="0.25">
      <c r="A67" s="97" t="str">
        <f>'Data Vlaue (Cr)'!C62</f>
        <v>EXIDEIND</v>
      </c>
      <c r="B67" s="142">
        <f>VLOOKUP(A67,'Data Vlaue (Cr)'!C62:CW275,99,0)</f>
        <v>1724</v>
      </c>
      <c r="C67" s="90">
        <f>VLOOKUP(A67,'Data Vlaue (Cr)'!C62:CY275,101,0)</f>
        <v>40</v>
      </c>
      <c r="D67" s="139">
        <f>VLOOKUP(A67,'Data Vlaue (Cr)'!C62:CZ275,102,0)</f>
        <v>2.35E-2</v>
      </c>
      <c r="E67" s="91">
        <f>VLOOKUP($A67,'Data Vlaue (Cr)'!$C:$FB,75)</f>
        <v>1132</v>
      </c>
      <c r="F67" s="91">
        <f>VLOOKUP($A67,'Data Vlaue (Cr)'!$C:$FB,77)</f>
        <v>2</v>
      </c>
      <c r="G67" s="92">
        <f>VLOOKUP(A67,'Data Vlaue (Cr)'!C62:CB275,78,0)</f>
        <v>1.9E-3</v>
      </c>
      <c r="H67" s="91">
        <f>VLOOKUP($A67,'Data Vlaue (Cr)'!$C:$FB,91)</f>
        <v>336</v>
      </c>
      <c r="I67" s="91">
        <f>VLOOKUP($A67,'Data Vlaue (Cr)'!$C:$FB,93)</f>
        <v>22</v>
      </c>
      <c r="J67" s="92">
        <f>VLOOKUP($A67,'Data Vlaue (Cr)'!$C:$FB,94)</f>
        <v>6.9400000000000003E-2</v>
      </c>
      <c r="K67" s="91">
        <f>VLOOKUP($A67,'Data Vlaue (Cr)'!$C:$FB,95)</f>
        <v>256</v>
      </c>
      <c r="L67" s="91">
        <f>VLOOKUP($A67,'Data Vlaue (Cr)'!$C:$FB,97)</f>
        <v>16</v>
      </c>
      <c r="M67" s="92">
        <f>VLOOKUP($A67,'Data Vlaue (Cr)'!$C:$FB,98)</f>
        <v>6.5000000000000002E-2</v>
      </c>
      <c r="N67" s="91">
        <f>VLOOKUP($A67,'Data Vlaue (Cr)'!$C:$FB,79)</f>
        <v>1087</v>
      </c>
      <c r="O67" s="92">
        <f>VLOOKUP($A67,'Data Vlaue (Cr)'!$C:$FB,82)</f>
        <v>-8.0000000000000004E-4</v>
      </c>
    </row>
    <row r="68" spans="1:15" x14ac:dyDescent="0.25">
      <c r="A68" s="97" t="str">
        <f>'Data Vlaue (Cr)'!C63</f>
        <v>FEDERALBNK</v>
      </c>
      <c r="B68" s="142">
        <f>VLOOKUP(A68,'Data Vlaue (Cr)'!C63:CW276,99,0)</f>
        <v>2446</v>
      </c>
      <c r="C68" s="90">
        <f>VLOOKUP(A68,'Data Vlaue (Cr)'!C63:CY276,101,0)</f>
        <v>119</v>
      </c>
      <c r="D68" s="139">
        <f>VLOOKUP(A68,'Data Vlaue (Cr)'!C63:CZ276,102,0)</f>
        <v>5.0999999999999997E-2</v>
      </c>
      <c r="E68" s="91">
        <f>VLOOKUP($A68,'Data Vlaue (Cr)'!$C:$FB,75)</f>
        <v>1443</v>
      </c>
      <c r="F68" s="91">
        <f>VLOOKUP($A68,'Data Vlaue (Cr)'!$C:$FB,77)</f>
        <v>-7</v>
      </c>
      <c r="G68" s="92">
        <f>VLOOKUP(A68,'Data Vlaue (Cr)'!C63:CB276,78,0)</f>
        <v>-4.7000000000000002E-3</v>
      </c>
      <c r="H68" s="91">
        <f>VLOOKUP($A68,'Data Vlaue (Cr)'!$C:$FB,91)</f>
        <v>531</v>
      </c>
      <c r="I68" s="91">
        <f>VLOOKUP($A68,'Data Vlaue (Cr)'!$C:$FB,93)</f>
        <v>46</v>
      </c>
      <c r="J68" s="92">
        <f>VLOOKUP($A68,'Data Vlaue (Cr)'!$C:$FB,94)</f>
        <v>9.5500000000000002E-2</v>
      </c>
      <c r="K68" s="91">
        <f>VLOOKUP($A68,'Data Vlaue (Cr)'!$C:$FB,95)</f>
        <v>472</v>
      </c>
      <c r="L68" s="91">
        <f>VLOOKUP($A68,'Data Vlaue (Cr)'!$C:$FB,97)</f>
        <v>79</v>
      </c>
      <c r="M68" s="92">
        <f>VLOOKUP($A68,'Data Vlaue (Cr)'!$C:$FB,98)</f>
        <v>0.2016</v>
      </c>
      <c r="N68" s="91">
        <f>VLOOKUP($A68,'Data Vlaue (Cr)'!$C:$FB,79)</f>
        <v>1390</v>
      </c>
      <c r="O68" s="92">
        <f>VLOOKUP($A68,'Data Vlaue (Cr)'!$C:$FB,82)</f>
        <v>-7.0000000000000001E-3</v>
      </c>
    </row>
    <row r="69" spans="1:15" x14ac:dyDescent="0.25">
      <c r="A69" s="97" t="str">
        <f>'Data Vlaue (Cr)'!C64</f>
        <v>FINNIFTY</v>
      </c>
      <c r="B69" s="142">
        <f>VLOOKUP(A69,'Data Vlaue (Cr)'!C64:CW277,99,0)</f>
        <v>970</v>
      </c>
      <c r="C69" s="90">
        <f>VLOOKUP(A69,'Data Vlaue (Cr)'!C64:CY277,101,0)</f>
        <v>179</v>
      </c>
      <c r="D69" s="139">
        <f>VLOOKUP(A69,'Data Vlaue (Cr)'!C64:CZ277,102,0)</f>
        <v>0.2258</v>
      </c>
      <c r="E69" s="91">
        <f>VLOOKUP($A69,'Data Vlaue (Cr)'!$C:$FB,75)</f>
        <v>98</v>
      </c>
      <c r="F69" s="91">
        <f>VLOOKUP($A69,'Data Vlaue (Cr)'!$C:$FB,77)</f>
        <v>10</v>
      </c>
      <c r="G69" s="92">
        <f>VLOOKUP(A69,'Data Vlaue (Cr)'!C64:CB277,78,0)</f>
        <v>0.1176</v>
      </c>
      <c r="H69" s="91">
        <f>VLOOKUP($A69,'Data Vlaue (Cr)'!$C:$FB,91)</f>
        <v>470</v>
      </c>
      <c r="I69" s="91">
        <f>VLOOKUP($A69,'Data Vlaue (Cr)'!$C:$FB,93)</f>
        <v>86</v>
      </c>
      <c r="J69" s="92">
        <f>VLOOKUP($A69,'Data Vlaue (Cr)'!$C:$FB,94)</f>
        <v>0.2248</v>
      </c>
      <c r="K69" s="91">
        <f>VLOOKUP($A69,'Data Vlaue (Cr)'!$C:$FB,95)</f>
        <v>402</v>
      </c>
      <c r="L69" s="91">
        <f>VLOOKUP($A69,'Data Vlaue (Cr)'!$C:$FB,97)</f>
        <v>82</v>
      </c>
      <c r="M69" s="92">
        <f>VLOOKUP($A69,'Data Vlaue (Cr)'!$C:$FB,98)</f>
        <v>0.25669999999999998</v>
      </c>
      <c r="N69" s="91">
        <f>VLOOKUP($A69,'Data Vlaue (Cr)'!$C:$FB,79)</f>
        <v>98</v>
      </c>
      <c r="O69" s="92">
        <f>VLOOKUP($A69,'Data Vlaue (Cr)'!$C:$FB,82)</f>
        <v>0.1181</v>
      </c>
    </row>
    <row r="70" spans="1:15" x14ac:dyDescent="0.25">
      <c r="A70" s="97" t="str">
        <f>'Data Vlaue (Cr)'!C65</f>
        <v>FORTIS</v>
      </c>
      <c r="B70" s="142">
        <f>VLOOKUP(A70,'Data Vlaue (Cr)'!C65:CW278,99,0)</f>
        <v>1338</v>
      </c>
      <c r="C70" s="90">
        <f>VLOOKUP(A70,'Data Vlaue (Cr)'!C65:CY278,101,0)</f>
        <v>63</v>
      </c>
      <c r="D70" s="139">
        <f>VLOOKUP(A70,'Data Vlaue (Cr)'!C65:CZ278,102,0)</f>
        <v>4.9799999999999997E-2</v>
      </c>
      <c r="E70" s="91">
        <f>VLOOKUP($A70,'Data Vlaue (Cr)'!$C:$FB,75)</f>
        <v>1055</v>
      </c>
      <c r="F70" s="91">
        <f>VLOOKUP($A70,'Data Vlaue (Cr)'!$C:$FB,77)</f>
        <v>11</v>
      </c>
      <c r="G70" s="92">
        <f>VLOOKUP(A70,'Data Vlaue (Cr)'!C65:CB278,78,0)</f>
        <v>1.09E-2</v>
      </c>
      <c r="H70" s="91">
        <f>VLOOKUP($A70,'Data Vlaue (Cr)'!$C:$FB,91)</f>
        <v>176</v>
      </c>
      <c r="I70" s="91">
        <f>VLOOKUP($A70,'Data Vlaue (Cr)'!$C:$FB,93)</f>
        <v>46</v>
      </c>
      <c r="J70" s="92">
        <f>VLOOKUP($A70,'Data Vlaue (Cr)'!$C:$FB,94)</f>
        <v>0.35149999999999998</v>
      </c>
      <c r="K70" s="91">
        <f>VLOOKUP($A70,'Data Vlaue (Cr)'!$C:$FB,95)</f>
        <v>107</v>
      </c>
      <c r="L70" s="91">
        <f>VLOOKUP($A70,'Data Vlaue (Cr)'!$C:$FB,97)</f>
        <v>6</v>
      </c>
      <c r="M70" s="92">
        <f>VLOOKUP($A70,'Data Vlaue (Cr)'!$C:$FB,98)</f>
        <v>6.4299999999999996E-2</v>
      </c>
      <c r="N70" s="91">
        <f>VLOOKUP($A70,'Data Vlaue (Cr)'!$C:$FB,79)</f>
        <v>1043</v>
      </c>
      <c r="O70" s="92">
        <f>VLOOKUP($A70,'Data Vlaue (Cr)'!$C:$FB,82)</f>
        <v>9.7999999999999997E-3</v>
      </c>
    </row>
    <row r="71" spans="1:15" x14ac:dyDescent="0.25">
      <c r="A71" s="97" t="str">
        <f>'Data Vlaue (Cr)'!C66</f>
        <v>GAIL</v>
      </c>
      <c r="B71" s="142">
        <f>VLOOKUP(A71,'Data Vlaue (Cr)'!C66:CW279,99,0)</f>
        <v>2335</v>
      </c>
      <c r="C71" s="90">
        <f>VLOOKUP(A71,'Data Vlaue (Cr)'!C66:CY279,101,0)</f>
        <v>50</v>
      </c>
      <c r="D71" s="139">
        <f>VLOOKUP(A71,'Data Vlaue (Cr)'!C66:CZ279,102,0)</f>
        <v>2.1999999999999999E-2</v>
      </c>
      <c r="E71" s="91">
        <f>VLOOKUP($A71,'Data Vlaue (Cr)'!$C:$FB,75)</f>
        <v>1464</v>
      </c>
      <c r="F71" s="91">
        <f>VLOOKUP($A71,'Data Vlaue (Cr)'!$C:$FB,77)</f>
        <v>2</v>
      </c>
      <c r="G71" s="92">
        <f>VLOOKUP(A71,'Data Vlaue (Cr)'!C66:CB279,78,0)</f>
        <v>1.1999999999999999E-3</v>
      </c>
      <c r="H71" s="91">
        <f>VLOOKUP($A71,'Data Vlaue (Cr)'!$C:$FB,91)</f>
        <v>435</v>
      </c>
      <c r="I71" s="91">
        <f>VLOOKUP($A71,'Data Vlaue (Cr)'!$C:$FB,93)</f>
        <v>30</v>
      </c>
      <c r="J71" s="92">
        <f>VLOOKUP($A71,'Data Vlaue (Cr)'!$C:$FB,94)</f>
        <v>7.3599999999999999E-2</v>
      </c>
      <c r="K71" s="91">
        <f>VLOOKUP($A71,'Data Vlaue (Cr)'!$C:$FB,95)</f>
        <v>436</v>
      </c>
      <c r="L71" s="91">
        <f>VLOOKUP($A71,'Data Vlaue (Cr)'!$C:$FB,97)</f>
        <v>19</v>
      </c>
      <c r="M71" s="92">
        <f>VLOOKUP($A71,'Data Vlaue (Cr)'!$C:$FB,98)</f>
        <v>4.4999999999999998E-2</v>
      </c>
      <c r="N71" s="91">
        <f>VLOOKUP($A71,'Data Vlaue (Cr)'!$C:$FB,79)</f>
        <v>1415</v>
      </c>
      <c r="O71" s="92">
        <f>VLOOKUP($A71,'Data Vlaue (Cr)'!$C:$FB,82)</f>
        <v>5.0000000000000001E-4</v>
      </c>
    </row>
    <row r="72" spans="1:15" x14ac:dyDescent="0.25">
      <c r="A72" s="97" t="str">
        <f>'Data Vlaue (Cr)'!C67</f>
        <v>GLENMARK</v>
      </c>
      <c r="B72" s="142">
        <f>VLOOKUP(A72,'Data Vlaue (Cr)'!C67:CW280,99,0)</f>
        <v>3179</v>
      </c>
      <c r="C72" s="90">
        <f>VLOOKUP(A72,'Data Vlaue (Cr)'!C67:CY280,101,0)</f>
        <v>31</v>
      </c>
      <c r="D72" s="139">
        <f>VLOOKUP(A72,'Data Vlaue (Cr)'!C67:CZ280,102,0)</f>
        <v>0.01</v>
      </c>
      <c r="E72" s="91">
        <f>VLOOKUP($A72,'Data Vlaue (Cr)'!$C:$FB,75)</f>
        <v>2480</v>
      </c>
      <c r="F72" s="91">
        <f>VLOOKUP($A72,'Data Vlaue (Cr)'!$C:$FB,77)</f>
        <v>-7</v>
      </c>
      <c r="G72" s="92">
        <f>VLOOKUP(A72,'Data Vlaue (Cr)'!C67:CB280,78,0)</f>
        <v>-2.8999999999999998E-3</v>
      </c>
      <c r="H72" s="91">
        <f>VLOOKUP($A72,'Data Vlaue (Cr)'!$C:$FB,91)</f>
        <v>444</v>
      </c>
      <c r="I72" s="91">
        <f>VLOOKUP($A72,'Data Vlaue (Cr)'!$C:$FB,93)</f>
        <v>27</v>
      </c>
      <c r="J72" s="92">
        <f>VLOOKUP($A72,'Data Vlaue (Cr)'!$C:$FB,94)</f>
        <v>6.3500000000000001E-2</v>
      </c>
      <c r="K72" s="91">
        <f>VLOOKUP($A72,'Data Vlaue (Cr)'!$C:$FB,95)</f>
        <v>255</v>
      </c>
      <c r="L72" s="91">
        <f>VLOOKUP($A72,'Data Vlaue (Cr)'!$C:$FB,97)</f>
        <v>12</v>
      </c>
      <c r="M72" s="92">
        <f>VLOOKUP($A72,'Data Vlaue (Cr)'!$C:$FB,98)</f>
        <v>4.9500000000000002E-2</v>
      </c>
      <c r="N72" s="91">
        <f>VLOOKUP($A72,'Data Vlaue (Cr)'!$C:$FB,79)</f>
        <v>2471</v>
      </c>
      <c r="O72" s="92">
        <f>VLOOKUP($A72,'Data Vlaue (Cr)'!$C:$FB,82)</f>
        <v>-3.0000000000000001E-3</v>
      </c>
    </row>
    <row r="73" spans="1:15" x14ac:dyDescent="0.25">
      <c r="A73" s="97" t="str">
        <f>'Data Vlaue (Cr)'!C68</f>
        <v>GMRAIRPORT</v>
      </c>
      <c r="B73" s="142">
        <f>VLOOKUP(A73,'Data Vlaue (Cr)'!C68:CW281,99,0)</f>
        <v>3090</v>
      </c>
      <c r="C73" s="90">
        <f>VLOOKUP(A73,'Data Vlaue (Cr)'!C68:CY281,101,0)</f>
        <v>71</v>
      </c>
      <c r="D73" s="139">
        <f>VLOOKUP(A73,'Data Vlaue (Cr)'!C68:CZ281,102,0)</f>
        <v>2.3599999999999999E-2</v>
      </c>
      <c r="E73" s="91">
        <f>VLOOKUP($A73,'Data Vlaue (Cr)'!$C:$FB,75)</f>
        <v>1811</v>
      </c>
      <c r="F73" s="91">
        <f>VLOOKUP($A73,'Data Vlaue (Cr)'!$C:$FB,77)</f>
        <v>29</v>
      </c>
      <c r="G73" s="92">
        <f>VLOOKUP(A73,'Data Vlaue (Cr)'!C68:CB281,78,0)</f>
        <v>1.6400000000000001E-2</v>
      </c>
      <c r="H73" s="91">
        <f>VLOOKUP($A73,'Data Vlaue (Cr)'!$C:$FB,91)</f>
        <v>792</v>
      </c>
      <c r="I73" s="91">
        <f>VLOOKUP($A73,'Data Vlaue (Cr)'!$C:$FB,93)</f>
        <v>19</v>
      </c>
      <c r="J73" s="92">
        <f>VLOOKUP($A73,'Data Vlaue (Cr)'!$C:$FB,94)</f>
        <v>2.4E-2</v>
      </c>
      <c r="K73" s="91">
        <f>VLOOKUP($A73,'Data Vlaue (Cr)'!$C:$FB,95)</f>
        <v>488</v>
      </c>
      <c r="L73" s="91">
        <f>VLOOKUP($A73,'Data Vlaue (Cr)'!$C:$FB,97)</f>
        <v>23</v>
      </c>
      <c r="M73" s="92">
        <f>VLOOKUP($A73,'Data Vlaue (Cr)'!$C:$FB,98)</f>
        <v>5.0500000000000003E-2</v>
      </c>
      <c r="N73" s="91">
        <f>VLOOKUP($A73,'Data Vlaue (Cr)'!$C:$FB,79)</f>
        <v>1771</v>
      </c>
      <c r="O73" s="92">
        <f>VLOOKUP($A73,'Data Vlaue (Cr)'!$C:$FB,82)</f>
        <v>1.5900000000000001E-2</v>
      </c>
    </row>
    <row r="74" spans="1:15" x14ac:dyDescent="0.25">
      <c r="A74" s="97" t="str">
        <f>'Data Vlaue (Cr)'!C69</f>
        <v>GODREJCP</v>
      </c>
      <c r="B74" s="142">
        <f>VLOOKUP(A74,'Data Vlaue (Cr)'!C69:CW282,99,0)</f>
        <v>1380</v>
      </c>
      <c r="C74" s="90">
        <f>VLOOKUP(A74,'Data Vlaue (Cr)'!C69:CY282,101,0)</f>
        <v>0</v>
      </c>
      <c r="D74" s="139">
        <f>VLOOKUP(A74,'Data Vlaue (Cr)'!C69:CZ282,102,0)</f>
        <v>2.9999999999999997E-4</v>
      </c>
      <c r="E74" s="91">
        <f>VLOOKUP($A74,'Data Vlaue (Cr)'!$C:$FB,75)</f>
        <v>1185</v>
      </c>
      <c r="F74" s="91">
        <f>VLOOKUP($A74,'Data Vlaue (Cr)'!$C:$FB,77)</f>
        <v>-16</v>
      </c>
      <c r="G74" s="92">
        <f>VLOOKUP(A74,'Data Vlaue (Cr)'!C69:CB282,78,0)</f>
        <v>-1.32E-2</v>
      </c>
      <c r="H74" s="91">
        <f>VLOOKUP($A74,'Data Vlaue (Cr)'!$C:$FB,91)</f>
        <v>109</v>
      </c>
      <c r="I74" s="91">
        <f>VLOOKUP($A74,'Data Vlaue (Cr)'!$C:$FB,93)</f>
        <v>6</v>
      </c>
      <c r="J74" s="92">
        <f>VLOOKUP($A74,'Data Vlaue (Cr)'!$C:$FB,94)</f>
        <v>5.8099999999999999E-2</v>
      </c>
      <c r="K74" s="91">
        <f>VLOOKUP($A74,'Data Vlaue (Cr)'!$C:$FB,95)</f>
        <v>86</v>
      </c>
      <c r="L74" s="91">
        <f>VLOOKUP($A74,'Data Vlaue (Cr)'!$C:$FB,97)</f>
        <v>10</v>
      </c>
      <c r="M74" s="92">
        <f>VLOOKUP($A74,'Data Vlaue (Cr)'!$C:$FB,98)</f>
        <v>0.13750000000000001</v>
      </c>
      <c r="N74" s="91">
        <f>VLOOKUP($A74,'Data Vlaue (Cr)'!$C:$FB,79)</f>
        <v>1181</v>
      </c>
      <c r="O74" s="92">
        <f>VLOOKUP($A74,'Data Vlaue (Cr)'!$C:$FB,82)</f>
        <v>-1.35E-2</v>
      </c>
    </row>
    <row r="75" spans="1:15" x14ac:dyDescent="0.25">
      <c r="A75" s="97" t="str">
        <f>'Data Vlaue (Cr)'!C70</f>
        <v>GODREJPROP</v>
      </c>
      <c r="B75" s="142">
        <f>VLOOKUP(A75,'Data Vlaue (Cr)'!C70:CW283,99,0)</f>
        <v>2449</v>
      </c>
      <c r="C75" s="90">
        <f>VLOOKUP(A75,'Data Vlaue (Cr)'!C70:CY283,101,0)</f>
        <v>50</v>
      </c>
      <c r="D75" s="139">
        <f>VLOOKUP(A75,'Data Vlaue (Cr)'!C70:CZ283,102,0)</f>
        <v>2.1000000000000001E-2</v>
      </c>
      <c r="E75" s="91">
        <f>VLOOKUP($A75,'Data Vlaue (Cr)'!$C:$FB,75)</f>
        <v>1852</v>
      </c>
      <c r="F75" s="91">
        <f>VLOOKUP($A75,'Data Vlaue (Cr)'!$C:$FB,77)</f>
        <v>19</v>
      </c>
      <c r="G75" s="92">
        <f>VLOOKUP(A75,'Data Vlaue (Cr)'!C70:CB283,78,0)</f>
        <v>1.01E-2</v>
      </c>
      <c r="H75" s="91">
        <f>VLOOKUP($A75,'Data Vlaue (Cr)'!$C:$FB,91)</f>
        <v>329</v>
      </c>
      <c r="I75" s="91">
        <f>VLOOKUP($A75,'Data Vlaue (Cr)'!$C:$FB,93)</f>
        <v>20</v>
      </c>
      <c r="J75" s="92">
        <f>VLOOKUP($A75,'Data Vlaue (Cr)'!$C:$FB,94)</f>
        <v>6.6000000000000003E-2</v>
      </c>
      <c r="K75" s="91">
        <f>VLOOKUP($A75,'Data Vlaue (Cr)'!$C:$FB,95)</f>
        <v>267</v>
      </c>
      <c r="L75" s="91">
        <f>VLOOKUP($A75,'Data Vlaue (Cr)'!$C:$FB,97)</f>
        <v>11</v>
      </c>
      <c r="M75" s="92">
        <f>VLOOKUP($A75,'Data Vlaue (Cr)'!$C:$FB,98)</f>
        <v>4.4900000000000002E-2</v>
      </c>
      <c r="N75" s="91">
        <f>VLOOKUP($A75,'Data Vlaue (Cr)'!$C:$FB,79)</f>
        <v>1820</v>
      </c>
      <c r="O75" s="92">
        <f>VLOOKUP($A75,'Data Vlaue (Cr)'!$C:$FB,82)</f>
        <v>9.4000000000000004E-3</v>
      </c>
    </row>
    <row r="76" spans="1:15" x14ac:dyDescent="0.25">
      <c r="A76" s="97" t="str">
        <f>'Data Vlaue (Cr)'!C71</f>
        <v>GRASIM</v>
      </c>
      <c r="B76" s="142">
        <f>VLOOKUP(A76,'Data Vlaue (Cr)'!C71:CW284,99,0)</f>
        <v>5099</v>
      </c>
      <c r="C76" s="90">
        <f>VLOOKUP(A76,'Data Vlaue (Cr)'!C71:CY284,101,0)</f>
        <v>93</v>
      </c>
      <c r="D76" s="139">
        <f>VLOOKUP(A76,'Data Vlaue (Cr)'!C71:CZ284,102,0)</f>
        <v>1.8499999999999999E-2</v>
      </c>
      <c r="E76" s="91">
        <f>VLOOKUP($A76,'Data Vlaue (Cr)'!$C:$FB,75)</f>
        <v>4520</v>
      </c>
      <c r="F76" s="91">
        <f>VLOOKUP($A76,'Data Vlaue (Cr)'!$C:$FB,77)</f>
        <v>42</v>
      </c>
      <c r="G76" s="92">
        <f>VLOOKUP(A76,'Data Vlaue (Cr)'!C71:CB284,78,0)</f>
        <v>9.4000000000000004E-3</v>
      </c>
      <c r="H76" s="91">
        <f>VLOOKUP($A76,'Data Vlaue (Cr)'!$C:$FB,91)</f>
        <v>284</v>
      </c>
      <c r="I76" s="91">
        <f>VLOOKUP($A76,'Data Vlaue (Cr)'!$C:$FB,93)</f>
        <v>30</v>
      </c>
      <c r="J76" s="92">
        <f>VLOOKUP($A76,'Data Vlaue (Cr)'!$C:$FB,94)</f>
        <v>0.1178</v>
      </c>
      <c r="K76" s="91">
        <f>VLOOKUP($A76,'Data Vlaue (Cr)'!$C:$FB,95)</f>
        <v>295</v>
      </c>
      <c r="L76" s="91">
        <f>VLOOKUP($A76,'Data Vlaue (Cr)'!$C:$FB,97)</f>
        <v>21</v>
      </c>
      <c r="M76" s="92">
        <f>VLOOKUP($A76,'Data Vlaue (Cr)'!$C:$FB,98)</f>
        <v>7.5399999999999995E-2</v>
      </c>
      <c r="N76" s="91">
        <f>VLOOKUP($A76,'Data Vlaue (Cr)'!$C:$FB,79)</f>
        <v>4507</v>
      </c>
      <c r="O76" s="92">
        <f>VLOOKUP($A76,'Data Vlaue (Cr)'!$C:$FB,82)</f>
        <v>8.6999999999999994E-3</v>
      </c>
    </row>
    <row r="77" spans="1:15" x14ac:dyDescent="0.25">
      <c r="A77" s="97" t="str">
        <f>'Data Vlaue (Cr)'!C72</f>
        <v>HAL</v>
      </c>
      <c r="B77" s="142">
        <f>VLOOKUP(A77,'Data Vlaue (Cr)'!C72:CW285,99,0)</f>
        <v>6960</v>
      </c>
      <c r="C77" s="90">
        <f>VLOOKUP(A77,'Data Vlaue (Cr)'!C72:CY285,101,0)</f>
        <v>140</v>
      </c>
      <c r="D77" s="139">
        <f>VLOOKUP(A77,'Data Vlaue (Cr)'!C72:CZ285,102,0)</f>
        <v>2.0500000000000001E-2</v>
      </c>
      <c r="E77" s="91">
        <f>VLOOKUP($A77,'Data Vlaue (Cr)'!$C:$FB,75)</f>
        <v>4258</v>
      </c>
      <c r="F77" s="91">
        <f>VLOOKUP($A77,'Data Vlaue (Cr)'!$C:$FB,77)</f>
        <v>2</v>
      </c>
      <c r="G77" s="92">
        <f>VLOOKUP(A77,'Data Vlaue (Cr)'!C72:CB285,78,0)</f>
        <v>5.0000000000000001E-4</v>
      </c>
      <c r="H77" s="91">
        <f>VLOOKUP($A77,'Data Vlaue (Cr)'!$C:$FB,91)</f>
        <v>1588</v>
      </c>
      <c r="I77" s="91">
        <f>VLOOKUP($A77,'Data Vlaue (Cr)'!$C:$FB,93)</f>
        <v>84</v>
      </c>
      <c r="J77" s="92">
        <f>VLOOKUP($A77,'Data Vlaue (Cr)'!$C:$FB,94)</f>
        <v>5.6099999999999997E-2</v>
      </c>
      <c r="K77" s="91">
        <f>VLOOKUP($A77,'Data Vlaue (Cr)'!$C:$FB,95)</f>
        <v>1115</v>
      </c>
      <c r="L77" s="91">
        <f>VLOOKUP($A77,'Data Vlaue (Cr)'!$C:$FB,97)</f>
        <v>53</v>
      </c>
      <c r="M77" s="92">
        <f>VLOOKUP($A77,'Data Vlaue (Cr)'!$C:$FB,98)</f>
        <v>4.99E-2</v>
      </c>
      <c r="N77" s="91">
        <f>VLOOKUP($A77,'Data Vlaue (Cr)'!$C:$FB,79)</f>
        <v>3931</v>
      </c>
      <c r="O77" s="92">
        <f>VLOOKUP($A77,'Data Vlaue (Cr)'!$C:$FB,82)</f>
        <v>-1.7399999999999999E-2</v>
      </c>
    </row>
    <row r="78" spans="1:15" x14ac:dyDescent="0.25">
      <c r="A78" s="97" t="str">
        <f>'Data Vlaue (Cr)'!C73</f>
        <v>HAVELLS</v>
      </c>
      <c r="B78" s="142">
        <f>VLOOKUP(A78,'Data Vlaue (Cr)'!C73:CW286,99,0)</f>
        <v>1516</v>
      </c>
      <c r="C78" s="90">
        <f>VLOOKUP(A78,'Data Vlaue (Cr)'!C73:CY286,101,0)</f>
        <v>50</v>
      </c>
      <c r="D78" s="139">
        <f>VLOOKUP(A78,'Data Vlaue (Cr)'!C73:CZ286,102,0)</f>
        <v>3.4299999999999997E-2</v>
      </c>
      <c r="E78" s="91">
        <f>VLOOKUP($A78,'Data Vlaue (Cr)'!$C:$FB,75)</f>
        <v>1115</v>
      </c>
      <c r="F78" s="91">
        <f>VLOOKUP($A78,'Data Vlaue (Cr)'!$C:$FB,77)</f>
        <v>3</v>
      </c>
      <c r="G78" s="92">
        <f>VLOOKUP(A78,'Data Vlaue (Cr)'!C73:CB286,78,0)</f>
        <v>2.8E-3</v>
      </c>
      <c r="H78" s="91">
        <f>VLOOKUP($A78,'Data Vlaue (Cr)'!$C:$FB,91)</f>
        <v>190</v>
      </c>
      <c r="I78" s="91">
        <f>VLOOKUP($A78,'Data Vlaue (Cr)'!$C:$FB,93)</f>
        <v>29</v>
      </c>
      <c r="J78" s="92">
        <f>VLOOKUP($A78,'Data Vlaue (Cr)'!$C:$FB,94)</f>
        <v>0.17879999999999999</v>
      </c>
      <c r="K78" s="91">
        <f>VLOOKUP($A78,'Data Vlaue (Cr)'!$C:$FB,95)</f>
        <v>211</v>
      </c>
      <c r="L78" s="91">
        <f>VLOOKUP($A78,'Data Vlaue (Cr)'!$C:$FB,97)</f>
        <v>18</v>
      </c>
      <c r="M78" s="92">
        <f>VLOOKUP($A78,'Data Vlaue (Cr)'!$C:$FB,98)</f>
        <v>9.5600000000000004E-2</v>
      </c>
      <c r="N78" s="91">
        <f>VLOOKUP($A78,'Data Vlaue (Cr)'!$C:$FB,79)</f>
        <v>1083</v>
      </c>
      <c r="O78" s="92">
        <f>VLOOKUP($A78,'Data Vlaue (Cr)'!$C:$FB,82)</f>
        <v>1.6999999999999999E-3</v>
      </c>
    </row>
    <row r="79" spans="1:15" x14ac:dyDescent="0.25">
      <c r="A79" s="97" t="str">
        <f>'Data Vlaue (Cr)'!C74</f>
        <v>HCLTECH</v>
      </c>
      <c r="B79" s="142">
        <f>VLOOKUP(A79,'Data Vlaue (Cr)'!C74:CW287,99,0)</f>
        <v>3557</v>
      </c>
      <c r="C79" s="90">
        <f>VLOOKUP(A79,'Data Vlaue (Cr)'!C74:CY287,101,0)</f>
        <v>169</v>
      </c>
      <c r="D79" s="139">
        <f>VLOOKUP(A79,'Data Vlaue (Cr)'!C74:CZ287,102,0)</f>
        <v>4.9799999999999997E-2</v>
      </c>
      <c r="E79" s="91">
        <f>VLOOKUP($A79,'Data Vlaue (Cr)'!$C:$FB,75)</f>
        <v>2598</v>
      </c>
      <c r="F79" s="91">
        <f>VLOOKUP($A79,'Data Vlaue (Cr)'!$C:$FB,77)</f>
        <v>8</v>
      </c>
      <c r="G79" s="92">
        <f>VLOOKUP(A79,'Data Vlaue (Cr)'!C74:CB287,78,0)</f>
        <v>3.0000000000000001E-3</v>
      </c>
      <c r="H79" s="91">
        <f>VLOOKUP($A79,'Data Vlaue (Cr)'!$C:$FB,91)</f>
        <v>596</v>
      </c>
      <c r="I79" s="91">
        <f>VLOOKUP($A79,'Data Vlaue (Cr)'!$C:$FB,93)</f>
        <v>127</v>
      </c>
      <c r="J79" s="92">
        <f>VLOOKUP($A79,'Data Vlaue (Cr)'!$C:$FB,94)</f>
        <v>0.27</v>
      </c>
      <c r="K79" s="91">
        <f>VLOOKUP($A79,'Data Vlaue (Cr)'!$C:$FB,95)</f>
        <v>363</v>
      </c>
      <c r="L79" s="91">
        <f>VLOOKUP($A79,'Data Vlaue (Cr)'!$C:$FB,97)</f>
        <v>34</v>
      </c>
      <c r="M79" s="92">
        <f>VLOOKUP($A79,'Data Vlaue (Cr)'!$C:$FB,98)</f>
        <v>0.1036</v>
      </c>
      <c r="N79" s="91">
        <f>VLOOKUP($A79,'Data Vlaue (Cr)'!$C:$FB,79)</f>
        <v>2563</v>
      </c>
      <c r="O79" s="92">
        <f>VLOOKUP($A79,'Data Vlaue (Cr)'!$C:$FB,82)</f>
        <v>1.6999999999999999E-3</v>
      </c>
    </row>
    <row r="80" spans="1:15" x14ac:dyDescent="0.25">
      <c r="A80" s="97" t="str">
        <f>'Data Vlaue (Cr)'!C75</f>
        <v>HDFCAMC</v>
      </c>
      <c r="B80" s="142">
        <f>VLOOKUP(A80,'Data Vlaue (Cr)'!C75:CW288,99,0)</f>
        <v>2096</v>
      </c>
      <c r="C80" s="90">
        <f>VLOOKUP(A80,'Data Vlaue (Cr)'!C75:CY288,101,0)</f>
        <v>51</v>
      </c>
      <c r="D80" s="139">
        <f>VLOOKUP(A80,'Data Vlaue (Cr)'!C75:CZ288,102,0)</f>
        <v>2.5000000000000001E-2</v>
      </c>
      <c r="E80" s="91">
        <f>VLOOKUP($A80,'Data Vlaue (Cr)'!$C:$FB,75)</f>
        <v>1581</v>
      </c>
      <c r="F80" s="91">
        <f>VLOOKUP($A80,'Data Vlaue (Cr)'!$C:$FB,77)</f>
        <v>3</v>
      </c>
      <c r="G80" s="92">
        <f>VLOOKUP(A80,'Data Vlaue (Cr)'!C75:CB288,78,0)</f>
        <v>1.6999999999999999E-3</v>
      </c>
      <c r="H80" s="91">
        <f>VLOOKUP($A80,'Data Vlaue (Cr)'!$C:$FB,91)</f>
        <v>297</v>
      </c>
      <c r="I80" s="91">
        <f>VLOOKUP($A80,'Data Vlaue (Cr)'!$C:$FB,93)</f>
        <v>29</v>
      </c>
      <c r="J80" s="92">
        <f>VLOOKUP($A80,'Data Vlaue (Cr)'!$C:$FB,94)</f>
        <v>0.11</v>
      </c>
      <c r="K80" s="91">
        <f>VLOOKUP($A80,'Data Vlaue (Cr)'!$C:$FB,95)</f>
        <v>218</v>
      </c>
      <c r="L80" s="91">
        <f>VLOOKUP($A80,'Data Vlaue (Cr)'!$C:$FB,97)</f>
        <v>19</v>
      </c>
      <c r="M80" s="92">
        <f>VLOOKUP($A80,'Data Vlaue (Cr)'!$C:$FB,98)</f>
        <v>9.5299999999999996E-2</v>
      </c>
      <c r="N80" s="91">
        <f>VLOOKUP($A80,'Data Vlaue (Cr)'!$C:$FB,79)</f>
        <v>1560</v>
      </c>
      <c r="O80" s="92">
        <f>VLOOKUP($A80,'Data Vlaue (Cr)'!$C:$FB,82)</f>
        <v>1.2999999999999999E-3</v>
      </c>
    </row>
    <row r="81" spans="1:15" x14ac:dyDescent="0.25">
      <c r="A81" s="97" t="str">
        <f>'Data Vlaue (Cr)'!C76</f>
        <v>HDFCBANK</v>
      </c>
      <c r="B81" s="142">
        <f>VLOOKUP(A81,'Data Vlaue (Cr)'!C76:CW289,99,0)</f>
        <v>25790</v>
      </c>
      <c r="C81" s="90">
        <f>VLOOKUP(A81,'Data Vlaue (Cr)'!C76:CY289,101,0)</f>
        <v>329</v>
      </c>
      <c r="D81" s="139">
        <f>VLOOKUP(A81,'Data Vlaue (Cr)'!C76:CZ289,102,0)</f>
        <v>1.29E-2</v>
      </c>
      <c r="E81" s="91">
        <f>VLOOKUP($A81,'Data Vlaue (Cr)'!$C:$FB,75)</f>
        <v>21859</v>
      </c>
      <c r="F81" s="91">
        <f>VLOOKUP($A81,'Data Vlaue (Cr)'!$C:$FB,77)</f>
        <v>-21</v>
      </c>
      <c r="G81" s="92">
        <f>VLOOKUP(A81,'Data Vlaue (Cr)'!C76:CB289,78,0)</f>
        <v>-8.9999999999999998E-4</v>
      </c>
      <c r="H81" s="91">
        <f>VLOOKUP($A81,'Data Vlaue (Cr)'!$C:$FB,91)</f>
        <v>2114</v>
      </c>
      <c r="I81" s="91">
        <f>VLOOKUP($A81,'Data Vlaue (Cr)'!$C:$FB,93)</f>
        <v>221</v>
      </c>
      <c r="J81" s="92">
        <f>VLOOKUP($A81,'Data Vlaue (Cr)'!$C:$FB,94)</f>
        <v>0.1167</v>
      </c>
      <c r="K81" s="91">
        <f>VLOOKUP($A81,'Data Vlaue (Cr)'!$C:$FB,95)</f>
        <v>1817</v>
      </c>
      <c r="L81" s="91">
        <f>VLOOKUP($A81,'Data Vlaue (Cr)'!$C:$FB,97)</f>
        <v>128</v>
      </c>
      <c r="M81" s="92">
        <f>VLOOKUP($A81,'Data Vlaue (Cr)'!$C:$FB,98)</f>
        <v>7.5999999999999998E-2</v>
      </c>
      <c r="N81" s="91">
        <f>VLOOKUP($A81,'Data Vlaue (Cr)'!$C:$FB,79)</f>
        <v>21668</v>
      </c>
      <c r="O81" s="92">
        <f>VLOOKUP($A81,'Data Vlaue (Cr)'!$C:$FB,82)</f>
        <v>-2.3999999999999998E-3</v>
      </c>
    </row>
    <row r="82" spans="1:15" x14ac:dyDescent="0.25">
      <c r="A82" s="97" t="str">
        <f>'Data Vlaue (Cr)'!C77</f>
        <v>HDFCLIFE</v>
      </c>
      <c r="B82" s="142">
        <f>VLOOKUP(A82,'Data Vlaue (Cr)'!C77:CW290,99,0)</f>
        <v>3475</v>
      </c>
      <c r="C82" s="90">
        <f>VLOOKUP(A82,'Data Vlaue (Cr)'!C77:CY290,101,0)</f>
        <v>137</v>
      </c>
      <c r="D82" s="139">
        <f>VLOOKUP(A82,'Data Vlaue (Cr)'!C77:CZ290,102,0)</f>
        <v>4.1099999999999998E-2</v>
      </c>
      <c r="E82" s="91">
        <f>VLOOKUP($A82,'Data Vlaue (Cr)'!$C:$FB,75)</f>
        <v>2607</v>
      </c>
      <c r="F82" s="91">
        <f>VLOOKUP($A82,'Data Vlaue (Cr)'!$C:$FB,77)</f>
        <v>10</v>
      </c>
      <c r="G82" s="92">
        <f>VLOOKUP(A82,'Data Vlaue (Cr)'!C77:CB290,78,0)</f>
        <v>3.7000000000000002E-3</v>
      </c>
      <c r="H82" s="91">
        <f>VLOOKUP($A82,'Data Vlaue (Cr)'!$C:$FB,91)</f>
        <v>525</v>
      </c>
      <c r="I82" s="91">
        <f>VLOOKUP($A82,'Data Vlaue (Cr)'!$C:$FB,93)</f>
        <v>98</v>
      </c>
      <c r="J82" s="92">
        <f>VLOOKUP($A82,'Data Vlaue (Cr)'!$C:$FB,94)</f>
        <v>0.2281</v>
      </c>
      <c r="K82" s="91">
        <f>VLOOKUP($A82,'Data Vlaue (Cr)'!$C:$FB,95)</f>
        <v>343</v>
      </c>
      <c r="L82" s="91">
        <f>VLOOKUP($A82,'Data Vlaue (Cr)'!$C:$FB,97)</f>
        <v>30</v>
      </c>
      <c r="M82" s="92">
        <f>VLOOKUP($A82,'Data Vlaue (Cr)'!$C:$FB,98)</f>
        <v>9.64E-2</v>
      </c>
      <c r="N82" s="91">
        <f>VLOOKUP($A82,'Data Vlaue (Cr)'!$C:$FB,79)</f>
        <v>2578</v>
      </c>
      <c r="O82" s="92">
        <f>VLOOKUP($A82,'Data Vlaue (Cr)'!$C:$FB,82)</f>
        <v>3.2000000000000002E-3</v>
      </c>
    </row>
    <row r="83" spans="1:15" x14ac:dyDescent="0.25">
      <c r="A83" s="97" t="str">
        <f>'Data Vlaue (Cr)'!C78</f>
        <v>HEROMOTOCO</v>
      </c>
      <c r="B83" s="142">
        <f>VLOOKUP(A83,'Data Vlaue (Cr)'!C78:CW291,99,0)</f>
        <v>4867</v>
      </c>
      <c r="C83" s="90">
        <f>VLOOKUP(A83,'Data Vlaue (Cr)'!C78:CY291,101,0)</f>
        <v>42</v>
      </c>
      <c r="D83" s="139">
        <f>VLOOKUP(A83,'Data Vlaue (Cr)'!C78:CZ291,102,0)</f>
        <v>8.8000000000000005E-3</v>
      </c>
      <c r="E83" s="91">
        <f>VLOOKUP($A83,'Data Vlaue (Cr)'!$C:$FB,75)</f>
        <v>3383</v>
      </c>
      <c r="F83" s="91">
        <f>VLOOKUP($A83,'Data Vlaue (Cr)'!$C:$FB,77)</f>
        <v>15</v>
      </c>
      <c r="G83" s="92">
        <f>VLOOKUP(A83,'Data Vlaue (Cr)'!C78:CB291,78,0)</f>
        <v>4.3E-3</v>
      </c>
      <c r="H83" s="91">
        <f>VLOOKUP($A83,'Data Vlaue (Cr)'!$C:$FB,91)</f>
        <v>874</v>
      </c>
      <c r="I83" s="91">
        <f>VLOOKUP($A83,'Data Vlaue (Cr)'!$C:$FB,93)</f>
        <v>-1</v>
      </c>
      <c r="J83" s="92">
        <f>VLOOKUP($A83,'Data Vlaue (Cr)'!$C:$FB,94)</f>
        <v>-1.5E-3</v>
      </c>
      <c r="K83" s="91">
        <f>VLOOKUP($A83,'Data Vlaue (Cr)'!$C:$FB,95)</f>
        <v>610</v>
      </c>
      <c r="L83" s="91">
        <f>VLOOKUP($A83,'Data Vlaue (Cr)'!$C:$FB,97)</f>
        <v>29</v>
      </c>
      <c r="M83" s="92">
        <f>VLOOKUP($A83,'Data Vlaue (Cr)'!$C:$FB,98)</f>
        <v>5.0200000000000002E-2</v>
      </c>
      <c r="N83" s="91">
        <f>VLOOKUP($A83,'Data Vlaue (Cr)'!$C:$FB,79)</f>
        <v>3331</v>
      </c>
      <c r="O83" s="92">
        <f>VLOOKUP($A83,'Data Vlaue (Cr)'!$C:$FB,82)</f>
        <v>2.8999999999999998E-3</v>
      </c>
    </row>
    <row r="84" spans="1:15" x14ac:dyDescent="0.25">
      <c r="A84" s="97" t="str">
        <f>'Data Vlaue (Cr)'!C79</f>
        <v>HINDALCO</v>
      </c>
      <c r="B84" s="142">
        <f>VLOOKUP(A84,'Data Vlaue (Cr)'!C79:CW292,99,0)</f>
        <v>7603</v>
      </c>
      <c r="C84" s="90">
        <f>VLOOKUP(A84,'Data Vlaue (Cr)'!C79:CY292,101,0)</f>
        <v>5</v>
      </c>
      <c r="D84" s="139">
        <f>VLOOKUP(A84,'Data Vlaue (Cr)'!C79:CZ292,102,0)</f>
        <v>5.9999999999999995E-4</v>
      </c>
      <c r="E84" s="91">
        <f>VLOOKUP($A84,'Data Vlaue (Cr)'!$C:$FB,75)</f>
        <v>5941</v>
      </c>
      <c r="F84" s="91">
        <f>VLOOKUP($A84,'Data Vlaue (Cr)'!$C:$FB,77)</f>
        <v>-72</v>
      </c>
      <c r="G84" s="92">
        <f>VLOOKUP(A84,'Data Vlaue (Cr)'!C79:CB292,78,0)</f>
        <v>-1.2E-2</v>
      </c>
      <c r="H84" s="91">
        <f>VLOOKUP($A84,'Data Vlaue (Cr)'!$C:$FB,91)</f>
        <v>861</v>
      </c>
      <c r="I84" s="91">
        <f>VLOOKUP($A84,'Data Vlaue (Cr)'!$C:$FB,93)</f>
        <v>35</v>
      </c>
      <c r="J84" s="92">
        <f>VLOOKUP($A84,'Data Vlaue (Cr)'!$C:$FB,94)</f>
        <v>4.2900000000000001E-2</v>
      </c>
      <c r="K84" s="91">
        <f>VLOOKUP($A84,'Data Vlaue (Cr)'!$C:$FB,95)</f>
        <v>801</v>
      </c>
      <c r="L84" s="91">
        <f>VLOOKUP($A84,'Data Vlaue (Cr)'!$C:$FB,97)</f>
        <v>41</v>
      </c>
      <c r="M84" s="92">
        <f>VLOOKUP($A84,'Data Vlaue (Cr)'!$C:$FB,98)</f>
        <v>5.4300000000000001E-2</v>
      </c>
      <c r="N84" s="91">
        <f>VLOOKUP($A84,'Data Vlaue (Cr)'!$C:$FB,79)</f>
        <v>5892</v>
      </c>
      <c r="O84" s="92">
        <f>VLOOKUP($A84,'Data Vlaue (Cr)'!$C:$FB,82)</f>
        <v>-1.29E-2</v>
      </c>
    </row>
    <row r="85" spans="1:15" x14ac:dyDescent="0.25">
      <c r="A85" s="97" t="str">
        <f>'Data Vlaue (Cr)'!C80</f>
        <v>HINDPETRO</v>
      </c>
      <c r="B85" s="142">
        <f>VLOOKUP(A85,'Data Vlaue (Cr)'!C80:CW293,99,0)</f>
        <v>2764</v>
      </c>
      <c r="C85" s="90">
        <f>VLOOKUP(A85,'Data Vlaue (Cr)'!C80:CY293,101,0)</f>
        <v>27</v>
      </c>
      <c r="D85" s="139">
        <f>VLOOKUP(A85,'Data Vlaue (Cr)'!C80:CZ293,102,0)</f>
        <v>9.7000000000000003E-3</v>
      </c>
      <c r="E85" s="91">
        <f>VLOOKUP($A85,'Data Vlaue (Cr)'!$C:$FB,75)</f>
        <v>1803</v>
      </c>
      <c r="F85" s="91">
        <f>VLOOKUP($A85,'Data Vlaue (Cr)'!$C:$FB,77)</f>
        <v>31</v>
      </c>
      <c r="G85" s="92">
        <f>VLOOKUP(A85,'Data Vlaue (Cr)'!C80:CB293,78,0)</f>
        <v>1.7399999999999999E-2</v>
      </c>
      <c r="H85" s="91">
        <f>VLOOKUP($A85,'Data Vlaue (Cr)'!$C:$FB,91)</f>
        <v>543</v>
      </c>
      <c r="I85" s="91">
        <f>VLOOKUP($A85,'Data Vlaue (Cr)'!$C:$FB,93)</f>
        <v>10</v>
      </c>
      <c r="J85" s="92">
        <f>VLOOKUP($A85,'Data Vlaue (Cr)'!$C:$FB,94)</f>
        <v>1.9599999999999999E-2</v>
      </c>
      <c r="K85" s="91">
        <f>VLOOKUP($A85,'Data Vlaue (Cr)'!$C:$FB,95)</f>
        <v>419</v>
      </c>
      <c r="L85" s="91">
        <f>VLOOKUP($A85,'Data Vlaue (Cr)'!$C:$FB,97)</f>
        <v>-15</v>
      </c>
      <c r="M85" s="92">
        <f>VLOOKUP($A85,'Data Vlaue (Cr)'!$C:$FB,98)</f>
        <v>-3.4099999999999998E-2</v>
      </c>
      <c r="N85" s="91">
        <f>VLOOKUP($A85,'Data Vlaue (Cr)'!$C:$FB,79)</f>
        <v>1767</v>
      </c>
      <c r="O85" s="92">
        <f>VLOOKUP($A85,'Data Vlaue (Cr)'!$C:$FB,82)</f>
        <v>1.7999999999999999E-2</v>
      </c>
    </row>
    <row r="86" spans="1:15" x14ac:dyDescent="0.25">
      <c r="A86" s="97" t="str">
        <f>'Data Vlaue (Cr)'!C81</f>
        <v>HINDUNILVR</v>
      </c>
      <c r="B86" s="142">
        <f>VLOOKUP(A86,'Data Vlaue (Cr)'!C81:CW294,99,0)</f>
        <v>4540</v>
      </c>
      <c r="C86" s="90">
        <f>VLOOKUP(A86,'Data Vlaue (Cr)'!C81:CY294,101,0)</f>
        <v>220</v>
      </c>
      <c r="D86" s="139">
        <f>VLOOKUP(A86,'Data Vlaue (Cr)'!C81:CZ294,102,0)</f>
        <v>5.0999999999999997E-2</v>
      </c>
      <c r="E86" s="91">
        <f>VLOOKUP($A86,'Data Vlaue (Cr)'!$C:$FB,75)</f>
        <v>2835</v>
      </c>
      <c r="F86" s="91">
        <f>VLOOKUP($A86,'Data Vlaue (Cr)'!$C:$FB,77)</f>
        <v>-67</v>
      </c>
      <c r="G86" s="92">
        <f>VLOOKUP(A86,'Data Vlaue (Cr)'!C81:CB294,78,0)</f>
        <v>-2.3099999999999999E-2</v>
      </c>
      <c r="H86" s="91">
        <f>VLOOKUP($A86,'Data Vlaue (Cr)'!$C:$FB,91)</f>
        <v>1008</v>
      </c>
      <c r="I86" s="91">
        <f>VLOOKUP($A86,'Data Vlaue (Cr)'!$C:$FB,93)</f>
        <v>205</v>
      </c>
      <c r="J86" s="92">
        <f>VLOOKUP($A86,'Data Vlaue (Cr)'!$C:$FB,94)</f>
        <v>0.25580000000000003</v>
      </c>
      <c r="K86" s="91">
        <f>VLOOKUP($A86,'Data Vlaue (Cr)'!$C:$FB,95)</f>
        <v>697</v>
      </c>
      <c r="L86" s="91">
        <f>VLOOKUP($A86,'Data Vlaue (Cr)'!$C:$FB,97)</f>
        <v>82</v>
      </c>
      <c r="M86" s="92">
        <f>VLOOKUP($A86,'Data Vlaue (Cr)'!$C:$FB,98)</f>
        <v>0.13370000000000001</v>
      </c>
      <c r="N86" s="91">
        <f>VLOOKUP($A86,'Data Vlaue (Cr)'!$C:$FB,79)</f>
        <v>2776</v>
      </c>
      <c r="O86" s="92">
        <f>VLOOKUP($A86,'Data Vlaue (Cr)'!$C:$FB,82)</f>
        <v>-2.52E-2</v>
      </c>
    </row>
    <row r="87" spans="1:15" x14ac:dyDescent="0.25">
      <c r="A87" s="97" t="str">
        <f>'Data Vlaue (Cr)'!C82</f>
        <v>HINDZINC</v>
      </c>
      <c r="B87" s="142">
        <f>VLOOKUP(A87,'Data Vlaue (Cr)'!C82:CW295,99,0)</f>
        <v>5669</v>
      </c>
      <c r="C87" s="90">
        <f>VLOOKUP(A87,'Data Vlaue (Cr)'!C82:CY295,101,0)</f>
        <v>-12</v>
      </c>
      <c r="D87" s="139">
        <f>VLOOKUP(A87,'Data Vlaue (Cr)'!C82:CZ295,102,0)</f>
        <v>-2.0999999999999999E-3</v>
      </c>
      <c r="E87" s="91">
        <f>VLOOKUP($A87,'Data Vlaue (Cr)'!$C:$FB,75)</f>
        <v>2152</v>
      </c>
      <c r="F87" s="91">
        <f>VLOOKUP($A87,'Data Vlaue (Cr)'!$C:$FB,77)</f>
        <v>-13</v>
      </c>
      <c r="G87" s="92">
        <f>VLOOKUP(A87,'Data Vlaue (Cr)'!C82:CB295,78,0)</f>
        <v>-5.7999999999999996E-3</v>
      </c>
      <c r="H87" s="91">
        <f>VLOOKUP($A87,'Data Vlaue (Cr)'!$C:$FB,91)</f>
        <v>2153</v>
      </c>
      <c r="I87" s="91">
        <f>VLOOKUP($A87,'Data Vlaue (Cr)'!$C:$FB,93)</f>
        <v>-8</v>
      </c>
      <c r="J87" s="92">
        <f>VLOOKUP($A87,'Data Vlaue (Cr)'!$C:$FB,94)</f>
        <v>-3.8E-3</v>
      </c>
      <c r="K87" s="91">
        <f>VLOOKUP($A87,'Data Vlaue (Cr)'!$C:$FB,95)</f>
        <v>1364</v>
      </c>
      <c r="L87" s="91">
        <f>VLOOKUP($A87,'Data Vlaue (Cr)'!$C:$FB,97)</f>
        <v>9</v>
      </c>
      <c r="M87" s="92">
        <f>VLOOKUP($A87,'Data Vlaue (Cr)'!$C:$FB,98)</f>
        <v>6.3E-3</v>
      </c>
      <c r="N87" s="91">
        <f>VLOOKUP($A87,'Data Vlaue (Cr)'!$C:$FB,79)</f>
        <v>2000</v>
      </c>
      <c r="O87" s="92">
        <f>VLOOKUP($A87,'Data Vlaue (Cr)'!$C:$FB,82)</f>
        <v>-7.4999999999999997E-3</v>
      </c>
    </row>
    <row r="88" spans="1:15" x14ac:dyDescent="0.25">
      <c r="A88" s="97" t="str">
        <f>'Data Vlaue (Cr)'!C83</f>
        <v>HUDCO</v>
      </c>
      <c r="B88" s="142">
        <f>VLOOKUP(A88,'Data Vlaue (Cr)'!C83:CW296,99,0)</f>
        <v>1459</v>
      </c>
      <c r="C88" s="90">
        <f>VLOOKUP(A88,'Data Vlaue (Cr)'!C83:CY296,101,0)</f>
        <v>-4</v>
      </c>
      <c r="D88" s="139">
        <f>VLOOKUP(A88,'Data Vlaue (Cr)'!C83:CZ296,102,0)</f>
        <v>-3.0000000000000001E-3</v>
      </c>
      <c r="E88" s="91">
        <f>VLOOKUP($A88,'Data Vlaue (Cr)'!$C:$FB,75)</f>
        <v>940</v>
      </c>
      <c r="F88" s="91">
        <f>VLOOKUP($A88,'Data Vlaue (Cr)'!$C:$FB,77)</f>
        <v>-12</v>
      </c>
      <c r="G88" s="92">
        <f>VLOOKUP(A88,'Data Vlaue (Cr)'!C83:CB296,78,0)</f>
        <v>-1.2800000000000001E-2</v>
      </c>
      <c r="H88" s="91">
        <f>VLOOKUP($A88,'Data Vlaue (Cr)'!$C:$FB,91)</f>
        <v>273</v>
      </c>
      <c r="I88" s="91">
        <f>VLOOKUP($A88,'Data Vlaue (Cr)'!$C:$FB,93)</f>
        <v>5</v>
      </c>
      <c r="J88" s="92">
        <f>VLOOKUP($A88,'Data Vlaue (Cr)'!$C:$FB,94)</f>
        <v>1.7999999999999999E-2</v>
      </c>
      <c r="K88" s="91">
        <f>VLOOKUP($A88,'Data Vlaue (Cr)'!$C:$FB,95)</f>
        <v>246</v>
      </c>
      <c r="L88" s="91">
        <f>VLOOKUP($A88,'Data Vlaue (Cr)'!$C:$FB,97)</f>
        <v>3</v>
      </c>
      <c r="M88" s="92">
        <f>VLOOKUP($A88,'Data Vlaue (Cr)'!$C:$FB,98)</f>
        <v>1.2E-2</v>
      </c>
      <c r="N88" s="91">
        <f>VLOOKUP($A88,'Data Vlaue (Cr)'!$C:$FB,79)</f>
        <v>917</v>
      </c>
      <c r="O88" s="92">
        <f>VLOOKUP($A88,'Data Vlaue (Cr)'!$C:$FB,82)</f>
        <v>-1.3299999999999999E-2</v>
      </c>
    </row>
    <row r="89" spans="1:15" x14ac:dyDescent="0.25">
      <c r="A89" s="97" t="str">
        <f>'Data Vlaue (Cr)'!C84</f>
        <v>ICICIBANK</v>
      </c>
      <c r="B89" s="142">
        <f>VLOOKUP(A89,'Data Vlaue (Cr)'!C84:CW297,99,0)</f>
        <v>22398</v>
      </c>
      <c r="C89" s="90">
        <f>VLOOKUP(A89,'Data Vlaue (Cr)'!C84:CY297,101,0)</f>
        <v>643</v>
      </c>
      <c r="D89" s="139">
        <f>VLOOKUP(A89,'Data Vlaue (Cr)'!C84:CZ297,102,0)</f>
        <v>2.9600000000000001E-2</v>
      </c>
      <c r="E89" s="91">
        <f>VLOOKUP($A89,'Data Vlaue (Cr)'!$C:$FB,75)</f>
        <v>16465</v>
      </c>
      <c r="F89" s="91">
        <f>VLOOKUP($A89,'Data Vlaue (Cr)'!$C:$FB,77)</f>
        <v>142</v>
      </c>
      <c r="G89" s="92">
        <f>VLOOKUP(A89,'Data Vlaue (Cr)'!C84:CB297,78,0)</f>
        <v>8.6999999999999994E-3</v>
      </c>
      <c r="H89" s="91">
        <f>VLOOKUP($A89,'Data Vlaue (Cr)'!$C:$FB,91)</f>
        <v>3261</v>
      </c>
      <c r="I89" s="91">
        <f>VLOOKUP($A89,'Data Vlaue (Cr)'!$C:$FB,93)</f>
        <v>348</v>
      </c>
      <c r="J89" s="92">
        <f>VLOOKUP($A89,'Data Vlaue (Cr)'!$C:$FB,94)</f>
        <v>0.1196</v>
      </c>
      <c r="K89" s="91">
        <f>VLOOKUP($A89,'Data Vlaue (Cr)'!$C:$FB,95)</f>
        <v>2672</v>
      </c>
      <c r="L89" s="91">
        <f>VLOOKUP($A89,'Data Vlaue (Cr)'!$C:$FB,97)</f>
        <v>153</v>
      </c>
      <c r="M89" s="92">
        <f>VLOOKUP($A89,'Data Vlaue (Cr)'!$C:$FB,98)</f>
        <v>6.0900000000000003E-2</v>
      </c>
      <c r="N89" s="91">
        <f>VLOOKUP($A89,'Data Vlaue (Cr)'!$C:$FB,79)</f>
        <v>16151</v>
      </c>
      <c r="O89" s="92">
        <f>VLOOKUP($A89,'Data Vlaue (Cr)'!$C:$FB,82)</f>
        <v>7.4000000000000003E-3</v>
      </c>
    </row>
    <row r="90" spans="1:15" x14ac:dyDescent="0.25">
      <c r="A90" s="97" t="str">
        <f>'Data Vlaue (Cr)'!C85</f>
        <v>ICICIGI</v>
      </c>
      <c r="B90" s="142">
        <f>VLOOKUP(A90,'Data Vlaue (Cr)'!C85:CW298,99,0)</f>
        <v>1211</v>
      </c>
      <c r="C90" s="90">
        <f>VLOOKUP(A90,'Data Vlaue (Cr)'!C85:CY298,101,0)</f>
        <v>47</v>
      </c>
      <c r="D90" s="139">
        <f>VLOOKUP(A90,'Data Vlaue (Cr)'!C85:CZ298,102,0)</f>
        <v>4.0800000000000003E-2</v>
      </c>
      <c r="E90" s="91">
        <f>VLOOKUP($A90,'Data Vlaue (Cr)'!$C:$FB,75)</f>
        <v>1046</v>
      </c>
      <c r="F90" s="91">
        <f>VLOOKUP($A90,'Data Vlaue (Cr)'!$C:$FB,77)</f>
        <v>13</v>
      </c>
      <c r="G90" s="92">
        <f>VLOOKUP(A90,'Data Vlaue (Cr)'!C85:CB298,78,0)</f>
        <v>1.2200000000000001E-2</v>
      </c>
      <c r="H90" s="91">
        <f>VLOOKUP($A90,'Data Vlaue (Cr)'!$C:$FB,91)</f>
        <v>70</v>
      </c>
      <c r="I90" s="91">
        <f>VLOOKUP($A90,'Data Vlaue (Cr)'!$C:$FB,93)</f>
        <v>12</v>
      </c>
      <c r="J90" s="92">
        <f>VLOOKUP($A90,'Data Vlaue (Cr)'!$C:$FB,94)</f>
        <v>0.21579999999999999</v>
      </c>
      <c r="K90" s="91">
        <f>VLOOKUP($A90,'Data Vlaue (Cr)'!$C:$FB,95)</f>
        <v>96</v>
      </c>
      <c r="L90" s="91">
        <f>VLOOKUP($A90,'Data Vlaue (Cr)'!$C:$FB,97)</f>
        <v>23</v>
      </c>
      <c r="M90" s="92">
        <f>VLOOKUP($A90,'Data Vlaue (Cr)'!$C:$FB,98)</f>
        <v>0.30840000000000001</v>
      </c>
      <c r="N90" s="91">
        <f>VLOOKUP($A90,'Data Vlaue (Cr)'!$C:$FB,79)</f>
        <v>1040</v>
      </c>
      <c r="O90" s="92">
        <f>VLOOKUP($A90,'Data Vlaue (Cr)'!$C:$FB,82)</f>
        <v>1.14E-2</v>
      </c>
    </row>
    <row r="91" spans="1:15" x14ac:dyDescent="0.25">
      <c r="A91" s="97" t="str">
        <f>'Data Vlaue (Cr)'!C86</f>
        <v>ICICIPRULI</v>
      </c>
      <c r="B91" s="142">
        <f>VLOOKUP(A91,'Data Vlaue (Cr)'!C86:CW299,99,0)</f>
        <v>1400</v>
      </c>
      <c r="C91" s="90">
        <f>VLOOKUP(A91,'Data Vlaue (Cr)'!C86:CY299,101,0)</f>
        <v>32</v>
      </c>
      <c r="D91" s="139">
        <f>VLOOKUP(A91,'Data Vlaue (Cr)'!C86:CZ299,102,0)</f>
        <v>2.3400000000000001E-2</v>
      </c>
      <c r="E91" s="91">
        <f>VLOOKUP($A91,'Data Vlaue (Cr)'!$C:$FB,75)</f>
        <v>1144</v>
      </c>
      <c r="F91" s="91">
        <f>VLOOKUP($A91,'Data Vlaue (Cr)'!$C:$FB,77)</f>
        <v>15</v>
      </c>
      <c r="G91" s="92">
        <f>VLOOKUP(A91,'Data Vlaue (Cr)'!C86:CB299,78,0)</f>
        <v>1.3100000000000001E-2</v>
      </c>
      <c r="H91" s="91">
        <f>VLOOKUP($A91,'Data Vlaue (Cr)'!$C:$FB,91)</f>
        <v>124</v>
      </c>
      <c r="I91" s="91">
        <f>VLOOKUP($A91,'Data Vlaue (Cr)'!$C:$FB,93)</f>
        <v>1</v>
      </c>
      <c r="J91" s="92">
        <f>VLOOKUP($A91,'Data Vlaue (Cr)'!$C:$FB,94)</f>
        <v>8.2000000000000007E-3</v>
      </c>
      <c r="K91" s="91">
        <f>VLOOKUP($A91,'Data Vlaue (Cr)'!$C:$FB,95)</f>
        <v>132</v>
      </c>
      <c r="L91" s="91">
        <f>VLOOKUP($A91,'Data Vlaue (Cr)'!$C:$FB,97)</f>
        <v>16</v>
      </c>
      <c r="M91" s="92">
        <f>VLOOKUP($A91,'Data Vlaue (Cr)'!$C:$FB,98)</f>
        <v>0.1401</v>
      </c>
      <c r="N91" s="91">
        <f>VLOOKUP($A91,'Data Vlaue (Cr)'!$C:$FB,79)</f>
        <v>1138</v>
      </c>
      <c r="O91" s="92">
        <f>VLOOKUP($A91,'Data Vlaue (Cr)'!$C:$FB,82)</f>
        <v>1.2999999999999999E-2</v>
      </c>
    </row>
    <row r="92" spans="1:15" x14ac:dyDescent="0.25">
      <c r="A92" s="97" t="str">
        <f>'Data Vlaue (Cr)'!C87</f>
        <v>IDEA</v>
      </c>
      <c r="B92" s="142">
        <f>VLOOKUP(A92,'Data Vlaue (Cr)'!C87:CW300,99,0)</f>
        <v>12902</v>
      </c>
      <c r="C92" s="90">
        <f>VLOOKUP(A92,'Data Vlaue (Cr)'!C87:CY300,101,0)</f>
        <v>615</v>
      </c>
      <c r="D92" s="139">
        <f>VLOOKUP(A92,'Data Vlaue (Cr)'!C87:CZ300,102,0)</f>
        <v>5.0099999999999999E-2</v>
      </c>
      <c r="E92" s="91">
        <f>VLOOKUP($A92,'Data Vlaue (Cr)'!$C:$FB,75)</f>
        <v>8270</v>
      </c>
      <c r="F92" s="91">
        <f>VLOOKUP($A92,'Data Vlaue (Cr)'!$C:$FB,77)</f>
        <v>276</v>
      </c>
      <c r="G92" s="92">
        <f>VLOOKUP(A92,'Data Vlaue (Cr)'!C87:CB300,78,0)</f>
        <v>3.4599999999999999E-2</v>
      </c>
      <c r="H92" s="91">
        <f>VLOOKUP($A92,'Data Vlaue (Cr)'!$C:$FB,91)</f>
        <v>2879</v>
      </c>
      <c r="I92" s="91">
        <f>VLOOKUP($A92,'Data Vlaue (Cr)'!$C:$FB,93)</f>
        <v>124</v>
      </c>
      <c r="J92" s="92">
        <f>VLOOKUP($A92,'Data Vlaue (Cr)'!$C:$FB,94)</f>
        <v>4.4900000000000002E-2</v>
      </c>
      <c r="K92" s="91">
        <f>VLOOKUP($A92,'Data Vlaue (Cr)'!$C:$FB,95)</f>
        <v>1753</v>
      </c>
      <c r="L92" s="91">
        <f>VLOOKUP($A92,'Data Vlaue (Cr)'!$C:$FB,97)</f>
        <v>215</v>
      </c>
      <c r="M92" s="92">
        <f>VLOOKUP($A92,'Data Vlaue (Cr)'!$C:$FB,98)</f>
        <v>0.13969999999999999</v>
      </c>
      <c r="N92" s="91">
        <f>VLOOKUP($A92,'Data Vlaue (Cr)'!$C:$FB,79)</f>
        <v>7850</v>
      </c>
      <c r="O92" s="92">
        <f>VLOOKUP($A92,'Data Vlaue (Cr)'!$C:$FB,82)</f>
        <v>3.2800000000000003E-2</v>
      </c>
    </row>
    <row r="93" spans="1:15" x14ac:dyDescent="0.25">
      <c r="A93" s="97" t="str">
        <f>'Data Vlaue (Cr)'!C88</f>
        <v>IDFCFIRSTB</v>
      </c>
      <c r="B93" s="142">
        <f>VLOOKUP(A93,'Data Vlaue (Cr)'!C88:CW301,99,0)</f>
        <v>3857</v>
      </c>
      <c r="C93" s="90">
        <f>VLOOKUP(A93,'Data Vlaue (Cr)'!C88:CY301,101,0)</f>
        <v>17</v>
      </c>
      <c r="D93" s="139">
        <f>VLOOKUP(A93,'Data Vlaue (Cr)'!C88:CZ301,102,0)</f>
        <v>4.4000000000000003E-3</v>
      </c>
      <c r="E93" s="91">
        <f>VLOOKUP($A93,'Data Vlaue (Cr)'!$C:$FB,75)</f>
        <v>2727</v>
      </c>
      <c r="F93" s="91">
        <f>VLOOKUP($A93,'Data Vlaue (Cr)'!$C:$FB,77)</f>
        <v>-35</v>
      </c>
      <c r="G93" s="92">
        <f>VLOOKUP(A93,'Data Vlaue (Cr)'!C88:CB301,78,0)</f>
        <v>-1.2800000000000001E-2</v>
      </c>
      <c r="H93" s="91">
        <f>VLOOKUP($A93,'Data Vlaue (Cr)'!$C:$FB,91)</f>
        <v>686</v>
      </c>
      <c r="I93" s="91">
        <f>VLOOKUP($A93,'Data Vlaue (Cr)'!$C:$FB,93)</f>
        <v>35</v>
      </c>
      <c r="J93" s="92">
        <f>VLOOKUP($A93,'Data Vlaue (Cr)'!$C:$FB,94)</f>
        <v>5.4300000000000001E-2</v>
      </c>
      <c r="K93" s="91">
        <f>VLOOKUP($A93,'Data Vlaue (Cr)'!$C:$FB,95)</f>
        <v>444</v>
      </c>
      <c r="L93" s="91">
        <f>VLOOKUP($A93,'Data Vlaue (Cr)'!$C:$FB,97)</f>
        <v>17</v>
      </c>
      <c r="M93" s="92">
        <f>VLOOKUP($A93,'Data Vlaue (Cr)'!$C:$FB,98)</f>
        <v>3.9100000000000003E-2</v>
      </c>
      <c r="N93" s="91">
        <f>VLOOKUP($A93,'Data Vlaue (Cr)'!$C:$FB,79)</f>
        <v>2630</v>
      </c>
      <c r="O93" s="92">
        <f>VLOOKUP($A93,'Data Vlaue (Cr)'!$C:$FB,82)</f>
        <v>-1.47E-2</v>
      </c>
    </row>
    <row r="94" spans="1:15" x14ac:dyDescent="0.25">
      <c r="A94" s="97" t="str">
        <f>'Data Vlaue (Cr)'!C89</f>
        <v>IEX</v>
      </c>
      <c r="B94" s="142">
        <f>VLOOKUP(A94,'Data Vlaue (Cr)'!C89:CW302,99,0)</f>
        <v>1579</v>
      </c>
      <c r="C94" s="90">
        <f>VLOOKUP(A94,'Data Vlaue (Cr)'!C89:CY302,101,0)</f>
        <v>58</v>
      </c>
      <c r="D94" s="139">
        <f>VLOOKUP(A94,'Data Vlaue (Cr)'!C89:CZ302,102,0)</f>
        <v>3.7900000000000003E-2</v>
      </c>
      <c r="E94" s="91">
        <f>VLOOKUP($A94,'Data Vlaue (Cr)'!$C:$FB,75)</f>
        <v>807</v>
      </c>
      <c r="F94" s="91">
        <f>VLOOKUP($A94,'Data Vlaue (Cr)'!$C:$FB,77)</f>
        <v>3</v>
      </c>
      <c r="G94" s="92">
        <f>VLOOKUP(A94,'Data Vlaue (Cr)'!C89:CB302,78,0)</f>
        <v>3.8999999999999998E-3</v>
      </c>
      <c r="H94" s="91">
        <f>VLOOKUP($A94,'Data Vlaue (Cr)'!$C:$FB,91)</f>
        <v>448</v>
      </c>
      <c r="I94" s="91">
        <f>VLOOKUP($A94,'Data Vlaue (Cr)'!$C:$FB,93)</f>
        <v>44</v>
      </c>
      <c r="J94" s="92">
        <f>VLOOKUP($A94,'Data Vlaue (Cr)'!$C:$FB,94)</f>
        <v>0.1084</v>
      </c>
      <c r="K94" s="91">
        <f>VLOOKUP($A94,'Data Vlaue (Cr)'!$C:$FB,95)</f>
        <v>325</v>
      </c>
      <c r="L94" s="91">
        <f>VLOOKUP($A94,'Data Vlaue (Cr)'!$C:$FB,97)</f>
        <v>11</v>
      </c>
      <c r="M94" s="92">
        <f>VLOOKUP($A94,'Data Vlaue (Cr)'!$C:$FB,98)</f>
        <v>3.4099999999999998E-2</v>
      </c>
      <c r="N94" s="91">
        <f>VLOOKUP($A94,'Data Vlaue (Cr)'!$C:$FB,79)</f>
        <v>758</v>
      </c>
      <c r="O94" s="92">
        <f>VLOOKUP($A94,'Data Vlaue (Cr)'!$C:$FB,82)</f>
        <v>6.9999999999999999E-4</v>
      </c>
    </row>
    <row r="95" spans="1:15" x14ac:dyDescent="0.25">
      <c r="A95" s="97" t="str">
        <f>'Data Vlaue (Cr)'!C90</f>
        <v>IIFL</v>
      </c>
      <c r="B95" s="142">
        <f>VLOOKUP(A95,'Data Vlaue (Cr)'!C90:CW303,99,0)</f>
        <v>1219</v>
      </c>
      <c r="C95" s="90">
        <f>VLOOKUP(A95,'Data Vlaue (Cr)'!C90:CY303,101,0)</f>
        <v>22</v>
      </c>
      <c r="D95" s="139">
        <f>VLOOKUP(A95,'Data Vlaue (Cr)'!C90:CZ303,102,0)</f>
        <v>1.84E-2</v>
      </c>
      <c r="E95" s="91">
        <f>VLOOKUP($A95,'Data Vlaue (Cr)'!$C:$FB,75)</f>
        <v>825</v>
      </c>
      <c r="F95" s="91">
        <f>VLOOKUP($A95,'Data Vlaue (Cr)'!$C:$FB,77)</f>
        <v>1</v>
      </c>
      <c r="G95" s="92">
        <f>VLOOKUP(A95,'Data Vlaue (Cr)'!C90:CB303,78,0)</f>
        <v>1.6000000000000001E-3</v>
      </c>
      <c r="H95" s="91">
        <f>VLOOKUP($A95,'Data Vlaue (Cr)'!$C:$FB,91)</f>
        <v>199</v>
      </c>
      <c r="I95" s="91">
        <f>VLOOKUP($A95,'Data Vlaue (Cr)'!$C:$FB,93)</f>
        <v>-8</v>
      </c>
      <c r="J95" s="92">
        <f>VLOOKUP($A95,'Data Vlaue (Cr)'!$C:$FB,94)</f>
        <v>-3.9100000000000003E-2</v>
      </c>
      <c r="K95" s="91">
        <f>VLOOKUP($A95,'Data Vlaue (Cr)'!$C:$FB,95)</f>
        <v>195</v>
      </c>
      <c r="L95" s="91">
        <f>VLOOKUP($A95,'Data Vlaue (Cr)'!$C:$FB,97)</f>
        <v>29</v>
      </c>
      <c r="M95" s="92">
        <f>VLOOKUP($A95,'Data Vlaue (Cr)'!$C:$FB,98)</f>
        <v>0.1736</v>
      </c>
      <c r="N95" s="91">
        <f>VLOOKUP($A95,'Data Vlaue (Cr)'!$C:$FB,79)</f>
        <v>825</v>
      </c>
      <c r="O95" s="92">
        <f>VLOOKUP($A95,'Data Vlaue (Cr)'!$C:$FB,82)</f>
        <v>1.6000000000000001E-3</v>
      </c>
    </row>
    <row r="96" spans="1:15" x14ac:dyDescent="0.25">
      <c r="A96" s="97" t="str">
        <f>'Data Vlaue (Cr)'!C91</f>
        <v>INDHOTEL</v>
      </c>
      <c r="B96" s="142">
        <f>VLOOKUP(A96,'Data Vlaue (Cr)'!C91:CW304,99,0)</f>
        <v>2596</v>
      </c>
      <c r="C96" s="90">
        <f>VLOOKUP(A96,'Data Vlaue (Cr)'!C91:CY304,101,0)</f>
        <v>81</v>
      </c>
      <c r="D96" s="139">
        <f>VLOOKUP(A96,'Data Vlaue (Cr)'!C91:CZ304,102,0)</f>
        <v>3.2300000000000002E-2</v>
      </c>
      <c r="E96" s="91">
        <f>VLOOKUP($A96,'Data Vlaue (Cr)'!$C:$FB,75)</f>
        <v>1938</v>
      </c>
      <c r="F96" s="91">
        <f>VLOOKUP($A96,'Data Vlaue (Cr)'!$C:$FB,77)</f>
        <v>28</v>
      </c>
      <c r="G96" s="92">
        <f>VLOOKUP(A96,'Data Vlaue (Cr)'!C91:CB304,78,0)</f>
        <v>1.46E-2</v>
      </c>
      <c r="H96" s="91">
        <f>VLOOKUP($A96,'Data Vlaue (Cr)'!$C:$FB,91)</f>
        <v>371</v>
      </c>
      <c r="I96" s="91">
        <f>VLOOKUP($A96,'Data Vlaue (Cr)'!$C:$FB,93)</f>
        <v>36</v>
      </c>
      <c r="J96" s="92">
        <f>VLOOKUP($A96,'Data Vlaue (Cr)'!$C:$FB,94)</f>
        <v>0.1067</v>
      </c>
      <c r="K96" s="91">
        <f>VLOOKUP($A96,'Data Vlaue (Cr)'!$C:$FB,95)</f>
        <v>286</v>
      </c>
      <c r="L96" s="91">
        <f>VLOOKUP($A96,'Data Vlaue (Cr)'!$C:$FB,97)</f>
        <v>17</v>
      </c>
      <c r="M96" s="92">
        <f>VLOOKUP($A96,'Data Vlaue (Cr)'!$C:$FB,98)</f>
        <v>6.4899999999999999E-2</v>
      </c>
      <c r="N96" s="91">
        <f>VLOOKUP($A96,'Data Vlaue (Cr)'!$C:$FB,79)</f>
        <v>1904</v>
      </c>
      <c r="O96" s="92">
        <f>VLOOKUP($A96,'Data Vlaue (Cr)'!$C:$FB,82)</f>
        <v>1.47E-2</v>
      </c>
    </row>
    <row r="97" spans="1:15" x14ac:dyDescent="0.25">
      <c r="A97" s="97" t="str">
        <f>'Data Vlaue (Cr)'!C92</f>
        <v>INDIANB</v>
      </c>
      <c r="B97" s="142">
        <f>VLOOKUP(A97,'Data Vlaue (Cr)'!C92:CW305,99,0)</f>
        <v>1316</v>
      </c>
      <c r="C97" s="90">
        <f>VLOOKUP(A97,'Data Vlaue (Cr)'!C92:CY305,101,0)</f>
        <v>5</v>
      </c>
      <c r="D97" s="139">
        <f>VLOOKUP(A97,'Data Vlaue (Cr)'!C92:CZ305,102,0)</f>
        <v>4.1000000000000003E-3</v>
      </c>
      <c r="E97" s="91">
        <f>VLOOKUP($A97,'Data Vlaue (Cr)'!$C:$FB,75)</f>
        <v>805</v>
      </c>
      <c r="F97" s="91">
        <f>VLOOKUP($A97,'Data Vlaue (Cr)'!$C:$FB,77)</f>
        <v>-5</v>
      </c>
      <c r="G97" s="92">
        <f>VLOOKUP(A97,'Data Vlaue (Cr)'!C92:CB305,78,0)</f>
        <v>-5.8999999999999999E-3</v>
      </c>
      <c r="H97" s="91">
        <f>VLOOKUP($A97,'Data Vlaue (Cr)'!$C:$FB,91)</f>
        <v>286</v>
      </c>
      <c r="I97" s="91">
        <f>VLOOKUP($A97,'Data Vlaue (Cr)'!$C:$FB,93)</f>
        <v>15</v>
      </c>
      <c r="J97" s="92">
        <f>VLOOKUP($A97,'Data Vlaue (Cr)'!$C:$FB,94)</f>
        <v>5.4699999999999999E-2</v>
      </c>
      <c r="K97" s="91">
        <f>VLOOKUP($A97,'Data Vlaue (Cr)'!$C:$FB,95)</f>
        <v>225</v>
      </c>
      <c r="L97" s="91">
        <f>VLOOKUP($A97,'Data Vlaue (Cr)'!$C:$FB,97)</f>
        <v>-5</v>
      </c>
      <c r="M97" s="92">
        <f>VLOOKUP($A97,'Data Vlaue (Cr)'!$C:$FB,98)</f>
        <v>-2.0400000000000001E-2</v>
      </c>
      <c r="N97" s="91">
        <f>VLOOKUP($A97,'Data Vlaue (Cr)'!$C:$FB,79)</f>
        <v>794</v>
      </c>
      <c r="O97" s="92">
        <f>VLOOKUP($A97,'Data Vlaue (Cr)'!$C:$FB,82)</f>
        <v>-8.2000000000000007E-3</v>
      </c>
    </row>
    <row r="98" spans="1:15" x14ac:dyDescent="0.25">
      <c r="A98" s="97" t="str">
        <f>'Data Vlaue (Cr)'!C93</f>
        <v>INDIAVIX</v>
      </c>
      <c r="B98" s="142">
        <f>VLOOKUP(A98,'Data Vlaue (Cr)'!C93:CW306,99,0)</f>
        <v>0</v>
      </c>
      <c r="C98" s="90">
        <f>VLOOKUP(A98,'Data Vlaue (Cr)'!C93:CY306,101,0)</f>
        <v>0</v>
      </c>
      <c r="D98" s="139">
        <f>VLOOKUP(A98,'Data Vlaue (Cr)'!C93:CZ306,102,0)</f>
        <v>0</v>
      </c>
      <c r="E98" s="91">
        <f>VLOOKUP($A98,'Data Vlaue (Cr)'!$C:$FB,75)</f>
        <v>0</v>
      </c>
      <c r="F98" s="91">
        <f>VLOOKUP($A98,'Data Vlaue (Cr)'!$C:$FB,77)</f>
        <v>0</v>
      </c>
      <c r="G98" s="92">
        <f>VLOOKUP(A98,'Data Vlaue (Cr)'!C93:CB306,78,0)</f>
        <v>0</v>
      </c>
      <c r="H98" s="91">
        <f>VLOOKUP($A98,'Data Vlaue (Cr)'!$C:$FB,91)</f>
        <v>0</v>
      </c>
      <c r="I98" s="91">
        <f>VLOOKUP($A98,'Data Vlaue (Cr)'!$C:$FB,93)</f>
        <v>0</v>
      </c>
      <c r="J98" s="92">
        <f>VLOOKUP($A98,'Data Vlaue (Cr)'!$C:$FB,94)</f>
        <v>0</v>
      </c>
      <c r="K98" s="91">
        <f>VLOOKUP($A98,'Data Vlaue (Cr)'!$C:$FB,95)</f>
        <v>0</v>
      </c>
      <c r="L98" s="91">
        <f>VLOOKUP($A98,'Data Vlaue (Cr)'!$C:$FB,97)</f>
        <v>0</v>
      </c>
      <c r="M98" s="92">
        <f>VLOOKUP($A98,'Data Vlaue (Cr)'!$C:$FB,98)</f>
        <v>0</v>
      </c>
      <c r="N98" s="91">
        <f>VLOOKUP($A98,'Data Vlaue (Cr)'!$C:$FB,79)</f>
        <v>0</v>
      </c>
      <c r="O98" s="92">
        <f>VLOOKUP($A98,'Data Vlaue (Cr)'!$C:$FB,82)</f>
        <v>0</v>
      </c>
    </row>
    <row r="99" spans="1:15" x14ac:dyDescent="0.25">
      <c r="A99" s="97" t="str">
        <f>'Data Vlaue (Cr)'!C94</f>
        <v>INDIGO</v>
      </c>
      <c r="B99" s="142">
        <f>VLOOKUP(A99,'Data Vlaue (Cr)'!C94:CW307,99,0)</f>
        <v>7950</v>
      </c>
      <c r="C99" s="90">
        <f>VLOOKUP(A99,'Data Vlaue (Cr)'!C94:CY307,101,0)</f>
        <v>188</v>
      </c>
      <c r="D99" s="139">
        <f>VLOOKUP(A99,'Data Vlaue (Cr)'!C94:CZ307,102,0)</f>
        <v>2.4199999999999999E-2</v>
      </c>
      <c r="E99" s="91">
        <f>VLOOKUP($A99,'Data Vlaue (Cr)'!$C:$FB,75)</f>
        <v>4378</v>
      </c>
      <c r="F99" s="91">
        <f>VLOOKUP($A99,'Data Vlaue (Cr)'!$C:$FB,77)</f>
        <v>-39</v>
      </c>
      <c r="G99" s="92">
        <f>VLOOKUP(A99,'Data Vlaue (Cr)'!C94:CB307,78,0)</f>
        <v>-8.8999999999999999E-3</v>
      </c>
      <c r="H99" s="91">
        <f>VLOOKUP($A99,'Data Vlaue (Cr)'!$C:$FB,91)</f>
        <v>1873</v>
      </c>
      <c r="I99" s="91">
        <f>VLOOKUP($A99,'Data Vlaue (Cr)'!$C:$FB,93)</f>
        <v>179</v>
      </c>
      <c r="J99" s="92">
        <f>VLOOKUP($A99,'Data Vlaue (Cr)'!$C:$FB,94)</f>
        <v>0.10539999999999999</v>
      </c>
      <c r="K99" s="91">
        <f>VLOOKUP($A99,'Data Vlaue (Cr)'!$C:$FB,95)</f>
        <v>1699</v>
      </c>
      <c r="L99" s="91">
        <f>VLOOKUP($A99,'Data Vlaue (Cr)'!$C:$FB,97)</f>
        <v>49</v>
      </c>
      <c r="M99" s="92">
        <f>VLOOKUP($A99,'Data Vlaue (Cr)'!$C:$FB,98)</f>
        <v>2.9399999999999999E-2</v>
      </c>
      <c r="N99" s="91">
        <f>VLOOKUP($A99,'Data Vlaue (Cr)'!$C:$FB,79)</f>
        <v>4260</v>
      </c>
      <c r="O99" s="92">
        <f>VLOOKUP($A99,'Data Vlaue (Cr)'!$C:$FB,82)</f>
        <v>-1.1599999999999999E-2</v>
      </c>
    </row>
    <row r="100" spans="1:15" x14ac:dyDescent="0.25">
      <c r="A100" s="97" t="str">
        <f>'Data Vlaue (Cr)'!C95</f>
        <v>INDUSINDBK</v>
      </c>
      <c r="B100" s="142">
        <f>VLOOKUP(A100,'Data Vlaue (Cr)'!C95:CW308,99,0)</f>
        <v>5744</v>
      </c>
      <c r="C100" s="90">
        <f>VLOOKUP(A100,'Data Vlaue (Cr)'!C95:CY308,101,0)</f>
        <v>320</v>
      </c>
      <c r="D100" s="139">
        <f>VLOOKUP(A100,'Data Vlaue (Cr)'!C95:CZ308,102,0)</f>
        <v>5.8900000000000001E-2</v>
      </c>
      <c r="E100" s="91">
        <f>VLOOKUP($A100,'Data Vlaue (Cr)'!$C:$FB,75)</f>
        <v>4026</v>
      </c>
      <c r="F100" s="91">
        <f>VLOOKUP($A100,'Data Vlaue (Cr)'!$C:$FB,77)</f>
        <v>23</v>
      </c>
      <c r="G100" s="92">
        <f>VLOOKUP(A100,'Data Vlaue (Cr)'!C95:CB308,78,0)</f>
        <v>5.7000000000000002E-3</v>
      </c>
      <c r="H100" s="91">
        <f>VLOOKUP($A100,'Data Vlaue (Cr)'!$C:$FB,91)</f>
        <v>905</v>
      </c>
      <c r="I100" s="91">
        <f>VLOOKUP($A100,'Data Vlaue (Cr)'!$C:$FB,93)</f>
        <v>68</v>
      </c>
      <c r="J100" s="92">
        <f>VLOOKUP($A100,'Data Vlaue (Cr)'!$C:$FB,94)</f>
        <v>8.0699999999999994E-2</v>
      </c>
      <c r="K100" s="91">
        <f>VLOOKUP($A100,'Data Vlaue (Cr)'!$C:$FB,95)</f>
        <v>813</v>
      </c>
      <c r="L100" s="91">
        <f>VLOOKUP($A100,'Data Vlaue (Cr)'!$C:$FB,97)</f>
        <v>229</v>
      </c>
      <c r="M100" s="92">
        <f>VLOOKUP($A100,'Data Vlaue (Cr)'!$C:$FB,98)</f>
        <v>0.39219999999999999</v>
      </c>
      <c r="N100" s="91">
        <f>VLOOKUP($A100,'Data Vlaue (Cr)'!$C:$FB,79)</f>
        <v>3962</v>
      </c>
      <c r="O100" s="92">
        <f>VLOOKUP($A100,'Data Vlaue (Cr)'!$C:$FB,82)</f>
        <v>5.5999999999999999E-3</v>
      </c>
    </row>
    <row r="101" spans="1:15" x14ac:dyDescent="0.25">
      <c r="A101" s="97" t="str">
        <f>'Data Vlaue (Cr)'!C96</f>
        <v>INDUSTOWER</v>
      </c>
      <c r="B101" s="142">
        <f>VLOOKUP(A101,'Data Vlaue (Cr)'!C96:CW309,99,0)</f>
        <v>5554</v>
      </c>
      <c r="C101" s="90">
        <f>VLOOKUP(A101,'Data Vlaue (Cr)'!C96:CY309,101,0)</f>
        <v>122</v>
      </c>
      <c r="D101" s="139">
        <f>VLOOKUP(A101,'Data Vlaue (Cr)'!C96:CZ309,102,0)</f>
        <v>2.24E-2</v>
      </c>
      <c r="E101" s="91">
        <f>VLOOKUP($A101,'Data Vlaue (Cr)'!$C:$FB,75)</f>
        <v>3988</v>
      </c>
      <c r="F101" s="91">
        <f>VLOOKUP($A101,'Data Vlaue (Cr)'!$C:$FB,77)</f>
        <v>93</v>
      </c>
      <c r="G101" s="92">
        <f>VLOOKUP(A101,'Data Vlaue (Cr)'!C96:CB309,78,0)</f>
        <v>2.3900000000000001E-2</v>
      </c>
      <c r="H101" s="91">
        <f>VLOOKUP($A101,'Data Vlaue (Cr)'!$C:$FB,91)</f>
        <v>888</v>
      </c>
      <c r="I101" s="91">
        <f>VLOOKUP($A101,'Data Vlaue (Cr)'!$C:$FB,93)</f>
        <v>-73</v>
      </c>
      <c r="J101" s="92">
        <f>VLOOKUP($A101,'Data Vlaue (Cr)'!$C:$FB,94)</f>
        <v>-7.6300000000000007E-2</v>
      </c>
      <c r="K101" s="91">
        <f>VLOOKUP($A101,'Data Vlaue (Cr)'!$C:$FB,95)</f>
        <v>677</v>
      </c>
      <c r="L101" s="91">
        <f>VLOOKUP($A101,'Data Vlaue (Cr)'!$C:$FB,97)</f>
        <v>102</v>
      </c>
      <c r="M101" s="92">
        <f>VLOOKUP($A101,'Data Vlaue (Cr)'!$C:$FB,98)</f>
        <v>0.17749999999999999</v>
      </c>
      <c r="N101" s="91">
        <f>VLOOKUP($A101,'Data Vlaue (Cr)'!$C:$FB,79)</f>
        <v>3953</v>
      </c>
      <c r="O101" s="92">
        <f>VLOOKUP($A101,'Data Vlaue (Cr)'!$C:$FB,82)</f>
        <v>2.2599999999999999E-2</v>
      </c>
    </row>
    <row r="102" spans="1:15" x14ac:dyDescent="0.25">
      <c r="A102" s="97" t="str">
        <f>'Data Vlaue (Cr)'!C97</f>
        <v>INFY</v>
      </c>
      <c r="B102" s="142">
        <f>VLOOKUP(A102,'Data Vlaue (Cr)'!C97:CW310,99,0)</f>
        <v>15013</v>
      </c>
      <c r="C102" s="90">
        <f>VLOOKUP(A102,'Data Vlaue (Cr)'!C97:CY310,101,0)</f>
        <v>286</v>
      </c>
      <c r="D102" s="139">
        <f>VLOOKUP(A102,'Data Vlaue (Cr)'!C97:CZ310,102,0)</f>
        <v>1.9400000000000001E-2</v>
      </c>
      <c r="E102" s="91">
        <f>VLOOKUP($A102,'Data Vlaue (Cr)'!$C:$FB,75)</f>
        <v>11570</v>
      </c>
      <c r="F102" s="91">
        <f>VLOOKUP($A102,'Data Vlaue (Cr)'!$C:$FB,77)</f>
        <v>5</v>
      </c>
      <c r="G102" s="92">
        <f>VLOOKUP(A102,'Data Vlaue (Cr)'!C97:CB310,78,0)</f>
        <v>4.0000000000000002E-4</v>
      </c>
      <c r="H102" s="91">
        <f>VLOOKUP($A102,'Data Vlaue (Cr)'!$C:$FB,91)</f>
        <v>1924</v>
      </c>
      <c r="I102" s="91">
        <f>VLOOKUP($A102,'Data Vlaue (Cr)'!$C:$FB,93)</f>
        <v>184</v>
      </c>
      <c r="J102" s="92">
        <f>VLOOKUP($A102,'Data Vlaue (Cr)'!$C:$FB,94)</f>
        <v>0.1057</v>
      </c>
      <c r="K102" s="91">
        <f>VLOOKUP($A102,'Data Vlaue (Cr)'!$C:$FB,95)</f>
        <v>1519</v>
      </c>
      <c r="L102" s="91">
        <f>VLOOKUP($A102,'Data Vlaue (Cr)'!$C:$FB,97)</f>
        <v>97</v>
      </c>
      <c r="M102" s="92">
        <f>VLOOKUP($A102,'Data Vlaue (Cr)'!$C:$FB,98)</f>
        <v>6.8199999999999997E-2</v>
      </c>
      <c r="N102" s="91">
        <f>VLOOKUP($A102,'Data Vlaue (Cr)'!$C:$FB,79)</f>
        <v>11439</v>
      </c>
      <c r="O102" s="92">
        <f>VLOOKUP($A102,'Data Vlaue (Cr)'!$C:$FB,82)</f>
        <v>-2.0000000000000001E-4</v>
      </c>
    </row>
    <row r="103" spans="1:15" x14ac:dyDescent="0.25">
      <c r="A103" s="97" t="str">
        <f>'Data Vlaue (Cr)'!C98</f>
        <v>INOXWIND</v>
      </c>
      <c r="B103" s="142">
        <f>VLOOKUP(A103,'Data Vlaue (Cr)'!C98:CW311,99,0)</f>
        <v>1523</v>
      </c>
      <c r="C103" s="90">
        <f>VLOOKUP(A103,'Data Vlaue (Cr)'!C98:CY311,101,0)</f>
        <v>25</v>
      </c>
      <c r="D103" s="139">
        <f>VLOOKUP(A103,'Data Vlaue (Cr)'!C98:CZ311,102,0)</f>
        <v>1.6400000000000001E-2</v>
      </c>
      <c r="E103" s="91">
        <f>VLOOKUP($A103,'Data Vlaue (Cr)'!$C:$FB,75)</f>
        <v>1125</v>
      </c>
      <c r="F103" s="91">
        <f>VLOOKUP($A103,'Data Vlaue (Cr)'!$C:$FB,77)</f>
        <v>2</v>
      </c>
      <c r="G103" s="92">
        <f>VLOOKUP(A103,'Data Vlaue (Cr)'!C98:CB311,78,0)</f>
        <v>2.2000000000000001E-3</v>
      </c>
      <c r="H103" s="91">
        <f>VLOOKUP($A103,'Data Vlaue (Cr)'!$C:$FB,91)</f>
        <v>224</v>
      </c>
      <c r="I103" s="91">
        <f>VLOOKUP($A103,'Data Vlaue (Cr)'!$C:$FB,93)</f>
        <v>16</v>
      </c>
      <c r="J103" s="92">
        <f>VLOOKUP($A103,'Data Vlaue (Cr)'!$C:$FB,94)</f>
        <v>7.8200000000000006E-2</v>
      </c>
      <c r="K103" s="91">
        <f>VLOOKUP($A103,'Data Vlaue (Cr)'!$C:$FB,95)</f>
        <v>174</v>
      </c>
      <c r="L103" s="91">
        <f>VLOOKUP($A103,'Data Vlaue (Cr)'!$C:$FB,97)</f>
        <v>6</v>
      </c>
      <c r="M103" s="92">
        <f>VLOOKUP($A103,'Data Vlaue (Cr)'!$C:$FB,98)</f>
        <v>3.4700000000000002E-2</v>
      </c>
      <c r="N103" s="91">
        <f>VLOOKUP($A103,'Data Vlaue (Cr)'!$C:$FB,79)</f>
        <v>1078</v>
      </c>
      <c r="O103" s="92">
        <f>VLOOKUP($A103,'Data Vlaue (Cr)'!$C:$FB,82)</f>
        <v>2.7000000000000001E-3</v>
      </c>
    </row>
    <row r="104" spans="1:15" x14ac:dyDescent="0.25">
      <c r="A104" s="97" t="str">
        <f>'Data Vlaue (Cr)'!C99</f>
        <v>IOC</v>
      </c>
      <c r="B104" s="142">
        <f>VLOOKUP(A104,'Data Vlaue (Cr)'!C99:CW312,99,0)</f>
        <v>2729</v>
      </c>
      <c r="C104" s="90">
        <f>VLOOKUP(A104,'Data Vlaue (Cr)'!C99:CY312,101,0)</f>
        <v>169</v>
      </c>
      <c r="D104" s="139">
        <f>VLOOKUP(A104,'Data Vlaue (Cr)'!C99:CZ312,102,0)</f>
        <v>6.6100000000000006E-2</v>
      </c>
      <c r="E104" s="91">
        <f>VLOOKUP($A104,'Data Vlaue (Cr)'!$C:$FB,75)</f>
        <v>1767</v>
      </c>
      <c r="F104" s="91">
        <f>VLOOKUP($A104,'Data Vlaue (Cr)'!$C:$FB,77)</f>
        <v>50</v>
      </c>
      <c r="G104" s="92">
        <f>VLOOKUP(A104,'Data Vlaue (Cr)'!C99:CB312,78,0)</f>
        <v>2.93E-2</v>
      </c>
      <c r="H104" s="91">
        <f>VLOOKUP($A104,'Data Vlaue (Cr)'!$C:$FB,91)</f>
        <v>571</v>
      </c>
      <c r="I104" s="91">
        <f>VLOOKUP($A104,'Data Vlaue (Cr)'!$C:$FB,93)</f>
        <v>80</v>
      </c>
      <c r="J104" s="92">
        <f>VLOOKUP($A104,'Data Vlaue (Cr)'!$C:$FB,94)</f>
        <v>0.1636</v>
      </c>
      <c r="K104" s="91">
        <f>VLOOKUP($A104,'Data Vlaue (Cr)'!$C:$FB,95)</f>
        <v>391</v>
      </c>
      <c r="L104" s="91">
        <f>VLOOKUP($A104,'Data Vlaue (Cr)'!$C:$FB,97)</f>
        <v>39</v>
      </c>
      <c r="M104" s="92">
        <f>VLOOKUP($A104,'Data Vlaue (Cr)'!$C:$FB,98)</f>
        <v>0.10979999999999999</v>
      </c>
      <c r="N104" s="91">
        <f>VLOOKUP($A104,'Data Vlaue (Cr)'!$C:$FB,79)</f>
        <v>1713</v>
      </c>
      <c r="O104" s="92">
        <f>VLOOKUP($A104,'Data Vlaue (Cr)'!$C:$FB,82)</f>
        <v>2.5100000000000001E-2</v>
      </c>
    </row>
    <row r="105" spans="1:15" x14ac:dyDescent="0.25">
      <c r="A105" s="97" t="str">
        <f>'Data Vlaue (Cr)'!C100</f>
        <v>IRCTC</v>
      </c>
      <c r="B105" s="142">
        <f>VLOOKUP(A105,'Data Vlaue (Cr)'!C100:CW313,99,0)</f>
        <v>3070</v>
      </c>
      <c r="C105" s="90">
        <f>VLOOKUP(A105,'Data Vlaue (Cr)'!C100:CY313,101,0)</f>
        <v>23</v>
      </c>
      <c r="D105" s="139">
        <f>VLOOKUP(A105,'Data Vlaue (Cr)'!C100:CZ313,102,0)</f>
        <v>7.6E-3</v>
      </c>
      <c r="E105" s="91">
        <f>VLOOKUP($A105,'Data Vlaue (Cr)'!$C:$FB,75)</f>
        <v>1385</v>
      </c>
      <c r="F105" s="91">
        <f>VLOOKUP($A105,'Data Vlaue (Cr)'!$C:$FB,77)</f>
        <v>13</v>
      </c>
      <c r="G105" s="92">
        <f>VLOOKUP(A105,'Data Vlaue (Cr)'!C100:CB313,78,0)</f>
        <v>9.5999999999999992E-3</v>
      </c>
      <c r="H105" s="91">
        <f>VLOOKUP($A105,'Data Vlaue (Cr)'!$C:$FB,91)</f>
        <v>1128</v>
      </c>
      <c r="I105" s="91">
        <f>VLOOKUP($A105,'Data Vlaue (Cr)'!$C:$FB,93)</f>
        <v>9</v>
      </c>
      <c r="J105" s="92">
        <f>VLOOKUP($A105,'Data Vlaue (Cr)'!$C:$FB,94)</f>
        <v>8.0999999999999996E-3</v>
      </c>
      <c r="K105" s="91">
        <f>VLOOKUP($A105,'Data Vlaue (Cr)'!$C:$FB,95)</f>
        <v>556</v>
      </c>
      <c r="L105" s="91">
        <f>VLOOKUP($A105,'Data Vlaue (Cr)'!$C:$FB,97)</f>
        <v>1</v>
      </c>
      <c r="M105" s="92">
        <f>VLOOKUP($A105,'Data Vlaue (Cr)'!$C:$FB,98)</f>
        <v>1.6999999999999999E-3</v>
      </c>
      <c r="N105" s="91">
        <f>VLOOKUP($A105,'Data Vlaue (Cr)'!$C:$FB,79)</f>
        <v>1271</v>
      </c>
      <c r="O105" s="92">
        <f>VLOOKUP($A105,'Data Vlaue (Cr)'!$C:$FB,82)</f>
        <v>8.6999999999999994E-3</v>
      </c>
    </row>
    <row r="106" spans="1:15" x14ac:dyDescent="0.25">
      <c r="A106" s="97" t="str">
        <f>'Data Vlaue (Cr)'!C101</f>
        <v>IREDA</v>
      </c>
      <c r="B106" s="142">
        <f>VLOOKUP(A106,'Data Vlaue (Cr)'!C101:CW314,99,0)</f>
        <v>1259</v>
      </c>
      <c r="C106" s="90">
        <f>VLOOKUP(A106,'Data Vlaue (Cr)'!C101:CY314,101,0)</f>
        <v>70</v>
      </c>
      <c r="D106" s="139">
        <f>VLOOKUP(A106,'Data Vlaue (Cr)'!C101:CZ314,102,0)</f>
        <v>5.9200000000000003E-2</v>
      </c>
      <c r="E106" s="91">
        <f>VLOOKUP($A106,'Data Vlaue (Cr)'!$C:$FB,75)</f>
        <v>699</v>
      </c>
      <c r="F106" s="91">
        <f>VLOOKUP($A106,'Data Vlaue (Cr)'!$C:$FB,77)</f>
        <v>31</v>
      </c>
      <c r="G106" s="92">
        <f>VLOOKUP(A106,'Data Vlaue (Cr)'!C101:CB314,78,0)</f>
        <v>4.6100000000000002E-2</v>
      </c>
      <c r="H106" s="91">
        <f>VLOOKUP($A106,'Data Vlaue (Cr)'!$C:$FB,91)</f>
        <v>351</v>
      </c>
      <c r="I106" s="91">
        <f>VLOOKUP($A106,'Data Vlaue (Cr)'!$C:$FB,93)</f>
        <v>33</v>
      </c>
      <c r="J106" s="92">
        <f>VLOOKUP($A106,'Data Vlaue (Cr)'!$C:$FB,94)</f>
        <v>0.10290000000000001</v>
      </c>
      <c r="K106" s="91">
        <f>VLOOKUP($A106,'Data Vlaue (Cr)'!$C:$FB,95)</f>
        <v>210</v>
      </c>
      <c r="L106" s="91">
        <f>VLOOKUP($A106,'Data Vlaue (Cr)'!$C:$FB,97)</f>
        <v>7</v>
      </c>
      <c r="M106" s="92">
        <f>VLOOKUP($A106,'Data Vlaue (Cr)'!$C:$FB,98)</f>
        <v>3.3599999999999998E-2</v>
      </c>
      <c r="N106" s="91">
        <f>VLOOKUP($A106,'Data Vlaue (Cr)'!$C:$FB,79)</f>
        <v>634</v>
      </c>
      <c r="O106" s="92">
        <f>VLOOKUP($A106,'Data Vlaue (Cr)'!$C:$FB,82)</f>
        <v>4.2000000000000003E-2</v>
      </c>
    </row>
    <row r="107" spans="1:15" x14ac:dyDescent="0.25">
      <c r="A107" s="97" t="str">
        <f>'Data Vlaue (Cr)'!C102</f>
        <v>IRFC</v>
      </c>
      <c r="B107" s="142">
        <f>VLOOKUP(A107,'Data Vlaue (Cr)'!C102:CW315,99,0)</f>
        <v>2096</v>
      </c>
      <c r="C107" s="90">
        <f>VLOOKUP(A107,'Data Vlaue (Cr)'!C102:CY315,101,0)</f>
        <v>7</v>
      </c>
      <c r="D107" s="139">
        <f>VLOOKUP(A107,'Data Vlaue (Cr)'!C102:CZ315,102,0)</f>
        <v>3.3999999999999998E-3</v>
      </c>
      <c r="E107" s="91">
        <f>VLOOKUP($A107,'Data Vlaue (Cr)'!$C:$FB,75)</f>
        <v>778</v>
      </c>
      <c r="F107" s="91">
        <f>VLOOKUP($A107,'Data Vlaue (Cr)'!$C:$FB,77)</f>
        <v>8</v>
      </c>
      <c r="G107" s="92">
        <f>VLOOKUP(A107,'Data Vlaue (Cr)'!C102:CB315,78,0)</f>
        <v>1.0500000000000001E-2</v>
      </c>
      <c r="H107" s="91">
        <f>VLOOKUP($A107,'Data Vlaue (Cr)'!$C:$FB,91)</f>
        <v>929</v>
      </c>
      <c r="I107" s="91">
        <f>VLOOKUP($A107,'Data Vlaue (Cr)'!$C:$FB,93)</f>
        <v>-6</v>
      </c>
      <c r="J107" s="92">
        <f>VLOOKUP($A107,'Data Vlaue (Cr)'!$C:$FB,94)</f>
        <v>-6.4000000000000003E-3</v>
      </c>
      <c r="K107" s="91">
        <f>VLOOKUP($A107,'Data Vlaue (Cr)'!$C:$FB,95)</f>
        <v>389</v>
      </c>
      <c r="L107" s="91">
        <f>VLOOKUP($A107,'Data Vlaue (Cr)'!$C:$FB,97)</f>
        <v>5</v>
      </c>
      <c r="M107" s="92">
        <f>VLOOKUP($A107,'Data Vlaue (Cr)'!$C:$FB,98)</f>
        <v>1.2999999999999999E-2</v>
      </c>
      <c r="N107" s="91">
        <f>VLOOKUP($A107,'Data Vlaue (Cr)'!$C:$FB,79)</f>
        <v>720</v>
      </c>
      <c r="O107" s="92">
        <f>VLOOKUP($A107,'Data Vlaue (Cr)'!$C:$FB,82)</f>
        <v>9.1999999999999998E-3</v>
      </c>
    </row>
    <row r="108" spans="1:15" x14ac:dyDescent="0.25">
      <c r="A108" s="97" t="str">
        <f>'Data Vlaue (Cr)'!C103</f>
        <v>ITC</v>
      </c>
      <c r="B108" s="142">
        <f>VLOOKUP(A108,'Data Vlaue (Cr)'!C103:CW316,99,0)</f>
        <v>18083</v>
      </c>
      <c r="C108" s="90">
        <f>VLOOKUP(A108,'Data Vlaue (Cr)'!C103:CY316,101,0)</f>
        <v>9275</v>
      </c>
      <c r="D108" s="139">
        <f>VLOOKUP(A108,'Data Vlaue (Cr)'!C103:CZ316,102,0)</f>
        <v>1.0530999999999999</v>
      </c>
      <c r="E108" s="91">
        <f>VLOOKUP($A108,'Data Vlaue (Cr)'!$C:$FB,75)</f>
        <v>7948</v>
      </c>
      <c r="F108" s="91">
        <f>VLOOKUP($A108,'Data Vlaue (Cr)'!$C:$FB,77)</f>
        <v>1540</v>
      </c>
      <c r="G108" s="92">
        <f>VLOOKUP(A108,'Data Vlaue (Cr)'!C103:CB316,78,0)</f>
        <v>0.24030000000000001</v>
      </c>
      <c r="H108" s="91">
        <f>VLOOKUP($A108,'Data Vlaue (Cr)'!$C:$FB,91)</f>
        <v>6708</v>
      </c>
      <c r="I108" s="91">
        <f>VLOOKUP($A108,'Data Vlaue (Cr)'!$C:$FB,93)</f>
        <v>5207</v>
      </c>
      <c r="J108" s="92">
        <f>VLOOKUP($A108,'Data Vlaue (Cr)'!$C:$FB,94)</f>
        <v>3.4704000000000002</v>
      </c>
      <c r="K108" s="91">
        <f>VLOOKUP($A108,'Data Vlaue (Cr)'!$C:$FB,95)</f>
        <v>3427</v>
      </c>
      <c r="L108" s="91">
        <f>VLOOKUP($A108,'Data Vlaue (Cr)'!$C:$FB,97)</f>
        <v>2528</v>
      </c>
      <c r="M108" s="92">
        <f>VLOOKUP($A108,'Data Vlaue (Cr)'!$C:$FB,98)</f>
        <v>2.8123</v>
      </c>
      <c r="N108" s="91">
        <f>VLOOKUP($A108,'Data Vlaue (Cr)'!$C:$FB,79)</f>
        <v>7249</v>
      </c>
      <c r="O108" s="92">
        <f>VLOOKUP($A108,'Data Vlaue (Cr)'!$C:$FB,82)</f>
        <v>0.17119999999999999</v>
      </c>
    </row>
    <row r="109" spans="1:15" x14ac:dyDescent="0.25">
      <c r="A109" s="97" t="str">
        <f>'Data Vlaue (Cr)'!C104</f>
        <v>JINDALSTEL</v>
      </c>
      <c r="B109" s="142">
        <f>VLOOKUP(A109,'Data Vlaue (Cr)'!C104:CW317,99,0)</f>
        <v>2180</v>
      </c>
      <c r="C109" s="90">
        <f>VLOOKUP(A109,'Data Vlaue (Cr)'!C104:CY317,101,0)</f>
        <v>12</v>
      </c>
      <c r="D109" s="139">
        <f>VLOOKUP(A109,'Data Vlaue (Cr)'!C104:CZ317,102,0)</f>
        <v>5.5999999999999999E-3</v>
      </c>
      <c r="E109" s="91">
        <f>VLOOKUP($A109,'Data Vlaue (Cr)'!$C:$FB,75)</f>
        <v>1384</v>
      </c>
      <c r="F109" s="91">
        <f>VLOOKUP($A109,'Data Vlaue (Cr)'!$C:$FB,77)</f>
        <v>21</v>
      </c>
      <c r="G109" s="92">
        <f>VLOOKUP(A109,'Data Vlaue (Cr)'!C104:CB317,78,0)</f>
        <v>1.52E-2</v>
      </c>
      <c r="H109" s="91">
        <f>VLOOKUP($A109,'Data Vlaue (Cr)'!$C:$FB,91)</f>
        <v>423</v>
      </c>
      <c r="I109" s="91">
        <f>VLOOKUP($A109,'Data Vlaue (Cr)'!$C:$FB,93)</f>
        <v>-39</v>
      </c>
      <c r="J109" s="92">
        <f>VLOOKUP($A109,'Data Vlaue (Cr)'!$C:$FB,94)</f>
        <v>-8.4099999999999994E-2</v>
      </c>
      <c r="K109" s="91">
        <f>VLOOKUP($A109,'Data Vlaue (Cr)'!$C:$FB,95)</f>
        <v>373</v>
      </c>
      <c r="L109" s="91">
        <f>VLOOKUP($A109,'Data Vlaue (Cr)'!$C:$FB,97)</f>
        <v>30</v>
      </c>
      <c r="M109" s="92">
        <f>VLOOKUP($A109,'Data Vlaue (Cr)'!$C:$FB,98)</f>
        <v>8.7999999999999995E-2</v>
      </c>
      <c r="N109" s="91">
        <f>VLOOKUP($A109,'Data Vlaue (Cr)'!$C:$FB,79)</f>
        <v>1369</v>
      </c>
      <c r="O109" s="92">
        <f>VLOOKUP($A109,'Data Vlaue (Cr)'!$C:$FB,82)</f>
        <v>1.46E-2</v>
      </c>
    </row>
    <row r="110" spans="1:15" x14ac:dyDescent="0.25">
      <c r="A110" s="97" t="str">
        <f>'Data Vlaue (Cr)'!C105</f>
        <v>JIOFIN</v>
      </c>
      <c r="B110" s="142">
        <f>VLOOKUP(A110,'Data Vlaue (Cr)'!C105:CW318,99,0)</f>
        <v>6862</v>
      </c>
      <c r="C110" s="90">
        <f>VLOOKUP(A110,'Data Vlaue (Cr)'!C105:CY318,101,0)</f>
        <v>90</v>
      </c>
      <c r="D110" s="139">
        <f>VLOOKUP(A110,'Data Vlaue (Cr)'!C105:CZ318,102,0)</f>
        <v>1.3299999999999999E-2</v>
      </c>
      <c r="E110" s="91">
        <f>VLOOKUP($A110,'Data Vlaue (Cr)'!$C:$FB,75)</f>
        <v>4720</v>
      </c>
      <c r="F110" s="91">
        <f>VLOOKUP($A110,'Data Vlaue (Cr)'!$C:$FB,77)</f>
        <v>16</v>
      </c>
      <c r="G110" s="92">
        <f>VLOOKUP(A110,'Data Vlaue (Cr)'!C105:CB318,78,0)</f>
        <v>3.5000000000000001E-3</v>
      </c>
      <c r="H110" s="91">
        <f>VLOOKUP($A110,'Data Vlaue (Cr)'!$C:$FB,91)</f>
        <v>1130</v>
      </c>
      <c r="I110" s="91">
        <f>VLOOKUP($A110,'Data Vlaue (Cr)'!$C:$FB,93)</f>
        <v>59</v>
      </c>
      <c r="J110" s="92">
        <f>VLOOKUP($A110,'Data Vlaue (Cr)'!$C:$FB,94)</f>
        <v>5.5300000000000002E-2</v>
      </c>
      <c r="K110" s="91">
        <f>VLOOKUP($A110,'Data Vlaue (Cr)'!$C:$FB,95)</f>
        <v>1012</v>
      </c>
      <c r="L110" s="91">
        <f>VLOOKUP($A110,'Data Vlaue (Cr)'!$C:$FB,97)</f>
        <v>15</v>
      </c>
      <c r="M110" s="92">
        <f>VLOOKUP($A110,'Data Vlaue (Cr)'!$C:$FB,98)</f>
        <v>1.49E-2</v>
      </c>
      <c r="N110" s="91">
        <f>VLOOKUP($A110,'Data Vlaue (Cr)'!$C:$FB,79)</f>
        <v>4522</v>
      </c>
      <c r="O110" s="92">
        <f>VLOOKUP($A110,'Data Vlaue (Cr)'!$C:$FB,82)</f>
        <v>3.0999999999999999E-3</v>
      </c>
    </row>
    <row r="111" spans="1:15" x14ac:dyDescent="0.25">
      <c r="A111" s="97" t="str">
        <f>'Data Vlaue (Cr)'!C106</f>
        <v>JSWENERGY</v>
      </c>
      <c r="B111" s="142">
        <f>VLOOKUP(A111,'Data Vlaue (Cr)'!C106:CW319,99,0)</f>
        <v>2789</v>
      </c>
      <c r="C111" s="90">
        <f>VLOOKUP(A111,'Data Vlaue (Cr)'!C106:CY319,101,0)</f>
        <v>118</v>
      </c>
      <c r="D111" s="139">
        <f>VLOOKUP(A111,'Data Vlaue (Cr)'!C106:CZ319,102,0)</f>
        <v>4.41E-2</v>
      </c>
      <c r="E111" s="91">
        <f>VLOOKUP($A111,'Data Vlaue (Cr)'!$C:$FB,75)</f>
        <v>2132</v>
      </c>
      <c r="F111" s="91">
        <f>VLOOKUP($A111,'Data Vlaue (Cr)'!$C:$FB,77)</f>
        <v>5</v>
      </c>
      <c r="G111" s="92">
        <f>VLOOKUP(A111,'Data Vlaue (Cr)'!C106:CB319,78,0)</f>
        <v>2.0999999999999999E-3</v>
      </c>
      <c r="H111" s="91">
        <f>VLOOKUP($A111,'Data Vlaue (Cr)'!$C:$FB,91)</f>
        <v>312</v>
      </c>
      <c r="I111" s="91">
        <f>VLOOKUP($A111,'Data Vlaue (Cr)'!$C:$FB,93)</f>
        <v>49</v>
      </c>
      <c r="J111" s="92">
        <f>VLOOKUP($A111,'Data Vlaue (Cr)'!$C:$FB,94)</f>
        <v>0.18590000000000001</v>
      </c>
      <c r="K111" s="91">
        <f>VLOOKUP($A111,'Data Vlaue (Cr)'!$C:$FB,95)</f>
        <v>346</v>
      </c>
      <c r="L111" s="91">
        <f>VLOOKUP($A111,'Data Vlaue (Cr)'!$C:$FB,97)</f>
        <v>64</v>
      </c>
      <c r="M111" s="92">
        <f>VLOOKUP($A111,'Data Vlaue (Cr)'!$C:$FB,98)</f>
        <v>0.22889999999999999</v>
      </c>
      <c r="N111" s="91">
        <f>VLOOKUP($A111,'Data Vlaue (Cr)'!$C:$FB,79)</f>
        <v>2113</v>
      </c>
      <c r="O111" s="92">
        <f>VLOOKUP($A111,'Data Vlaue (Cr)'!$C:$FB,82)</f>
        <v>6.9999999999999999E-4</v>
      </c>
    </row>
    <row r="112" spans="1:15" x14ac:dyDescent="0.25">
      <c r="A112" s="97" t="str">
        <f>'Data Vlaue (Cr)'!C107</f>
        <v>JSWSTEEL</v>
      </c>
      <c r="B112" s="142">
        <f>VLOOKUP(A112,'Data Vlaue (Cr)'!C107:CW320,99,0)</f>
        <v>7808</v>
      </c>
      <c r="C112" s="90">
        <f>VLOOKUP(A112,'Data Vlaue (Cr)'!C107:CY320,101,0)</f>
        <v>27</v>
      </c>
      <c r="D112" s="139">
        <f>VLOOKUP(A112,'Data Vlaue (Cr)'!C107:CZ320,102,0)</f>
        <v>3.5000000000000001E-3</v>
      </c>
      <c r="E112" s="91">
        <f>VLOOKUP($A112,'Data Vlaue (Cr)'!$C:$FB,75)</f>
        <v>5838</v>
      </c>
      <c r="F112" s="91">
        <f>VLOOKUP($A112,'Data Vlaue (Cr)'!$C:$FB,77)</f>
        <v>-5</v>
      </c>
      <c r="G112" s="92">
        <f>VLOOKUP(A112,'Data Vlaue (Cr)'!C107:CB320,78,0)</f>
        <v>-8.0000000000000004E-4</v>
      </c>
      <c r="H112" s="91">
        <f>VLOOKUP($A112,'Data Vlaue (Cr)'!$C:$FB,91)</f>
        <v>1005</v>
      </c>
      <c r="I112" s="91">
        <f>VLOOKUP($A112,'Data Vlaue (Cr)'!$C:$FB,93)</f>
        <v>-19</v>
      </c>
      <c r="J112" s="92">
        <f>VLOOKUP($A112,'Data Vlaue (Cr)'!$C:$FB,94)</f>
        <v>-1.8800000000000001E-2</v>
      </c>
      <c r="K112" s="91">
        <f>VLOOKUP($A112,'Data Vlaue (Cr)'!$C:$FB,95)</f>
        <v>965</v>
      </c>
      <c r="L112" s="91">
        <f>VLOOKUP($A112,'Data Vlaue (Cr)'!$C:$FB,97)</f>
        <v>51</v>
      </c>
      <c r="M112" s="92">
        <f>VLOOKUP($A112,'Data Vlaue (Cr)'!$C:$FB,98)</f>
        <v>5.5899999999999998E-2</v>
      </c>
      <c r="N112" s="91">
        <f>VLOOKUP($A112,'Data Vlaue (Cr)'!$C:$FB,79)</f>
        <v>5797</v>
      </c>
      <c r="O112" s="92">
        <f>VLOOKUP($A112,'Data Vlaue (Cr)'!$C:$FB,82)</f>
        <v>-8.9999999999999998E-4</v>
      </c>
    </row>
    <row r="113" spans="1:15" x14ac:dyDescent="0.25">
      <c r="A113" s="97" t="str">
        <f>'Data Vlaue (Cr)'!C108</f>
        <v>JUBLFOOD</v>
      </c>
      <c r="B113" s="142">
        <f>VLOOKUP(A113,'Data Vlaue (Cr)'!C108:CW321,99,0)</f>
        <v>2120</v>
      </c>
      <c r="C113" s="90">
        <f>VLOOKUP(A113,'Data Vlaue (Cr)'!C108:CY321,101,0)</f>
        <v>93</v>
      </c>
      <c r="D113" s="139">
        <f>VLOOKUP(A113,'Data Vlaue (Cr)'!C108:CZ321,102,0)</f>
        <v>4.5699999999999998E-2</v>
      </c>
      <c r="E113" s="91">
        <f>VLOOKUP($A113,'Data Vlaue (Cr)'!$C:$FB,75)</f>
        <v>1365</v>
      </c>
      <c r="F113" s="91">
        <f>VLOOKUP($A113,'Data Vlaue (Cr)'!$C:$FB,77)</f>
        <v>24</v>
      </c>
      <c r="G113" s="92">
        <f>VLOOKUP(A113,'Data Vlaue (Cr)'!C108:CB321,78,0)</f>
        <v>1.7600000000000001E-2</v>
      </c>
      <c r="H113" s="91">
        <f>VLOOKUP($A113,'Data Vlaue (Cr)'!$C:$FB,91)</f>
        <v>439</v>
      </c>
      <c r="I113" s="91">
        <f>VLOOKUP($A113,'Data Vlaue (Cr)'!$C:$FB,93)</f>
        <v>37</v>
      </c>
      <c r="J113" s="92">
        <f>VLOOKUP($A113,'Data Vlaue (Cr)'!$C:$FB,94)</f>
        <v>9.3200000000000005E-2</v>
      </c>
      <c r="K113" s="91">
        <f>VLOOKUP($A113,'Data Vlaue (Cr)'!$C:$FB,95)</f>
        <v>316</v>
      </c>
      <c r="L113" s="91">
        <f>VLOOKUP($A113,'Data Vlaue (Cr)'!$C:$FB,97)</f>
        <v>32</v>
      </c>
      <c r="M113" s="92">
        <f>VLOOKUP($A113,'Data Vlaue (Cr)'!$C:$FB,98)</f>
        <v>0.1111</v>
      </c>
      <c r="N113" s="91">
        <f>VLOOKUP($A113,'Data Vlaue (Cr)'!$C:$FB,79)</f>
        <v>1306</v>
      </c>
      <c r="O113" s="92">
        <f>VLOOKUP($A113,'Data Vlaue (Cr)'!$C:$FB,82)</f>
        <v>1.67E-2</v>
      </c>
    </row>
    <row r="114" spans="1:15" x14ac:dyDescent="0.25">
      <c r="A114" s="97" t="str">
        <f>'Data Vlaue (Cr)'!C109</f>
        <v>KALYANKJIL</v>
      </c>
      <c r="B114" s="142">
        <f>VLOOKUP(A114,'Data Vlaue (Cr)'!C109:CW322,99,0)</f>
        <v>2022</v>
      </c>
      <c r="C114" s="90">
        <f>VLOOKUP(A114,'Data Vlaue (Cr)'!C109:CY322,101,0)</f>
        <v>22</v>
      </c>
      <c r="D114" s="139">
        <f>VLOOKUP(A114,'Data Vlaue (Cr)'!C109:CZ322,102,0)</f>
        <v>1.11E-2</v>
      </c>
      <c r="E114" s="91">
        <f>VLOOKUP($A114,'Data Vlaue (Cr)'!$C:$FB,75)</f>
        <v>1723</v>
      </c>
      <c r="F114" s="91">
        <f>VLOOKUP($A114,'Data Vlaue (Cr)'!$C:$FB,77)</f>
        <v>1</v>
      </c>
      <c r="G114" s="92">
        <f>VLOOKUP(A114,'Data Vlaue (Cr)'!C109:CB322,78,0)</f>
        <v>8.9999999999999998E-4</v>
      </c>
      <c r="H114" s="91">
        <f>VLOOKUP($A114,'Data Vlaue (Cr)'!$C:$FB,91)</f>
        <v>179</v>
      </c>
      <c r="I114" s="91">
        <f>VLOOKUP($A114,'Data Vlaue (Cr)'!$C:$FB,93)</f>
        <v>16</v>
      </c>
      <c r="J114" s="92">
        <f>VLOOKUP($A114,'Data Vlaue (Cr)'!$C:$FB,94)</f>
        <v>9.6799999999999997E-2</v>
      </c>
      <c r="K114" s="91">
        <f>VLOOKUP($A114,'Data Vlaue (Cr)'!$C:$FB,95)</f>
        <v>120</v>
      </c>
      <c r="L114" s="91">
        <f>VLOOKUP($A114,'Data Vlaue (Cr)'!$C:$FB,97)</f>
        <v>5</v>
      </c>
      <c r="M114" s="92">
        <f>VLOOKUP($A114,'Data Vlaue (Cr)'!$C:$FB,98)</f>
        <v>4.3900000000000002E-2</v>
      </c>
      <c r="N114" s="91">
        <f>VLOOKUP($A114,'Data Vlaue (Cr)'!$C:$FB,79)</f>
        <v>1706</v>
      </c>
      <c r="O114" s="92">
        <f>VLOOKUP($A114,'Data Vlaue (Cr)'!$C:$FB,82)</f>
        <v>5.0000000000000001E-4</v>
      </c>
    </row>
    <row r="115" spans="1:15" x14ac:dyDescent="0.25">
      <c r="A115" s="97" t="str">
        <f>'Data Vlaue (Cr)'!C110</f>
        <v>KAYNES</v>
      </c>
      <c r="B115" s="142">
        <f>VLOOKUP(A115,'Data Vlaue (Cr)'!C110:CW323,99,0)</f>
        <v>2389</v>
      </c>
      <c r="C115" s="90">
        <f>VLOOKUP(A115,'Data Vlaue (Cr)'!C110:CY323,101,0)</f>
        <v>194</v>
      </c>
      <c r="D115" s="139">
        <f>VLOOKUP(A115,'Data Vlaue (Cr)'!C110:CZ323,102,0)</f>
        <v>8.8300000000000003E-2</v>
      </c>
      <c r="E115" s="91">
        <f>VLOOKUP($A115,'Data Vlaue (Cr)'!$C:$FB,75)</f>
        <v>1158</v>
      </c>
      <c r="F115" s="91">
        <f>VLOOKUP($A115,'Data Vlaue (Cr)'!$C:$FB,77)</f>
        <v>44</v>
      </c>
      <c r="G115" s="92">
        <f>VLOOKUP(A115,'Data Vlaue (Cr)'!C110:CB323,78,0)</f>
        <v>3.9300000000000002E-2</v>
      </c>
      <c r="H115" s="91">
        <f>VLOOKUP($A115,'Data Vlaue (Cr)'!$C:$FB,91)</f>
        <v>811</v>
      </c>
      <c r="I115" s="91">
        <f>VLOOKUP($A115,'Data Vlaue (Cr)'!$C:$FB,93)</f>
        <v>113</v>
      </c>
      <c r="J115" s="92">
        <f>VLOOKUP($A115,'Data Vlaue (Cr)'!$C:$FB,94)</f>
        <v>0.16159999999999999</v>
      </c>
      <c r="K115" s="91">
        <f>VLOOKUP($A115,'Data Vlaue (Cr)'!$C:$FB,95)</f>
        <v>420</v>
      </c>
      <c r="L115" s="91">
        <f>VLOOKUP($A115,'Data Vlaue (Cr)'!$C:$FB,97)</f>
        <v>37</v>
      </c>
      <c r="M115" s="92">
        <f>VLOOKUP($A115,'Data Vlaue (Cr)'!$C:$FB,98)</f>
        <v>9.7199999999999995E-2</v>
      </c>
      <c r="N115" s="91">
        <f>VLOOKUP($A115,'Data Vlaue (Cr)'!$C:$FB,79)</f>
        <v>1070</v>
      </c>
      <c r="O115" s="92">
        <f>VLOOKUP($A115,'Data Vlaue (Cr)'!$C:$FB,82)</f>
        <v>3.6499999999999998E-2</v>
      </c>
    </row>
    <row r="116" spans="1:15" x14ac:dyDescent="0.25">
      <c r="A116" s="97" t="str">
        <f>'Data Vlaue (Cr)'!C111</f>
        <v>KEI</v>
      </c>
      <c r="B116" s="142">
        <f>VLOOKUP(A116,'Data Vlaue (Cr)'!C111:CW324,99,0)</f>
        <v>653</v>
      </c>
      <c r="C116" s="90">
        <f>VLOOKUP(A116,'Data Vlaue (Cr)'!C111:CY324,101,0)</f>
        <v>47</v>
      </c>
      <c r="D116" s="139">
        <f>VLOOKUP(A116,'Data Vlaue (Cr)'!C111:CZ324,102,0)</f>
        <v>7.7700000000000005E-2</v>
      </c>
      <c r="E116" s="91">
        <f>VLOOKUP($A116,'Data Vlaue (Cr)'!$C:$FB,75)</f>
        <v>420</v>
      </c>
      <c r="F116" s="91">
        <f>VLOOKUP($A116,'Data Vlaue (Cr)'!$C:$FB,77)</f>
        <v>-3</v>
      </c>
      <c r="G116" s="92">
        <f>VLOOKUP(A116,'Data Vlaue (Cr)'!C111:CB324,78,0)</f>
        <v>-8.0999999999999996E-3</v>
      </c>
      <c r="H116" s="91">
        <f>VLOOKUP($A116,'Data Vlaue (Cr)'!$C:$FB,91)</f>
        <v>138</v>
      </c>
      <c r="I116" s="91">
        <f>VLOOKUP($A116,'Data Vlaue (Cr)'!$C:$FB,93)</f>
        <v>17</v>
      </c>
      <c r="J116" s="92">
        <f>VLOOKUP($A116,'Data Vlaue (Cr)'!$C:$FB,94)</f>
        <v>0.14119999999999999</v>
      </c>
      <c r="K116" s="91">
        <f>VLOOKUP($A116,'Data Vlaue (Cr)'!$C:$FB,95)</f>
        <v>95</v>
      </c>
      <c r="L116" s="91">
        <f>VLOOKUP($A116,'Data Vlaue (Cr)'!$C:$FB,97)</f>
        <v>33</v>
      </c>
      <c r="M116" s="92">
        <f>VLOOKUP($A116,'Data Vlaue (Cr)'!$C:$FB,98)</f>
        <v>0.54039999999999999</v>
      </c>
      <c r="N116" s="91">
        <f>VLOOKUP($A116,'Data Vlaue (Cr)'!$C:$FB,79)</f>
        <v>417</v>
      </c>
      <c r="O116" s="92">
        <f>VLOOKUP($A116,'Data Vlaue (Cr)'!$C:$FB,82)</f>
        <v>-9.4000000000000004E-3</v>
      </c>
    </row>
    <row r="117" spans="1:15" x14ac:dyDescent="0.25">
      <c r="A117" s="97" t="str">
        <f>'Data Vlaue (Cr)'!C112</f>
        <v>KFINTECH</v>
      </c>
      <c r="B117" s="142">
        <f>VLOOKUP(A117,'Data Vlaue (Cr)'!C112:CW325,99,0)</f>
        <v>488</v>
      </c>
      <c r="C117" s="90">
        <f>VLOOKUP(A117,'Data Vlaue (Cr)'!C112:CY325,101,0)</f>
        <v>18</v>
      </c>
      <c r="D117" s="139">
        <f>VLOOKUP(A117,'Data Vlaue (Cr)'!C112:CZ325,102,0)</f>
        <v>3.7699999999999997E-2</v>
      </c>
      <c r="E117" s="91">
        <f>VLOOKUP($A117,'Data Vlaue (Cr)'!$C:$FB,75)</f>
        <v>334</v>
      </c>
      <c r="F117" s="91">
        <f>VLOOKUP($A117,'Data Vlaue (Cr)'!$C:$FB,77)</f>
        <v>8</v>
      </c>
      <c r="G117" s="92">
        <f>VLOOKUP(A117,'Data Vlaue (Cr)'!C112:CB325,78,0)</f>
        <v>2.58E-2</v>
      </c>
      <c r="H117" s="91">
        <f>VLOOKUP($A117,'Data Vlaue (Cr)'!$C:$FB,91)</f>
        <v>89</v>
      </c>
      <c r="I117" s="91">
        <f>VLOOKUP($A117,'Data Vlaue (Cr)'!$C:$FB,93)</f>
        <v>5</v>
      </c>
      <c r="J117" s="92">
        <f>VLOOKUP($A117,'Data Vlaue (Cr)'!$C:$FB,94)</f>
        <v>6.4799999999999996E-2</v>
      </c>
      <c r="K117" s="91">
        <f>VLOOKUP($A117,'Data Vlaue (Cr)'!$C:$FB,95)</f>
        <v>66</v>
      </c>
      <c r="L117" s="91">
        <f>VLOOKUP($A117,'Data Vlaue (Cr)'!$C:$FB,97)</f>
        <v>4</v>
      </c>
      <c r="M117" s="92">
        <f>VLOOKUP($A117,'Data Vlaue (Cr)'!$C:$FB,98)</f>
        <v>6.3700000000000007E-2</v>
      </c>
      <c r="N117" s="91">
        <f>VLOOKUP($A117,'Data Vlaue (Cr)'!$C:$FB,79)</f>
        <v>323</v>
      </c>
      <c r="O117" s="92">
        <f>VLOOKUP($A117,'Data Vlaue (Cr)'!$C:$FB,82)</f>
        <v>2.3400000000000001E-2</v>
      </c>
    </row>
    <row r="118" spans="1:15" x14ac:dyDescent="0.25">
      <c r="A118" s="97" t="str">
        <f>'Data Vlaue (Cr)'!C113</f>
        <v>KOTAKBANK</v>
      </c>
      <c r="B118" s="142">
        <f>VLOOKUP(A118,'Data Vlaue (Cr)'!C113:CW326,99,0)</f>
        <v>10444</v>
      </c>
      <c r="C118" s="90">
        <f>VLOOKUP(A118,'Data Vlaue (Cr)'!C113:CY326,101,0)</f>
        <v>249</v>
      </c>
      <c r="D118" s="139">
        <f>VLOOKUP(A118,'Data Vlaue (Cr)'!C113:CZ326,102,0)</f>
        <v>2.4400000000000002E-2</v>
      </c>
      <c r="E118" s="91">
        <f>VLOOKUP($A118,'Data Vlaue (Cr)'!$C:$FB,75)</f>
        <v>8566</v>
      </c>
      <c r="F118" s="91">
        <f>VLOOKUP($A118,'Data Vlaue (Cr)'!$C:$FB,77)</f>
        <v>-49</v>
      </c>
      <c r="G118" s="92">
        <f>VLOOKUP(A118,'Data Vlaue (Cr)'!C113:CB326,78,0)</f>
        <v>-5.7000000000000002E-3</v>
      </c>
      <c r="H118" s="91">
        <f>VLOOKUP($A118,'Data Vlaue (Cr)'!$C:$FB,91)</f>
        <v>1044</v>
      </c>
      <c r="I118" s="91">
        <f>VLOOKUP($A118,'Data Vlaue (Cr)'!$C:$FB,93)</f>
        <v>167</v>
      </c>
      <c r="J118" s="92">
        <f>VLOOKUP($A118,'Data Vlaue (Cr)'!$C:$FB,94)</f>
        <v>0.1905</v>
      </c>
      <c r="K118" s="91">
        <f>VLOOKUP($A118,'Data Vlaue (Cr)'!$C:$FB,95)</f>
        <v>833</v>
      </c>
      <c r="L118" s="91">
        <f>VLOOKUP($A118,'Data Vlaue (Cr)'!$C:$FB,97)</f>
        <v>131</v>
      </c>
      <c r="M118" s="92">
        <f>VLOOKUP($A118,'Data Vlaue (Cr)'!$C:$FB,98)</f>
        <v>0.1867</v>
      </c>
      <c r="N118" s="91">
        <f>VLOOKUP($A118,'Data Vlaue (Cr)'!$C:$FB,79)</f>
        <v>8500</v>
      </c>
      <c r="O118" s="92">
        <f>VLOOKUP($A118,'Data Vlaue (Cr)'!$C:$FB,82)</f>
        <v>-6.6E-3</v>
      </c>
    </row>
    <row r="119" spans="1:15" x14ac:dyDescent="0.25">
      <c r="A119" s="97" t="str">
        <f>'Data Vlaue (Cr)'!C114</f>
        <v>KPITTECH</v>
      </c>
      <c r="B119" s="142">
        <f>VLOOKUP(A119,'Data Vlaue (Cr)'!C114:CW327,99,0)</f>
        <v>619</v>
      </c>
      <c r="C119" s="90">
        <f>VLOOKUP(A119,'Data Vlaue (Cr)'!C114:CY327,101,0)</f>
        <v>38</v>
      </c>
      <c r="D119" s="139">
        <f>VLOOKUP(A119,'Data Vlaue (Cr)'!C114:CZ327,102,0)</f>
        <v>6.4799999999999996E-2</v>
      </c>
      <c r="E119" s="91">
        <f>VLOOKUP($A119,'Data Vlaue (Cr)'!$C:$FB,75)</f>
        <v>408</v>
      </c>
      <c r="F119" s="91">
        <f>VLOOKUP($A119,'Data Vlaue (Cr)'!$C:$FB,77)</f>
        <v>11</v>
      </c>
      <c r="G119" s="92">
        <f>VLOOKUP(A119,'Data Vlaue (Cr)'!C114:CB327,78,0)</f>
        <v>2.9000000000000001E-2</v>
      </c>
      <c r="H119" s="91">
        <f>VLOOKUP($A119,'Data Vlaue (Cr)'!$C:$FB,91)</f>
        <v>113</v>
      </c>
      <c r="I119" s="91">
        <f>VLOOKUP($A119,'Data Vlaue (Cr)'!$C:$FB,93)</f>
        <v>20</v>
      </c>
      <c r="J119" s="92">
        <f>VLOOKUP($A119,'Data Vlaue (Cr)'!$C:$FB,94)</f>
        <v>0.2185</v>
      </c>
      <c r="K119" s="91">
        <f>VLOOKUP($A119,'Data Vlaue (Cr)'!$C:$FB,95)</f>
        <v>99</v>
      </c>
      <c r="L119" s="91">
        <f>VLOOKUP($A119,'Data Vlaue (Cr)'!$C:$FB,97)</f>
        <v>6</v>
      </c>
      <c r="M119" s="92">
        <f>VLOOKUP($A119,'Data Vlaue (Cr)'!$C:$FB,98)</f>
        <v>6.4600000000000005E-2</v>
      </c>
      <c r="N119" s="91">
        <f>VLOOKUP($A119,'Data Vlaue (Cr)'!$C:$FB,79)</f>
        <v>391</v>
      </c>
      <c r="O119" s="92">
        <f>VLOOKUP($A119,'Data Vlaue (Cr)'!$C:$FB,82)</f>
        <v>2.1100000000000001E-2</v>
      </c>
    </row>
    <row r="120" spans="1:15" x14ac:dyDescent="0.25">
      <c r="A120" s="97" t="str">
        <f>'Data Vlaue (Cr)'!C115</f>
        <v>LAURUSLABS</v>
      </c>
      <c r="B120" s="142">
        <f>VLOOKUP(A120,'Data Vlaue (Cr)'!C115:CW328,99,0)</f>
        <v>2709</v>
      </c>
      <c r="C120" s="90">
        <f>VLOOKUP(A120,'Data Vlaue (Cr)'!C115:CY328,101,0)</f>
        <v>82</v>
      </c>
      <c r="D120" s="139">
        <f>VLOOKUP(A120,'Data Vlaue (Cr)'!C115:CZ328,102,0)</f>
        <v>3.1199999999999999E-2</v>
      </c>
      <c r="E120" s="91">
        <f>VLOOKUP($A120,'Data Vlaue (Cr)'!$C:$FB,75)</f>
        <v>1826</v>
      </c>
      <c r="F120" s="91">
        <f>VLOOKUP($A120,'Data Vlaue (Cr)'!$C:$FB,77)</f>
        <v>23</v>
      </c>
      <c r="G120" s="92">
        <f>VLOOKUP(A120,'Data Vlaue (Cr)'!C115:CB328,78,0)</f>
        <v>1.2699999999999999E-2</v>
      </c>
      <c r="H120" s="91">
        <f>VLOOKUP($A120,'Data Vlaue (Cr)'!$C:$FB,91)</f>
        <v>504</v>
      </c>
      <c r="I120" s="91">
        <f>VLOOKUP($A120,'Data Vlaue (Cr)'!$C:$FB,93)</f>
        <v>35</v>
      </c>
      <c r="J120" s="92">
        <f>VLOOKUP($A120,'Data Vlaue (Cr)'!$C:$FB,94)</f>
        <v>7.4899999999999994E-2</v>
      </c>
      <c r="K120" s="91">
        <f>VLOOKUP($A120,'Data Vlaue (Cr)'!$C:$FB,95)</f>
        <v>379</v>
      </c>
      <c r="L120" s="91">
        <f>VLOOKUP($A120,'Data Vlaue (Cr)'!$C:$FB,97)</f>
        <v>24</v>
      </c>
      <c r="M120" s="92">
        <f>VLOOKUP($A120,'Data Vlaue (Cr)'!$C:$FB,98)</f>
        <v>6.7100000000000007E-2</v>
      </c>
      <c r="N120" s="91">
        <f>VLOOKUP($A120,'Data Vlaue (Cr)'!$C:$FB,79)</f>
        <v>1751</v>
      </c>
      <c r="O120" s="92">
        <f>VLOOKUP($A120,'Data Vlaue (Cr)'!$C:$FB,82)</f>
        <v>7.6E-3</v>
      </c>
    </row>
    <row r="121" spans="1:15" x14ac:dyDescent="0.25">
      <c r="A121" s="97" t="str">
        <f>'Data Vlaue (Cr)'!C116</f>
        <v>LICHSGFIN</v>
      </c>
      <c r="B121" s="142">
        <f>VLOOKUP(A121,'Data Vlaue (Cr)'!C116:CW329,99,0)</f>
        <v>2502</v>
      </c>
      <c r="C121" s="90">
        <f>VLOOKUP(A121,'Data Vlaue (Cr)'!C116:CY329,101,0)</f>
        <v>41</v>
      </c>
      <c r="D121" s="139">
        <f>VLOOKUP(A121,'Data Vlaue (Cr)'!C116:CZ329,102,0)</f>
        <v>1.6799999999999999E-2</v>
      </c>
      <c r="E121" s="91">
        <f>VLOOKUP($A121,'Data Vlaue (Cr)'!$C:$FB,75)</f>
        <v>1796</v>
      </c>
      <c r="F121" s="91">
        <f>VLOOKUP($A121,'Data Vlaue (Cr)'!$C:$FB,77)</f>
        <v>13</v>
      </c>
      <c r="G121" s="92">
        <f>VLOOKUP(A121,'Data Vlaue (Cr)'!C116:CB329,78,0)</f>
        <v>7.4999999999999997E-3</v>
      </c>
      <c r="H121" s="91">
        <f>VLOOKUP($A121,'Data Vlaue (Cr)'!$C:$FB,91)</f>
        <v>331</v>
      </c>
      <c r="I121" s="91">
        <f>VLOOKUP($A121,'Data Vlaue (Cr)'!$C:$FB,93)</f>
        <v>18</v>
      </c>
      <c r="J121" s="92">
        <f>VLOOKUP($A121,'Data Vlaue (Cr)'!$C:$FB,94)</f>
        <v>5.8099999999999999E-2</v>
      </c>
      <c r="K121" s="91">
        <f>VLOOKUP($A121,'Data Vlaue (Cr)'!$C:$FB,95)</f>
        <v>375</v>
      </c>
      <c r="L121" s="91">
        <f>VLOOKUP($A121,'Data Vlaue (Cr)'!$C:$FB,97)</f>
        <v>10</v>
      </c>
      <c r="M121" s="92">
        <f>VLOOKUP($A121,'Data Vlaue (Cr)'!$C:$FB,98)</f>
        <v>2.6599999999999999E-2</v>
      </c>
      <c r="N121" s="91">
        <f>VLOOKUP($A121,'Data Vlaue (Cr)'!$C:$FB,79)</f>
        <v>1755</v>
      </c>
      <c r="O121" s="92">
        <f>VLOOKUP($A121,'Data Vlaue (Cr)'!$C:$FB,82)</f>
        <v>4.8999999999999998E-3</v>
      </c>
    </row>
    <row r="122" spans="1:15" x14ac:dyDescent="0.25">
      <c r="A122" s="97" t="str">
        <f>'Data Vlaue (Cr)'!C117</f>
        <v>LICI</v>
      </c>
      <c r="B122" s="142">
        <f>VLOOKUP(A122,'Data Vlaue (Cr)'!C117:CW330,99,0)</f>
        <v>1453</v>
      </c>
      <c r="C122" s="90">
        <f>VLOOKUP(A122,'Data Vlaue (Cr)'!C117:CY330,101,0)</f>
        <v>20</v>
      </c>
      <c r="D122" s="139">
        <f>VLOOKUP(A122,'Data Vlaue (Cr)'!C117:CZ330,102,0)</f>
        <v>1.41E-2</v>
      </c>
      <c r="E122" s="91">
        <f>VLOOKUP($A122,'Data Vlaue (Cr)'!$C:$FB,75)</f>
        <v>908</v>
      </c>
      <c r="F122" s="91">
        <f>VLOOKUP($A122,'Data Vlaue (Cr)'!$C:$FB,77)</f>
        <v>5</v>
      </c>
      <c r="G122" s="92">
        <f>VLOOKUP(A122,'Data Vlaue (Cr)'!C117:CB330,78,0)</f>
        <v>5.1000000000000004E-3</v>
      </c>
      <c r="H122" s="91">
        <f>VLOOKUP($A122,'Data Vlaue (Cr)'!$C:$FB,91)</f>
        <v>314</v>
      </c>
      <c r="I122" s="91">
        <f>VLOOKUP($A122,'Data Vlaue (Cr)'!$C:$FB,93)</f>
        <v>12</v>
      </c>
      <c r="J122" s="92">
        <f>VLOOKUP($A122,'Data Vlaue (Cr)'!$C:$FB,94)</f>
        <v>3.8600000000000002E-2</v>
      </c>
      <c r="K122" s="91">
        <f>VLOOKUP($A122,'Data Vlaue (Cr)'!$C:$FB,95)</f>
        <v>231</v>
      </c>
      <c r="L122" s="91">
        <f>VLOOKUP($A122,'Data Vlaue (Cr)'!$C:$FB,97)</f>
        <v>4</v>
      </c>
      <c r="M122" s="92">
        <f>VLOOKUP($A122,'Data Vlaue (Cr)'!$C:$FB,98)</f>
        <v>1.72E-2</v>
      </c>
      <c r="N122" s="91">
        <f>VLOOKUP($A122,'Data Vlaue (Cr)'!$C:$FB,79)</f>
        <v>846</v>
      </c>
      <c r="O122" s="92">
        <f>VLOOKUP($A122,'Data Vlaue (Cr)'!$C:$FB,82)</f>
        <v>3.5999999999999999E-3</v>
      </c>
    </row>
    <row r="123" spans="1:15" x14ac:dyDescent="0.25">
      <c r="A123" s="97" t="str">
        <f>'Data Vlaue (Cr)'!C118</f>
        <v>LODHA</v>
      </c>
      <c r="B123" s="142">
        <f>VLOOKUP(A123,'Data Vlaue (Cr)'!C118:CW331,99,0)</f>
        <v>1634</v>
      </c>
      <c r="C123" s="90">
        <f>VLOOKUP(A123,'Data Vlaue (Cr)'!C118:CY331,101,0)</f>
        <v>18</v>
      </c>
      <c r="D123" s="139">
        <f>VLOOKUP(A123,'Data Vlaue (Cr)'!C118:CZ331,102,0)</f>
        <v>1.14E-2</v>
      </c>
      <c r="E123" s="91">
        <f>VLOOKUP($A123,'Data Vlaue (Cr)'!$C:$FB,75)</f>
        <v>1372</v>
      </c>
      <c r="F123" s="91">
        <f>VLOOKUP($A123,'Data Vlaue (Cr)'!$C:$FB,77)</f>
        <v>0</v>
      </c>
      <c r="G123" s="92">
        <f>VLOOKUP(A123,'Data Vlaue (Cr)'!C118:CB331,78,0)</f>
        <v>0</v>
      </c>
      <c r="H123" s="91">
        <f>VLOOKUP($A123,'Data Vlaue (Cr)'!$C:$FB,91)</f>
        <v>129</v>
      </c>
      <c r="I123" s="91">
        <f>VLOOKUP($A123,'Data Vlaue (Cr)'!$C:$FB,93)</f>
        <v>12</v>
      </c>
      <c r="J123" s="92">
        <f>VLOOKUP($A123,'Data Vlaue (Cr)'!$C:$FB,94)</f>
        <v>9.8900000000000002E-2</v>
      </c>
      <c r="K123" s="91">
        <f>VLOOKUP($A123,'Data Vlaue (Cr)'!$C:$FB,95)</f>
        <v>132</v>
      </c>
      <c r="L123" s="91">
        <f>VLOOKUP($A123,'Data Vlaue (Cr)'!$C:$FB,97)</f>
        <v>7</v>
      </c>
      <c r="M123" s="92">
        <f>VLOOKUP($A123,'Data Vlaue (Cr)'!$C:$FB,98)</f>
        <v>5.33E-2</v>
      </c>
      <c r="N123" s="91">
        <f>VLOOKUP($A123,'Data Vlaue (Cr)'!$C:$FB,79)</f>
        <v>1350</v>
      </c>
      <c r="O123" s="92">
        <f>VLOOKUP($A123,'Data Vlaue (Cr)'!$C:$FB,82)</f>
        <v>-8.0000000000000004E-4</v>
      </c>
    </row>
    <row r="124" spans="1:15" x14ac:dyDescent="0.25">
      <c r="A124" s="97" t="str">
        <f>'Data Vlaue (Cr)'!C119</f>
        <v>LT</v>
      </c>
      <c r="B124" s="142">
        <f>VLOOKUP(A124,'Data Vlaue (Cr)'!C119:CW332,99,0)</f>
        <v>7636</v>
      </c>
      <c r="C124" s="90">
        <f>VLOOKUP(A124,'Data Vlaue (Cr)'!C119:CY332,101,0)</f>
        <v>379</v>
      </c>
      <c r="D124" s="139">
        <f>VLOOKUP(A124,'Data Vlaue (Cr)'!C119:CZ332,102,0)</f>
        <v>5.2299999999999999E-2</v>
      </c>
      <c r="E124" s="91">
        <f>VLOOKUP($A124,'Data Vlaue (Cr)'!$C:$FB,75)</f>
        <v>5679</v>
      </c>
      <c r="F124" s="91">
        <f>VLOOKUP($A124,'Data Vlaue (Cr)'!$C:$FB,77)</f>
        <v>-82</v>
      </c>
      <c r="G124" s="92">
        <f>VLOOKUP(A124,'Data Vlaue (Cr)'!C119:CB332,78,0)</f>
        <v>-1.43E-2</v>
      </c>
      <c r="H124" s="91">
        <f>VLOOKUP($A124,'Data Vlaue (Cr)'!$C:$FB,91)</f>
        <v>1145</v>
      </c>
      <c r="I124" s="91">
        <f>VLOOKUP($A124,'Data Vlaue (Cr)'!$C:$FB,93)</f>
        <v>282</v>
      </c>
      <c r="J124" s="92">
        <f>VLOOKUP($A124,'Data Vlaue (Cr)'!$C:$FB,94)</f>
        <v>0.32669999999999999</v>
      </c>
      <c r="K124" s="91">
        <f>VLOOKUP($A124,'Data Vlaue (Cr)'!$C:$FB,95)</f>
        <v>812</v>
      </c>
      <c r="L124" s="91">
        <f>VLOOKUP($A124,'Data Vlaue (Cr)'!$C:$FB,97)</f>
        <v>180</v>
      </c>
      <c r="M124" s="92">
        <f>VLOOKUP($A124,'Data Vlaue (Cr)'!$C:$FB,98)</f>
        <v>0.28460000000000002</v>
      </c>
      <c r="N124" s="91">
        <f>VLOOKUP($A124,'Data Vlaue (Cr)'!$C:$FB,79)</f>
        <v>5581</v>
      </c>
      <c r="O124" s="92">
        <f>VLOOKUP($A124,'Data Vlaue (Cr)'!$C:$FB,82)</f>
        <v>-1.61E-2</v>
      </c>
    </row>
    <row r="125" spans="1:15" x14ac:dyDescent="0.25">
      <c r="A125" s="97" t="str">
        <f>'Data Vlaue (Cr)'!C120</f>
        <v>LTF</v>
      </c>
      <c r="B125" s="142">
        <f>VLOOKUP(A125,'Data Vlaue (Cr)'!C120:CW333,99,0)</f>
        <v>2351</v>
      </c>
      <c r="C125" s="90">
        <f>VLOOKUP(A125,'Data Vlaue (Cr)'!C120:CY333,101,0)</f>
        <v>28</v>
      </c>
      <c r="D125" s="139">
        <f>VLOOKUP(A125,'Data Vlaue (Cr)'!C120:CZ333,102,0)</f>
        <v>1.2200000000000001E-2</v>
      </c>
      <c r="E125" s="91">
        <f>VLOOKUP($A125,'Data Vlaue (Cr)'!$C:$FB,75)</f>
        <v>1333</v>
      </c>
      <c r="F125" s="91">
        <f>VLOOKUP($A125,'Data Vlaue (Cr)'!$C:$FB,77)</f>
        <v>-35</v>
      </c>
      <c r="G125" s="92">
        <f>VLOOKUP(A125,'Data Vlaue (Cr)'!C120:CB333,78,0)</f>
        <v>-2.5600000000000001E-2</v>
      </c>
      <c r="H125" s="91">
        <f>VLOOKUP($A125,'Data Vlaue (Cr)'!$C:$FB,91)</f>
        <v>587</v>
      </c>
      <c r="I125" s="91">
        <f>VLOOKUP($A125,'Data Vlaue (Cr)'!$C:$FB,93)</f>
        <v>23</v>
      </c>
      <c r="J125" s="92">
        <f>VLOOKUP($A125,'Data Vlaue (Cr)'!$C:$FB,94)</f>
        <v>4.0300000000000002E-2</v>
      </c>
      <c r="K125" s="91">
        <f>VLOOKUP($A125,'Data Vlaue (Cr)'!$C:$FB,95)</f>
        <v>431</v>
      </c>
      <c r="L125" s="91">
        <f>VLOOKUP($A125,'Data Vlaue (Cr)'!$C:$FB,97)</f>
        <v>41</v>
      </c>
      <c r="M125" s="92">
        <f>VLOOKUP($A125,'Data Vlaue (Cr)'!$C:$FB,98)</f>
        <v>0.1041</v>
      </c>
      <c r="N125" s="91">
        <f>VLOOKUP($A125,'Data Vlaue (Cr)'!$C:$FB,79)</f>
        <v>1303</v>
      </c>
      <c r="O125" s="92">
        <f>VLOOKUP($A125,'Data Vlaue (Cr)'!$C:$FB,82)</f>
        <v>-2.7799999999999998E-2</v>
      </c>
    </row>
    <row r="126" spans="1:15" x14ac:dyDescent="0.25">
      <c r="A126" s="97" t="str">
        <f>'Data Vlaue (Cr)'!C121</f>
        <v>LTIM</v>
      </c>
      <c r="B126" s="142">
        <f>VLOOKUP(A126,'Data Vlaue (Cr)'!C121:CW334,99,0)</f>
        <v>1819</v>
      </c>
      <c r="C126" s="90">
        <f>VLOOKUP(A126,'Data Vlaue (Cr)'!C121:CY334,101,0)</f>
        <v>77</v>
      </c>
      <c r="D126" s="139">
        <f>VLOOKUP(A126,'Data Vlaue (Cr)'!C121:CZ334,102,0)</f>
        <v>4.4200000000000003E-2</v>
      </c>
      <c r="E126" s="91">
        <f>VLOOKUP($A126,'Data Vlaue (Cr)'!$C:$FB,75)</f>
        <v>1281</v>
      </c>
      <c r="F126" s="91">
        <f>VLOOKUP($A126,'Data Vlaue (Cr)'!$C:$FB,77)</f>
        <v>1</v>
      </c>
      <c r="G126" s="92">
        <f>VLOOKUP(A126,'Data Vlaue (Cr)'!C121:CB334,78,0)</f>
        <v>8.9999999999999998E-4</v>
      </c>
      <c r="H126" s="91">
        <f>VLOOKUP($A126,'Data Vlaue (Cr)'!$C:$FB,91)</f>
        <v>287</v>
      </c>
      <c r="I126" s="91">
        <f>VLOOKUP($A126,'Data Vlaue (Cr)'!$C:$FB,93)</f>
        <v>60</v>
      </c>
      <c r="J126" s="92">
        <f>VLOOKUP($A126,'Data Vlaue (Cr)'!$C:$FB,94)</f>
        <v>0.26219999999999999</v>
      </c>
      <c r="K126" s="91">
        <f>VLOOKUP($A126,'Data Vlaue (Cr)'!$C:$FB,95)</f>
        <v>250</v>
      </c>
      <c r="L126" s="91">
        <f>VLOOKUP($A126,'Data Vlaue (Cr)'!$C:$FB,97)</f>
        <v>16</v>
      </c>
      <c r="M126" s="92">
        <f>VLOOKUP($A126,'Data Vlaue (Cr)'!$C:$FB,98)</f>
        <v>6.9199999999999998E-2</v>
      </c>
      <c r="N126" s="91">
        <f>VLOOKUP($A126,'Data Vlaue (Cr)'!$C:$FB,79)</f>
        <v>1268</v>
      </c>
      <c r="O126" s="92">
        <f>VLOOKUP($A126,'Data Vlaue (Cr)'!$C:$FB,82)</f>
        <v>-1.6999999999999999E-3</v>
      </c>
    </row>
    <row r="127" spans="1:15" x14ac:dyDescent="0.25">
      <c r="A127" s="97" t="str">
        <f>'Data Vlaue (Cr)'!C122</f>
        <v>LUPIN</v>
      </c>
      <c r="B127" s="142">
        <f>VLOOKUP(A127,'Data Vlaue (Cr)'!C122:CW335,99,0)</f>
        <v>1906</v>
      </c>
      <c r="C127" s="90">
        <f>VLOOKUP(A127,'Data Vlaue (Cr)'!C122:CY335,101,0)</f>
        <v>26</v>
      </c>
      <c r="D127" s="139">
        <f>VLOOKUP(A127,'Data Vlaue (Cr)'!C122:CZ335,102,0)</f>
        <v>1.41E-2</v>
      </c>
      <c r="E127" s="91">
        <f>VLOOKUP($A127,'Data Vlaue (Cr)'!$C:$FB,75)</f>
        <v>1448</v>
      </c>
      <c r="F127" s="91">
        <f>VLOOKUP($A127,'Data Vlaue (Cr)'!$C:$FB,77)</f>
        <v>-19</v>
      </c>
      <c r="G127" s="92">
        <f>VLOOKUP(A127,'Data Vlaue (Cr)'!C122:CB335,78,0)</f>
        <v>-1.2999999999999999E-2</v>
      </c>
      <c r="H127" s="91">
        <f>VLOOKUP($A127,'Data Vlaue (Cr)'!$C:$FB,91)</f>
        <v>246</v>
      </c>
      <c r="I127" s="91">
        <f>VLOOKUP($A127,'Data Vlaue (Cr)'!$C:$FB,93)</f>
        <v>29</v>
      </c>
      <c r="J127" s="92">
        <f>VLOOKUP($A127,'Data Vlaue (Cr)'!$C:$FB,94)</f>
        <v>0.1331</v>
      </c>
      <c r="K127" s="91">
        <f>VLOOKUP($A127,'Data Vlaue (Cr)'!$C:$FB,95)</f>
        <v>212</v>
      </c>
      <c r="L127" s="91">
        <f>VLOOKUP($A127,'Data Vlaue (Cr)'!$C:$FB,97)</f>
        <v>17</v>
      </c>
      <c r="M127" s="92">
        <f>VLOOKUP($A127,'Data Vlaue (Cr)'!$C:$FB,98)</f>
        <v>8.5000000000000006E-2</v>
      </c>
      <c r="N127" s="91">
        <f>VLOOKUP($A127,'Data Vlaue (Cr)'!$C:$FB,79)</f>
        <v>1432</v>
      </c>
      <c r="O127" s="92">
        <f>VLOOKUP($A127,'Data Vlaue (Cr)'!$C:$FB,82)</f>
        <v>-1.34E-2</v>
      </c>
    </row>
    <row r="128" spans="1:15" x14ac:dyDescent="0.25">
      <c r="A128" s="97" t="str">
        <f>'Data Vlaue (Cr)'!C123</f>
        <v>M&amp;M</v>
      </c>
      <c r="B128" s="142">
        <f>VLOOKUP(A128,'Data Vlaue (Cr)'!C123:CW336,99,0)</f>
        <v>8536</v>
      </c>
      <c r="C128" s="90">
        <f>VLOOKUP(A128,'Data Vlaue (Cr)'!C123:CY336,101,0)</f>
        <v>247</v>
      </c>
      <c r="D128" s="139">
        <f>VLOOKUP(A128,'Data Vlaue (Cr)'!C123:CZ336,102,0)</f>
        <v>2.98E-2</v>
      </c>
      <c r="E128" s="91">
        <f>VLOOKUP($A128,'Data Vlaue (Cr)'!$C:$FB,75)</f>
        <v>6890</v>
      </c>
      <c r="F128" s="91">
        <f>VLOOKUP($A128,'Data Vlaue (Cr)'!$C:$FB,77)</f>
        <v>-2</v>
      </c>
      <c r="G128" s="92">
        <f>VLOOKUP(A128,'Data Vlaue (Cr)'!C123:CB336,78,0)</f>
        <v>-2.9999999999999997E-4</v>
      </c>
      <c r="H128" s="91">
        <f>VLOOKUP($A128,'Data Vlaue (Cr)'!$C:$FB,91)</f>
        <v>958</v>
      </c>
      <c r="I128" s="91">
        <f>VLOOKUP($A128,'Data Vlaue (Cr)'!$C:$FB,93)</f>
        <v>177</v>
      </c>
      <c r="J128" s="92">
        <f>VLOOKUP($A128,'Data Vlaue (Cr)'!$C:$FB,94)</f>
        <v>0.22700000000000001</v>
      </c>
      <c r="K128" s="91">
        <f>VLOOKUP($A128,'Data Vlaue (Cr)'!$C:$FB,95)</f>
        <v>687</v>
      </c>
      <c r="L128" s="91">
        <f>VLOOKUP($A128,'Data Vlaue (Cr)'!$C:$FB,97)</f>
        <v>72</v>
      </c>
      <c r="M128" s="92">
        <f>VLOOKUP($A128,'Data Vlaue (Cr)'!$C:$FB,98)</f>
        <v>0.1168</v>
      </c>
      <c r="N128" s="91">
        <f>VLOOKUP($A128,'Data Vlaue (Cr)'!$C:$FB,79)</f>
        <v>6806</v>
      </c>
      <c r="O128" s="92">
        <f>VLOOKUP($A128,'Data Vlaue (Cr)'!$C:$FB,82)</f>
        <v>-1.4E-3</v>
      </c>
    </row>
    <row r="129" spans="1:15" x14ac:dyDescent="0.25">
      <c r="A129" s="97" t="str">
        <f>'Data Vlaue (Cr)'!C124</f>
        <v>MANAPPURAM</v>
      </c>
      <c r="B129" s="142">
        <f>VLOOKUP(A129,'Data Vlaue (Cr)'!C124:CW337,99,0)</f>
        <v>1797</v>
      </c>
      <c r="C129" s="90">
        <f>VLOOKUP(A129,'Data Vlaue (Cr)'!C124:CY337,101,0)</f>
        <v>16</v>
      </c>
      <c r="D129" s="139">
        <f>VLOOKUP(A129,'Data Vlaue (Cr)'!C124:CZ337,102,0)</f>
        <v>8.8999999999999999E-3</v>
      </c>
      <c r="E129" s="91">
        <f>VLOOKUP($A129,'Data Vlaue (Cr)'!$C:$FB,75)</f>
        <v>1230</v>
      </c>
      <c r="F129" s="91">
        <f>VLOOKUP($A129,'Data Vlaue (Cr)'!$C:$FB,77)</f>
        <v>-15</v>
      </c>
      <c r="G129" s="92">
        <f>VLOOKUP(A129,'Data Vlaue (Cr)'!C124:CB337,78,0)</f>
        <v>-1.21E-2</v>
      </c>
      <c r="H129" s="91">
        <f>VLOOKUP($A129,'Data Vlaue (Cr)'!$C:$FB,91)</f>
        <v>342</v>
      </c>
      <c r="I129" s="91">
        <f>VLOOKUP($A129,'Data Vlaue (Cr)'!$C:$FB,93)</f>
        <v>1</v>
      </c>
      <c r="J129" s="92">
        <f>VLOOKUP($A129,'Data Vlaue (Cr)'!$C:$FB,94)</f>
        <v>3.3E-3</v>
      </c>
      <c r="K129" s="91">
        <f>VLOOKUP($A129,'Data Vlaue (Cr)'!$C:$FB,95)</f>
        <v>224</v>
      </c>
      <c r="L129" s="91">
        <f>VLOOKUP($A129,'Data Vlaue (Cr)'!$C:$FB,97)</f>
        <v>30</v>
      </c>
      <c r="M129" s="92">
        <f>VLOOKUP($A129,'Data Vlaue (Cr)'!$C:$FB,98)</f>
        <v>0.15340000000000001</v>
      </c>
      <c r="N129" s="91">
        <f>VLOOKUP($A129,'Data Vlaue (Cr)'!$C:$FB,79)</f>
        <v>1216</v>
      </c>
      <c r="O129" s="92">
        <f>VLOOKUP($A129,'Data Vlaue (Cr)'!$C:$FB,82)</f>
        <v>-1.2999999999999999E-2</v>
      </c>
    </row>
    <row r="130" spans="1:15" x14ac:dyDescent="0.25">
      <c r="A130" s="97" t="str">
        <f>'Data Vlaue (Cr)'!C125</f>
        <v>MANKIND</v>
      </c>
      <c r="B130" s="142">
        <f>VLOOKUP(A130,'Data Vlaue (Cr)'!C125:CW338,99,0)</f>
        <v>605</v>
      </c>
      <c r="C130" s="90">
        <f>VLOOKUP(A130,'Data Vlaue (Cr)'!C125:CY338,101,0)</f>
        <v>20</v>
      </c>
      <c r="D130" s="139">
        <f>VLOOKUP(A130,'Data Vlaue (Cr)'!C125:CZ338,102,0)</f>
        <v>3.4200000000000001E-2</v>
      </c>
      <c r="E130" s="91">
        <f>VLOOKUP($A130,'Data Vlaue (Cr)'!$C:$FB,75)</f>
        <v>475</v>
      </c>
      <c r="F130" s="91">
        <f>VLOOKUP($A130,'Data Vlaue (Cr)'!$C:$FB,77)</f>
        <v>10</v>
      </c>
      <c r="G130" s="92">
        <f>VLOOKUP(A130,'Data Vlaue (Cr)'!C125:CB338,78,0)</f>
        <v>2.12E-2</v>
      </c>
      <c r="H130" s="91">
        <f>VLOOKUP($A130,'Data Vlaue (Cr)'!$C:$FB,91)</f>
        <v>71</v>
      </c>
      <c r="I130" s="91">
        <f>VLOOKUP($A130,'Data Vlaue (Cr)'!$C:$FB,93)</f>
        <v>8</v>
      </c>
      <c r="J130" s="92">
        <f>VLOOKUP($A130,'Data Vlaue (Cr)'!$C:$FB,94)</f>
        <v>0.1326</v>
      </c>
      <c r="K130" s="91">
        <f>VLOOKUP($A130,'Data Vlaue (Cr)'!$C:$FB,95)</f>
        <v>58</v>
      </c>
      <c r="L130" s="91">
        <f>VLOOKUP($A130,'Data Vlaue (Cr)'!$C:$FB,97)</f>
        <v>2</v>
      </c>
      <c r="M130" s="92">
        <f>VLOOKUP($A130,'Data Vlaue (Cr)'!$C:$FB,98)</f>
        <v>3.1199999999999999E-2</v>
      </c>
      <c r="N130" s="91">
        <f>VLOOKUP($A130,'Data Vlaue (Cr)'!$C:$FB,79)</f>
        <v>464</v>
      </c>
      <c r="O130" s="92">
        <f>VLOOKUP($A130,'Data Vlaue (Cr)'!$C:$FB,82)</f>
        <v>1.89E-2</v>
      </c>
    </row>
    <row r="131" spans="1:15" x14ac:dyDescent="0.25">
      <c r="A131" s="97" t="str">
        <f>'Data Vlaue (Cr)'!C126</f>
        <v>MARICO</v>
      </c>
      <c r="B131" s="142">
        <f>VLOOKUP(A131,'Data Vlaue (Cr)'!C126:CW339,99,0)</f>
        <v>2934</v>
      </c>
      <c r="C131" s="90">
        <f>VLOOKUP(A131,'Data Vlaue (Cr)'!C126:CY339,101,0)</f>
        <v>120</v>
      </c>
      <c r="D131" s="139">
        <f>VLOOKUP(A131,'Data Vlaue (Cr)'!C126:CZ339,102,0)</f>
        <v>4.2700000000000002E-2</v>
      </c>
      <c r="E131" s="91">
        <f>VLOOKUP($A131,'Data Vlaue (Cr)'!$C:$FB,75)</f>
        <v>2534</v>
      </c>
      <c r="F131" s="91">
        <f>VLOOKUP($A131,'Data Vlaue (Cr)'!$C:$FB,77)</f>
        <v>21</v>
      </c>
      <c r="G131" s="92">
        <f>VLOOKUP(A131,'Data Vlaue (Cr)'!C126:CB339,78,0)</f>
        <v>8.5000000000000006E-3</v>
      </c>
      <c r="H131" s="91">
        <f>VLOOKUP($A131,'Data Vlaue (Cr)'!$C:$FB,91)</f>
        <v>237</v>
      </c>
      <c r="I131" s="91">
        <f>VLOOKUP($A131,'Data Vlaue (Cr)'!$C:$FB,93)</f>
        <v>46</v>
      </c>
      <c r="J131" s="92">
        <f>VLOOKUP($A131,'Data Vlaue (Cr)'!$C:$FB,94)</f>
        <v>0.2392</v>
      </c>
      <c r="K131" s="91">
        <f>VLOOKUP($A131,'Data Vlaue (Cr)'!$C:$FB,95)</f>
        <v>164</v>
      </c>
      <c r="L131" s="91">
        <f>VLOOKUP($A131,'Data Vlaue (Cr)'!$C:$FB,97)</f>
        <v>53</v>
      </c>
      <c r="M131" s="92">
        <f>VLOOKUP($A131,'Data Vlaue (Cr)'!$C:$FB,98)</f>
        <v>0.47970000000000002</v>
      </c>
      <c r="N131" s="91">
        <f>VLOOKUP($A131,'Data Vlaue (Cr)'!$C:$FB,79)</f>
        <v>2529</v>
      </c>
      <c r="O131" s="92">
        <f>VLOOKUP($A131,'Data Vlaue (Cr)'!$C:$FB,82)</f>
        <v>8.6E-3</v>
      </c>
    </row>
    <row r="132" spans="1:15" x14ac:dyDescent="0.25">
      <c r="A132" s="97" t="str">
        <f>'Data Vlaue (Cr)'!C127</f>
        <v>MARUTI</v>
      </c>
      <c r="B132" s="142">
        <f>VLOOKUP(A132,'Data Vlaue (Cr)'!C127:CW340,99,0)</f>
        <v>7427</v>
      </c>
      <c r="C132" s="90">
        <f>VLOOKUP(A132,'Data Vlaue (Cr)'!C127:CY340,101,0)</f>
        <v>355</v>
      </c>
      <c r="D132" s="139">
        <f>VLOOKUP(A132,'Data Vlaue (Cr)'!C127:CZ340,102,0)</f>
        <v>5.0099999999999999E-2</v>
      </c>
      <c r="E132" s="91">
        <f>VLOOKUP($A132,'Data Vlaue (Cr)'!$C:$FB,75)</f>
        <v>4927</v>
      </c>
      <c r="F132" s="91">
        <f>VLOOKUP($A132,'Data Vlaue (Cr)'!$C:$FB,77)</f>
        <v>-26</v>
      </c>
      <c r="G132" s="92">
        <f>VLOOKUP(A132,'Data Vlaue (Cr)'!C127:CB340,78,0)</f>
        <v>-5.3E-3</v>
      </c>
      <c r="H132" s="91">
        <f>VLOOKUP($A132,'Data Vlaue (Cr)'!$C:$FB,91)</f>
        <v>1308</v>
      </c>
      <c r="I132" s="91">
        <f>VLOOKUP($A132,'Data Vlaue (Cr)'!$C:$FB,93)</f>
        <v>212</v>
      </c>
      <c r="J132" s="92">
        <f>VLOOKUP($A132,'Data Vlaue (Cr)'!$C:$FB,94)</f>
        <v>0.19389999999999999</v>
      </c>
      <c r="K132" s="91">
        <f>VLOOKUP($A132,'Data Vlaue (Cr)'!$C:$FB,95)</f>
        <v>1192</v>
      </c>
      <c r="L132" s="91">
        <f>VLOOKUP($A132,'Data Vlaue (Cr)'!$C:$FB,97)</f>
        <v>169</v>
      </c>
      <c r="M132" s="92">
        <f>VLOOKUP($A132,'Data Vlaue (Cr)'!$C:$FB,98)</f>
        <v>0.16470000000000001</v>
      </c>
      <c r="N132" s="91">
        <f>VLOOKUP($A132,'Data Vlaue (Cr)'!$C:$FB,79)</f>
        <v>4866</v>
      </c>
      <c r="O132" s="92">
        <f>VLOOKUP($A132,'Data Vlaue (Cr)'!$C:$FB,82)</f>
        <v>-6.1999999999999998E-3</v>
      </c>
    </row>
    <row r="133" spans="1:15" x14ac:dyDescent="0.25">
      <c r="A133" s="97" t="str">
        <f>'Data Vlaue (Cr)'!C128</f>
        <v>MAXHEALTH</v>
      </c>
      <c r="B133" s="142">
        <f>VLOOKUP(A133,'Data Vlaue (Cr)'!C128:CW341,99,0)</f>
        <v>2742</v>
      </c>
      <c r="C133" s="90">
        <f>VLOOKUP(A133,'Data Vlaue (Cr)'!C128:CY341,101,0)</f>
        <v>20</v>
      </c>
      <c r="D133" s="139">
        <f>VLOOKUP(A133,'Data Vlaue (Cr)'!C128:CZ341,102,0)</f>
        <v>7.3000000000000001E-3</v>
      </c>
      <c r="E133" s="91">
        <f>VLOOKUP($A133,'Data Vlaue (Cr)'!$C:$FB,75)</f>
        <v>2308</v>
      </c>
      <c r="F133" s="91">
        <f>VLOOKUP($A133,'Data Vlaue (Cr)'!$C:$FB,77)</f>
        <v>-17</v>
      </c>
      <c r="G133" s="92">
        <f>VLOOKUP(A133,'Data Vlaue (Cr)'!C128:CB341,78,0)</f>
        <v>-7.1999999999999998E-3</v>
      </c>
      <c r="H133" s="91">
        <f>VLOOKUP($A133,'Data Vlaue (Cr)'!$C:$FB,91)</f>
        <v>235</v>
      </c>
      <c r="I133" s="91">
        <f>VLOOKUP($A133,'Data Vlaue (Cr)'!$C:$FB,93)</f>
        <v>24</v>
      </c>
      <c r="J133" s="92">
        <f>VLOOKUP($A133,'Data Vlaue (Cr)'!$C:$FB,94)</f>
        <v>0.11260000000000001</v>
      </c>
      <c r="K133" s="91">
        <f>VLOOKUP($A133,'Data Vlaue (Cr)'!$C:$FB,95)</f>
        <v>199</v>
      </c>
      <c r="L133" s="91">
        <f>VLOOKUP($A133,'Data Vlaue (Cr)'!$C:$FB,97)</f>
        <v>13</v>
      </c>
      <c r="M133" s="92">
        <f>VLOOKUP($A133,'Data Vlaue (Cr)'!$C:$FB,98)</f>
        <v>6.8199999999999997E-2</v>
      </c>
      <c r="N133" s="91">
        <f>VLOOKUP($A133,'Data Vlaue (Cr)'!$C:$FB,79)</f>
        <v>2273</v>
      </c>
      <c r="O133" s="92">
        <f>VLOOKUP($A133,'Data Vlaue (Cr)'!$C:$FB,82)</f>
        <v>-7.7999999999999996E-3</v>
      </c>
    </row>
    <row r="134" spans="1:15" x14ac:dyDescent="0.25">
      <c r="A134" s="97" t="str">
        <f>'Data Vlaue (Cr)'!C129</f>
        <v>MAZDOCK</v>
      </c>
      <c r="B134" s="142">
        <f>VLOOKUP(A134,'Data Vlaue (Cr)'!C129:CW342,99,0)</f>
        <v>2680</v>
      </c>
      <c r="C134" s="90">
        <f>VLOOKUP(A134,'Data Vlaue (Cr)'!C129:CY342,101,0)</f>
        <v>60</v>
      </c>
      <c r="D134" s="139">
        <f>VLOOKUP(A134,'Data Vlaue (Cr)'!C129:CZ342,102,0)</f>
        <v>2.2800000000000001E-2</v>
      </c>
      <c r="E134" s="91">
        <f>VLOOKUP($A134,'Data Vlaue (Cr)'!$C:$FB,75)</f>
        <v>1295</v>
      </c>
      <c r="F134" s="91">
        <f>VLOOKUP($A134,'Data Vlaue (Cr)'!$C:$FB,77)</f>
        <v>2</v>
      </c>
      <c r="G134" s="92">
        <f>VLOOKUP(A134,'Data Vlaue (Cr)'!C129:CB342,78,0)</f>
        <v>1.6999999999999999E-3</v>
      </c>
      <c r="H134" s="91">
        <f>VLOOKUP($A134,'Data Vlaue (Cr)'!$C:$FB,91)</f>
        <v>929</v>
      </c>
      <c r="I134" s="91">
        <f>VLOOKUP($A134,'Data Vlaue (Cr)'!$C:$FB,93)</f>
        <v>51</v>
      </c>
      <c r="J134" s="92">
        <f>VLOOKUP($A134,'Data Vlaue (Cr)'!$C:$FB,94)</f>
        <v>5.79E-2</v>
      </c>
      <c r="K134" s="91">
        <f>VLOOKUP($A134,'Data Vlaue (Cr)'!$C:$FB,95)</f>
        <v>456</v>
      </c>
      <c r="L134" s="91">
        <f>VLOOKUP($A134,'Data Vlaue (Cr)'!$C:$FB,97)</f>
        <v>7</v>
      </c>
      <c r="M134" s="92">
        <f>VLOOKUP($A134,'Data Vlaue (Cr)'!$C:$FB,98)</f>
        <v>1.4800000000000001E-2</v>
      </c>
      <c r="N134" s="91">
        <f>VLOOKUP($A134,'Data Vlaue (Cr)'!$C:$FB,79)</f>
        <v>1231</v>
      </c>
      <c r="O134" s="92">
        <f>VLOOKUP($A134,'Data Vlaue (Cr)'!$C:$FB,82)</f>
        <v>-2.8999999999999998E-3</v>
      </c>
    </row>
    <row r="135" spans="1:15" x14ac:dyDescent="0.25">
      <c r="A135" s="97" t="str">
        <f>'Data Vlaue (Cr)'!C130</f>
        <v>MCX</v>
      </c>
      <c r="B135" s="142">
        <f>VLOOKUP(A135,'Data Vlaue (Cr)'!C130:CW343,99,0)</f>
        <v>6652</v>
      </c>
      <c r="C135" s="90">
        <f>VLOOKUP(A135,'Data Vlaue (Cr)'!C130:CY343,101,0)</f>
        <v>347</v>
      </c>
      <c r="D135" s="139">
        <f>VLOOKUP(A135,'Data Vlaue (Cr)'!C130:CZ343,102,0)</f>
        <v>5.5E-2</v>
      </c>
      <c r="E135" s="91">
        <f>VLOOKUP($A135,'Data Vlaue (Cr)'!$C:$FB,75)</f>
        <v>3199</v>
      </c>
      <c r="F135" s="91">
        <f>VLOOKUP($A135,'Data Vlaue (Cr)'!$C:$FB,77)</f>
        <v>69</v>
      </c>
      <c r="G135" s="92">
        <f>VLOOKUP(A135,'Data Vlaue (Cr)'!C130:CB343,78,0)</f>
        <v>2.1999999999999999E-2</v>
      </c>
      <c r="H135" s="91">
        <f>VLOOKUP($A135,'Data Vlaue (Cr)'!$C:$FB,91)</f>
        <v>2075</v>
      </c>
      <c r="I135" s="91">
        <f>VLOOKUP($A135,'Data Vlaue (Cr)'!$C:$FB,93)</f>
        <v>191</v>
      </c>
      <c r="J135" s="92">
        <f>VLOOKUP($A135,'Data Vlaue (Cr)'!$C:$FB,94)</f>
        <v>0.10150000000000001</v>
      </c>
      <c r="K135" s="91">
        <f>VLOOKUP($A135,'Data Vlaue (Cr)'!$C:$FB,95)</f>
        <v>1379</v>
      </c>
      <c r="L135" s="91">
        <f>VLOOKUP($A135,'Data Vlaue (Cr)'!$C:$FB,97)</f>
        <v>87</v>
      </c>
      <c r="M135" s="92">
        <f>VLOOKUP($A135,'Data Vlaue (Cr)'!$C:$FB,98)</f>
        <v>6.7299999999999999E-2</v>
      </c>
      <c r="N135" s="91">
        <f>VLOOKUP($A135,'Data Vlaue (Cr)'!$C:$FB,79)</f>
        <v>3091</v>
      </c>
      <c r="O135" s="92">
        <f>VLOOKUP($A135,'Data Vlaue (Cr)'!$C:$FB,82)</f>
        <v>2.2200000000000001E-2</v>
      </c>
    </row>
    <row r="136" spans="1:15" x14ac:dyDescent="0.25">
      <c r="A136" s="97" t="str">
        <f>'Data Vlaue (Cr)'!C131</f>
        <v>MFSL</v>
      </c>
      <c r="B136" s="142">
        <f>VLOOKUP(A136,'Data Vlaue (Cr)'!C131:CW344,99,0)</f>
        <v>1567</v>
      </c>
      <c r="C136" s="90">
        <f>VLOOKUP(A136,'Data Vlaue (Cr)'!C131:CY344,101,0)</f>
        <v>11</v>
      </c>
      <c r="D136" s="139">
        <f>VLOOKUP(A136,'Data Vlaue (Cr)'!C131:CZ344,102,0)</f>
        <v>7.4000000000000003E-3</v>
      </c>
      <c r="E136" s="91">
        <f>VLOOKUP($A136,'Data Vlaue (Cr)'!$C:$FB,75)</f>
        <v>1430</v>
      </c>
      <c r="F136" s="91">
        <f>VLOOKUP($A136,'Data Vlaue (Cr)'!$C:$FB,77)</f>
        <v>-6</v>
      </c>
      <c r="G136" s="92">
        <f>VLOOKUP(A136,'Data Vlaue (Cr)'!C131:CB344,78,0)</f>
        <v>-3.8999999999999998E-3</v>
      </c>
      <c r="H136" s="91">
        <f>VLOOKUP($A136,'Data Vlaue (Cr)'!$C:$FB,91)</f>
        <v>78</v>
      </c>
      <c r="I136" s="91">
        <f>VLOOKUP($A136,'Data Vlaue (Cr)'!$C:$FB,93)</f>
        <v>11</v>
      </c>
      <c r="J136" s="92">
        <f>VLOOKUP($A136,'Data Vlaue (Cr)'!$C:$FB,94)</f>
        <v>0.16170000000000001</v>
      </c>
      <c r="K136" s="91">
        <f>VLOOKUP($A136,'Data Vlaue (Cr)'!$C:$FB,95)</f>
        <v>59</v>
      </c>
      <c r="L136" s="91">
        <f>VLOOKUP($A136,'Data Vlaue (Cr)'!$C:$FB,97)</f>
        <v>6</v>
      </c>
      <c r="M136" s="92">
        <f>VLOOKUP($A136,'Data Vlaue (Cr)'!$C:$FB,98)</f>
        <v>0.1168</v>
      </c>
      <c r="N136" s="91">
        <f>VLOOKUP($A136,'Data Vlaue (Cr)'!$C:$FB,79)</f>
        <v>1427</v>
      </c>
      <c r="O136" s="92">
        <f>VLOOKUP($A136,'Data Vlaue (Cr)'!$C:$FB,82)</f>
        <v>-3.8999999999999998E-3</v>
      </c>
    </row>
    <row r="137" spans="1:15" x14ac:dyDescent="0.25">
      <c r="A137" s="97" t="str">
        <f>'Data Vlaue (Cr)'!C132</f>
        <v>MIDCPNIFTY</v>
      </c>
      <c r="B137" s="142">
        <f>VLOOKUP(A137,'Data Vlaue (Cr)'!C132:CW345,99,0)</f>
        <v>15049</v>
      </c>
      <c r="C137" s="90">
        <f>VLOOKUP(A137,'Data Vlaue (Cr)'!C132:CY345,101,0)</f>
        <v>1733</v>
      </c>
      <c r="D137" s="139">
        <f>VLOOKUP(A137,'Data Vlaue (Cr)'!C132:CZ345,102,0)</f>
        <v>0.13009999999999999</v>
      </c>
      <c r="E137" s="91">
        <f>VLOOKUP($A137,'Data Vlaue (Cr)'!$C:$FB,75)</f>
        <v>2796</v>
      </c>
      <c r="F137" s="91">
        <f>VLOOKUP($A137,'Data Vlaue (Cr)'!$C:$FB,77)</f>
        <v>33</v>
      </c>
      <c r="G137" s="92">
        <f>VLOOKUP(A137,'Data Vlaue (Cr)'!C132:CB345,78,0)</f>
        <v>1.2E-2</v>
      </c>
      <c r="H137" s="91">
        <f>VLOOKUP($A137,'Data Vlaue (Cr)'!$C:$FB,91)</f>
        <v>5683</v>
      </c>
      <c r="I137" s="91">
        <f>VLOOKUP($A137,'Data Vlaue (Cr)'!$C:$FB,93)</f>
        <v>612</v>
      </c>
      <c r="J137" s="92">
        <f>VLOOKUP($A137,'Data Vlaue (Cr)'!$C:$FB,94)</f>
        <v>0.1206</v>
      </c>
      <c r="K137" s="91">
        <f>VLOOKUP($A137,'Data Vlaue (Cr)'!$C:$FB,95)</f>
        <v>6571</v>
      </c>
      <c r="L137" s="91">
        <f>VLOOKUP($A137,'Data Vlaue (Cr)'!$C:$FB,97)</f>
        <v>1088</v>
      </c>
      <c r="M137" s="92">
        <f>VLOOKUP($A137,'Data Vlaue (Cr)'!$C:$FB,98)</f>
        <v>0.19839999999999999</v>
      </c>
      <c r="N137" s="91">
        <f>VLOOKUP($A137,'Data Vlaue (Cr)'!$C:$FB,79)</f>
        <v>2714</v>
      </c>
      <c r="O137" s="92">
        <f>VLOOKUP($A137,'Data Vlaue (Cr)'!$C:$FB,82)</f>
        <v>1.12E-2</v>
      </c>
    </row>
    <row r="138" spans="1:15" x14ac:dyDescent="0.25">
      <c r="A138" s="97" t="str">
        <f>'Data Vlaue (Cr)'!C133</f>
        <v>MOTHERSON</v>
      </c>
      <c r="B138" s="142">
        <f>VLOOKUP(A138,'Data Vlaue (Cr)'!C133:CW346,99,0)</f>
        <v>2640</v>
      </c>
      <c r="C138" s="90">
        <f>VLOOKUP(A138,'Data Vlaue (Cr)'!C133:CY346,101,0)</f>
        <v>134</v>
      </c>
      <c r="D138" s="139">
        <f>VLOOKUP(A138,'Data Vlaue (Cr)'!C133:CZ346,102,0)</f>
        <v>5.33E-2</v>
      </c>
      <c r="E138" s="91">
        <f>VLOOKUP($A138,'Data Vlaue (Cr)'!$C:$FB,75)</f>
        <v>1931</v>
      </c>
      <c r="F138" s="91">
        <f>VLOOKUP($A138,'Data Vlaue (Cr)'!$C:$FB,77)</f>
        <v>41</v>
      </c>
      <c r="G138" s="92">
        <f>VLOOKUP(A138,'Data Vlaue (Cr)'!C133:CB346,78,0)</f>
        <v>2.1499999999999998E-2</v>
      </c>
      <c r="H138" s="91">
        <f>VLOOKUP($A138,'Data Vlaue (Cr)'!$C:$FB,91)</f>
        <v>409</v>
      </c>
      <c r="I138" s="91">
        <f>VLOOKUP($A138,'Data Vlaue (Cr)'!$C:$FB,93)</f>
        <v>27</v>
      </c>
      <c r="J138" s="92">
        <f>VLOOKUP($A138,'Data Vlaue (Cr)'!$C:$FB,94)</f>
        <v>6.9599999999999995E-2</v>
      </c>
      <c r="K138" s="91">
        <f>VLOOKUP($A138,'Data Vlaue (Cr)'!$C:$FB,95)</f>
        <v>299</v>
      </c>
      <c r="L138" s="91">
        <f>VLOOKUP($A138,'Data Vlaue (Cr)'!$C:$FB,97)</f>
        <v>66</v>
      </c>
      <c r="M138" s="92">
        <f>VLOOKUP($A138,'Data Vlaue (Cr)'!$C:$FB,98)</f>
        <v>0.28470000000000001</v>
      </c>
      <c r="N138" s="91">
        <f>VLOOKUP($A138,'Data Vlaue (Cr)'!$C:$FB,79)</f>
        <v>1900</v>
      </c>
      <c r="O138" s="92">
        <f>VLOOKUP($A138,'Data Vlaue (Cr)'!$C:$FB,82)</f>
        <v>2.0400000000000001E-2</v>
      </c>
    </row>
    <row r="139" spans="1:15" x14ac:dyDescent="0.25">
      <c r="A139" s="97" t="str">
        <f>'Data Vlaue (Cr)'!C134</f>
        <v>MPHASIS</v>
      </c>
      <c r="B139" s="142">
        <f>VLOOKUP(A139,'Data Vlaue (Cr)'!C134:CW347,99,0)</f>
        <v>1864</v>
      </c>
      <c r="C139" s="90">
        <f>VLOOKUP(A139,'Data Vlaue (Cr)'!C134:CY347,101,0)</f>
        <v>-1</v>
      </c>
      <c r="D139" s="139">
        <f>VLOOKUP(A139,'Data Vlaue (Cr)'!C134:CZ347,102,0)</f>
        <v>-5.9999999999999995E-4</v>
      </c>
      <c r="E139" s="91">
        <f>VLOOKUP($A139,'Data Vlaue (Cr)'!$C:$FB,75)</f>
        <v>1521</v>
      </c>
      <c r="F139" s="91">
        <f>VLOOKUP($A139,'Data Vlaue (Cr)'!$C:$FB,77)</f>
        <v>-13</v>
      </c>
      <c r="G139" s="92">
        <f>VLOOKUP(A139,'Data Vlaue (Cr)'!C134:CB347,78,0)</f>
        <v>-8.3000000000000001E-3</v>
      </c>
      <c r="H139" s="91">
        <f>VLOOKUP($A139,'Data Vlaue (Cr)'!$C:$FB,91)</f>
        <v>205</v>
      </c>
      <c r="I139" s="91">
        <f>VLOOKUP($A139,'Data Vlaue (Cr)'!$C:$FB,93)</f>
        <v>8</v>
      </c>
      <c r="J139" s="92">
        <f>VLOOKUP($A139,'Data Vlaue (Cr)'!$C:$FB,94)</f>
        <v>3.9899999999999998E-2</v>
      </c>
      <c r="K139" s="91">
        <f>VLOOKUP($A139,'Data Vlaue (Cr)'!$C:$FB,95)</f>
        <v>137</v>
      </c>
      <c r="L139" s="91">
        <f>VLOOKUP($A139,'Data Vlaue (Cr)'!$C:$FB,97)</f>
        <v>4</v>
      </c>
      <c r="M139" s="92">
        <f>VLOOKUP($A139,'Data Vlaue (Cr)'!$C:$FB,98)</f>
        <v>2.8000000000000001E-2</v>
      </c>
      <c r="N139" s="91">
        <f>VLOOKUP($A139,'Data Vlaue (Cr)'!$C:$FB,79)</f>
        <v>1510</v>
      </c>
      <c r="O139" s="92">
        <f>VLOOKUP($A139,'Data Vlaue (Cr)'!$C:$FB,82)</f>
        <v>-8.6999999999999994E-3</v>
      </c>
    </row>
    <row r="140" spans="1:15" x14ac:dyDescent="0.25">
      <c r="A140" s="97" t="str">
        <f>'Data Vlaue (Cr)'!C135</f>
        <v>MUTHOOTFIN</v>
      </c>
      <c r="B140" s="142">
        <f>VLOOKUP(A140,'Data Vlaue (Cr)'!C135:CW348,99,0)</f>
        <v>2448</v>
      </c>
      <c r="C140" s="90">
        <f>VLOOKUP(A140,'Data Vlaue (Cr)'!C135:CY348,101,0)</f>
        <v>13</v>
      </c>
      <c r="D140" s="139">
        <f>VLOOKUP(A140,'Data Vlaue (Cr)'!C135:CZ348,102,0)</f>
        <v>5.4000000000000003E-3</v>
      </c>
      <c r="E140" s="91">
        <f>VLOOKUP($A140,'Data Vlaue (Cr)'!$C:$FB,75)</f>
        <v>1372</v>
      </c>
      <c r="F140" s="91">
        <f>VLOOKUP($A140,'Data Vlaue (Cr)'!$C:$FB,77)</f>
        <v>3</v>
      </c>
      <c r="G140" s="92">
        <f>VLOOKUP(A140,'Data Vlaue (Cr)'!C135:CB348,78,0)</f>
        <v>1.9E-3</v>
      </c>
      <c r="H140" s="91">
        <f>VLOOKUP($A140,'Data Vlaue (Cr)'!$C:$FB,91)</f>
        <v>664</v>
      </c>
      <c r="I140" s="91">
        <f>VLOOKUP($A140,'Data Vlaue (Cr)'!$C:$FB,93)</f>
        <v>-2</v>
      </c>
      <c r="J140" s="92">
        <f>VLOOKUP($A140,'Data Vlaue (Cr)'!$C:$FB,94)</f>
        <v>-3.7000000000000002E-3</v>
      </c>
      <c r="K140" s="91">
        <f>VLOOKUP($A140,'Data Vlaue (Cr)'!$C:$FB,95)</f>
        <v>411</v>
      </c>
      <c r="L140" s="91">
        <f>VLOOKUP($A140,'Data Vlaue (Cr)'!$C:$FB,97)</f>
        <v>13</v>
      </c>
      <c r="M140" s="92">
        <f>VLOOKUP($A140,'Data Vlaue (Cr)'!$C:$FB,98)</f>
        <v>3.2500000000000001E-2</v>
      </c>
      <c r="N140" s="91">
        <f>VLOOKUP($A140,'Data Vlaue (Cr)'!$C:$FB,79)</f>
        <v>1340</v>
      </c>
      <c r="O140" s="92">
        <f>VLOOKUP($A140,'Data Vlaue (Cr)'!$C:$FB,82)</f>
        <v>1.1000000000000001E-3</v>
      </c>
    </row>
    <row r="141" spans="1:15" x14ac:dyDescent="0.25">
      <c r="A141" s="97" t="str">
        <f>'Data Vlaue (Cr)'!C136</f>
        <v>NATIONALUM</v>
      </c>
      <c r="B141" s="142">
        <f>VLOOKUP(A141,'Data Vlaue (Cr)'!C136:CW349,99,0)</f>
        <v>3402</v>
      </c>
      <c r="C141" s="90">
        <f>VLOOKUP(A141,'Data Vlaue (Cr)'!C136:CY349,101,0)</f>
        <v>-48</v>
      </c>
      <c r="D141" s="139">
        <f>VLOOKUP(A141,'Data Vlaue (Cr)'!C136:CZ349,102,0)</f>
        <v>-1.3899999999999999E-2</v>
      </c>
      <c r="E141" s="91">
        <f>VLOOKUP($A141,'Data Vlaue (Cr)'!$C:$FB,75)</f>
        <v>1626</v>
      </c>
      <c r="F141" s="91">
        <f>VLOOKUP($A141,'Data Vlaue (Cr)'!$C:$FB,77)</f>
        <v>-37</v>
      </c>
      <c r="G141" s="92">
        <f>VLOOKUP(A141,'Data Vlaue (Cr)'!C136:CB349,78,0)</f>
        <v>-2.2200000000000001E-2</v>
      </c>
      <c r="H141" s="91">
        <f>VLOOKUP($A141,'Data Vlaue (Cr)'!$C:$FB,91)</f>
        <v>1015</v>
      </c>
      <c r="I141" s="91">
        <f>VLOOKUP($A141,'Data Vlaue (Cr)'!$C:$FB,93)</f>
        <v>13</v>
      </c>
      <c r="J141" s="92">
        <f>VLOOKUP($A141,'Data Vlaue (Cr)'!$C:$FB,94)</f>
        <v>1.34E-2</v>
      </c>
      <c r="K141" s="91">
        <f>VLOOKUP($A141,'Data Vlaue (Cr)'!$C:$FB,95)</f>
        <v>761</v>
      </c>
      <c r="L141" s="91">
        <f>VLOOKUP($A141,'Data Vlaue (Cr)'!$C:$FB,97)</f>
        <v>-25</v>
      </c>
      <c r="M141" s="92">
        <f>VLOOKUP($A141,'Data Vlaue (Cr)'!$C:$FB,98)</f>
        <v>-3.1399999999999997E-2</v>
      </c>
      <c r="N141" s="91">
        <f>VLOOKUP($A141,'Data Vlaue (Cr)'!$C:$FB,79)</f>
        <v>1523</v>
      </c>
      <c r="O141" s="92">
        <f>VLOOKUP($A141,'Data Vlaue (Cr)'!$C:$FB,82)</f>
        <v>-2.5600000000000001E-2</v>
      </c>
    </row>
    <row r="142" spans="1:15" x14ac:dyDescent="0.25">
      <c r="A142" s="97" t="str">
        <f>'Data Vlaue (Cr)'!C137</f>
        <v>NAUKRI</v>
      </c>
      <c r="B142" s="142">
        <f>VLOOKUP(A142,'Data Vlaue (Cr)'!C137:CW350,99,0)</f>
        <v>1426</v>
      </c>
      <c r="C142" s="90">
        <f>VLOOKUP(A142,'Data Vlaue (Cr)'!C137:CY350,101,0)</f>
        <v>40</v>
      </c>
      <c r="D142" s="139">
        <f>VLOOKUP(A142,'Data Vlaue (Cr)'!C137:CZ350,102,0)</f>
        <v>2.9100000000000001E-2</v>
      </c>
      <c r="E142" s="91">
        <f>VLOOKUP($A142,'Data Vlaue (Cr)'!$C:$FB,75)</f>
        <v>1070</v>
      </c>
      <c r="F142" s="91">
        <f>VLOOKUP($A142,'Data Vlaue (Cr)'!$C:$FB,77)</f>
        <v>2</v>
      </c>
      <c r="G142" s="92">
        <f>VLOOKUP(A142,'Data Vlaue (Cr)'!C137:CB350,78,0)</f>
        <v>1.6999999999999999E-3</v>
      </c>
      <c r="H142" s="91">
        <f>VLOOKUP($A142,'Data Vlaue (Cr)'!$C:$FB,91)</f>
        <v>198</v>
      </c>
      <c r="I142" s="91">
        <f>VLOOKUP($A142,'Data Vlaue (Cr)'!$C:$FB,93)</f>
        <v>11</v>
      </c>
      <c r="J142" s="92">
        <f>VLOOKUP($A142,'Data Vlaue (Cr)'!$C:$FB,94)</f>
        <v>6.0499999999999998E-2</v>
      </c>
      <c r="K142" s="91">
        <f>VLOOKUP($A142,'Data Vlaue (Cr)'!$C:$FB,95)</f>
        <v>158</v>
      </c>
      <c r="L142" s="91">
        <f>VLOOKUP($A142,'Data Vlaue (Cr)'!$C:$FB,97)</f>
        <v>27</v>
      </c>
      <c r="M142" s="92">
        <f>VLOOKUP($A142,'Data Vlaue (Cr)'!$C:$FB,98)</f>
        <v>0.2082</v>
      </c>
      <c r="N142" s="91">
        <f>VLOOKUP($A142,'Data Vlaue (Cr)'!$C:$FB,79)</f>
        <v>1063</v>
      </c>
      <c r="O142" s="92">
        <f>VLOOKUP($A142,'Data Vlaue (Cr)'!$C:$FB,82)</f>
        <v>1.6000000000000001E-3</v>
      </c>
    </row>
    <row r="143" spans="1:15" x14ac:dyDescent="0.25">
      <c r="A143" s="97" t="str">
        <f>'Data Vlaue (Cr)'!C138</f>
        <v>NBCC</v>
      </c>
      <c r="B143" s="142">
        <f>VLOOKUP(A143,'Data Vlaue (Cr)'!C138:CW351,99,0)</f>
        <v>1920</v>
      </c>
      <c r="C143" s="90">
        <f>VLOOKUP(A143,'Data Vlaue (Cr)'!C138:CY351,101,0)</f>
        <v>43</v>
      </c>
      <c r="D143" s="139">
        <f>VLOOKUP(A143,'Data Vlaue (Cr)'!C138:CZ351,102,0)</f>
        <v>2.3099999999999999E-2</v>
      </c>
      <c r="E143" s="91">
        <f>VLOOKUP($A143,'Data Vlaue (Cr)'!$C:$FB,75)</f>
        <v>1178</v>
      </c>
      <c r="F143" s="91">
        <f>VLOOKUP($A143,'Data Vlaue (Cr)'!$C:$FB,77)</f>
        <v>3</v>
      </c>
      <c r="G143" s="92">
        <f>VLOOKUP(A143,'Data Vlaue (Cr)'!C138:CB351,78,0)</f>
        <v>2.8E-3</v>
      </c>
      <c r="H143" s="91">
        <f>VLOOKUP($A143,'Data Vlaue (Cr)'!$C:$FB,91)</f>
        <v>492</v>
      </c>
      <c r="I143" s="91">
        <f>VLOOKUP($A143,'Data Vlaue (Cr)'!$C:$FB,93)</f>
        <v>30</v>
      </c>
      <c r="J143" s="92">
        <f>VLOOKUP($A143,'Data Vlaue (Cr)'!$C:$FB,94)</f>
        <v>6.4899999999999999E-2</v>
      </c>
      <c r="K143" s="91">
        <f>VLOOKUP($A143,'Data Vlaue (Cr)'!$C:$FB,95)</f>
        <v>250</v>
      </c>
      <c r="L143" s="91">
        <f>VLOOKUP($A143,'Data Vlaue (Cr)'!$C:$FB,97)</f>
        <v>10</v>
      </c>
      <c r="M143" s="92">
        <f>VLOOKUP($A143,'Data Vlaue (Cr)'!$C:$FB,98)</f>
        <v>4.2299999999999997E-2</v>
      </c>
      <c r="N143" s="91">
        <f>VLOOKUP($A143,'Data Vlaue (Cr)'!$C:$FB,79)</f>
        <v>1156</v>
      </c>
      <c r="O143" s="92">
        <f>VLOOKUP($A143,'Data Vlaue (Cr)'!$C:$FB,82)</f>
        <v>1.4E-3</v>
      </c>
    </row>
    <row r="144" spans="1:15" x14ac:dyDescent="0.25">
      <c r="A144" s="97" t="str">
        <f>'Data Vlaue (Cr)'!C139</f>
        <v>NESTLEIND</v>
      </c>
      <c r="B144" s="142">
        <f>VLOOKUP(A144,'Data Vlaue (Cr)'!C139:CW352,99,0)</f>
        <v>2506</v>
      </c>
      <c r="C144" s="90">
        <f>VLOOKUP(A144,'Data Vlaue (Cr)'!C139:CY352,101,0)</f>
        <v>29</v>
      </c>
      <c r="D144" s="139">
        <f>VLOOKUP(A144,'Data Vlaue (Cr)'!C139:CZ352,102,0)</f>
        <v>1.17E-2</v>
      </c>
      <c r="E144" s="91">
        <f>VLOOKUP($A144,'Data Vlaue (Cr)'!$C:$FB,75)</f>
        <v>2130</v>
      </c>
      <c r="F144" s="91">
        <f>VLOOKUP($A144,'Data Vlaue (Cr)'!$C:$FB,77)</f>
        <v>-20</v>
      </c>
      <c r="G144" s="92">
        <f>VLOOKUP(A144,'Data Vlaue (Cr)'!C139:CB352,78,0)</f>
        <v>-9.4999999999999998E-3</v>
      </c>
      <c r="H144" s="91">
        <f>VLOOKUP($A144,'Data Vlaue (Cr)'!$C:$FB,91)</f>
        <v>245</v>
      </c>
      <c r="I144" s="91">
        <f>VLOOKUP($A144,'Data Vlaue (Cr)'!$C:$FB,93)</f>
        <v>38</v>
      </c>
      <c r="J144" s="92">
        <f>VLOOKUP($A144,'Data Vlaue (Cr)'!$C:$FB,94)</f>
        <v>0.18149999999999999</v>
      </c>
      <c r="K144" s="91">
        <f>VLOOKUP($A144,'Data Vlaue (Cr)'!$C:$FB,95)</f>
        <v>130</v>
      </c>
      <c r="L144" s="91">
        <f>VLOOKUP($A144,'Data Vlaue (Cr)'!$C:$FB,97)</f>
        <v>12</v>
      </c>
      <c r="M144" s="92">
        <f>VLOOKUP($A144,'Data Vlaue (Cr)'!$C:$FB,98)</f>
        <v>9.8699999999999996E-2</v>
      </c>
      <c r="N144" s="91">
        <f>VLOOKUP($A144,'Data Vlaue (Cr)'!$C:$FB,79)</f>
        <v>2109</v>
      </c>
      <c r="O144" s="92">
        <f>VLOOKUP($A144,'Data Vlaue (Cr)'!$C:$FB,82)</f>
        <v>-1.0200000000000001E-2</v>
      </c>
    </row>
    <row r="145" spans="1:15" x14ac:dyDescent="0.25">
      <c r="A145" s="97" t="str">
        <f>'Data Vlaue (Cr)'!C140</f>
        <v>NHPC</v>
      </c>
      <c r="B145" s="142">
        <f>VLOOKUP(A145,'Data Vlaue (Cr)'!C140:CW353,99,0)</f>
        <v>880</v>
      </c>
      <c r="C145" s="90">
        <f>VLOOKUP(A145,'Data Vlaue (Cr)'!C140:CY353,101,0)</f>
        <v>22</v>
      </c>
      <c r="D145" s="139">
        <f>VLOOKUP(A145,'Data Vlaue (Cr)'!C140:CZ353,102,0)</f>
        <v>2.58E-2</v>
      </c>
      <c r="E145" s="91">
        <f>VLOOKUP($A145,'Data Vlaue (Cr)'!$C:$FB,75)</f>
        <v>576</v>
      </c>
      <c r="F145" s="91">
        <f>VLOOKUP($A145,'Data Vlaue (Cr)'!$C:$FB,77)</f>
        <v>6</v>
      </c>
      <c r="G145" s="92">
        <f>VLOOKUP(A145,'Data Vlaue (Cr)'!C140:CB353,78,0)</f>
        <v>9.7999999999999997E-3</v>
      </c>
      <c r="H145" s="91">
        <f>VLOOKUP($A145,'Data Vlaue (Cr)'!$C:$FB,91)</f>
        <v>205</v>
      </c>
      <c r="I145" s="91">
        <f>VLOOKUP($A145,'Data Vlaue (Cr)'!$C:$FB,93)</f>
        <v>3</v>
      </c>
      <c r="J145" s="92">
        <f>VLOOKUP($A145,'Data Vlaue (Cr)'!$C:$FB,94)</f>
        <v>1.2699999999999999E-2</v>
      </c>
      <c r="K145" s="91">
        <f>VLOOKUP($A145,'Data Vlaue (Cr)'!$C:$FB,95)</f>
        <v>99</v>
      </c>
      <c r="L145" s="91">
        <f>VLOOKUP($A145,'Data Vlaue (Cr)'!$C:$FB,97)</f>
        <v>14</v>
      </c>
      <c r="M145" s="92">
        <f>VLOOKUP($A145,'Data Vlaue (Cr)'!$C:$FB,98)</f>
        <v>0.16470000000000001</v>
      </c>
      <c r="N145" s="91">
        <f>VLOOKUP($A145,'Data Vlaue (Cr)'!$C:$FB,79)</f>
        <v>539</v>
      </c>
      <c r="O145" s="92">
        <f>VLOOKUP($A145,'Data Vlaue (Cr)'!$C:$FB,82)</f>
        <v>8.0999999999999996E-3</v>
      </c>
    </row>
    <row r="146" spans="1:15" x14ac:dyDescent="0.25">
      <c r="A146" s="97" t="str">
        <f>'Data Vlaue (Cr)'!C141</f>
        <v>NIFTY</v>
      </c>
      <c r="B146" s="142">
        <f>VLOOKUP(A146,'Data Vlaue (Cr)'!C141:CW354,99,0)</f>
        <v>1221218</v>
      </c>
      <c r="C146" s="90">
        <f>VLOOKUP(A146,'Data Vlaue (Cr)'!C141:CY354,101,0)</f>
        <v>191536</v>
      </c>
      <c r="D146" s="139">
        <f>VLOOKUP(A146,'Data Vlaue (Cr)'!C141:CZ354,102,0)</f>
        <v>0.186</v>
      </c>
      <c r="E146" s="91">
        <f>VLOOKUP($A146,'Data Vlaue (Cr)'!$C:$FB,75)</f>
        <v>40434</v>
      </c>
      <c r="F146" s="91">
        <f>VLOOKUP($A146,'Data Vlaue (Cr)'!$C:$FB,77)</f>
        <v>50</v>
      </c>
      <c r="G146" s="92">
        <f>VLOOKUP(A146,'Data Vlaue (Cr)'!C141:CB354,78,0)</f>
        <v>1.1999999999999999E-3</v>
      </c>
      <c r="H146" s="91">
        <f>VLOOKUP($A146,'Data Vlaue (Cr)'!$C:$FB,91)</f>
        <v>554005</v>
      </c>
      <c r="I146" s="91">
        <f>VLOOKUP($A146,'Data Vlaue (Cr)'!$C:$FB,93)</f>
        <v>117475</v>
      </c>
      <c r="J146" s="92">
        <f>VLOOKUP($A146,'Data Vlaue (Cr)'!$C:$FB,94)</f>
        <v>0.26910000000000001</v>
      </c>
      <c r="K146" s="91">
        <f>VLOOKUP($A146,'Data Vlaue (Cr)'!$C:$FB,95)</f>
        <v>626779</v>
      </c>
      <c r="L146" s="91">
        <f>VLOOKUP($A146,'Data Vlaue (Cr)'!$C:$FB,97)</f>
        <v>74010</v>
      </c>
      <c r="M146" s="92">
        <f>VLOOKUP($A146,'Data Vlaue (Cr)'!$C:$FB,98)</f>
        <v>0.13389999999999999</v>
      </c>
      <c r="N146" s="91">
        <f>VLOOKUP($A146,'Data Vlaue (Cr)'!$C:$FB,79)</f>
        <v>36816</v>
      </c>
      <c r="O146" s="92">
        <f>VLOOKUP($A146,'Data Vlaue (Cr)'!$C:$FB,82)</f>
        <v>-1.6000000000000001E-3</v>
      </c>
    </row>
    <row r="147" spans="1:15" x14ac:dyDescent="0.25">
      <c r="A147" s="97" t="str">
        <f>'Data Vlaue (Cr)'!C142</f>
        <v>NIFTYNXT50</v>
      </c>
      <c r="B147" s="142">
        <f>VLOOKUP(A147,'Data Vlaue (Cr)'!C142:CW355,99,0)</f>
        <v>179</v>
      </c>
      <c r="C147" s="90">
        <f>VLOOKUP(A147,'Data Vlaue (Cr)'!C142:CY355,101,0)</f>
        <v>5</v>
      </c>
      <c r="D147" s="139">
        <f>VLOOKUP(A147,'Data Vlaue (Cr)'!C142:CZ355,102,0)</f>
        <v>2.7099999999999999E-2</v>
      </c>
      <c r="E147" s="91">
        <f>VLOOKUP($A147,'Data Vlaue (Cr)'!$C:$FB,75)</f>
        <v>157</v>
      </c>
      <c r="F147" s="91">
        <f>VLOOKUP($A147,'Data Vlaue (Cr)'!$C:$FB,77)</f>
        <v>-3</v>
      </c>
      <c r="G147" s="92">
        <f>VLOOKUP(A147,'Data Vlaue (Cr)'!C142:CB355,78,0)</f>
        <v>-1.7500000000000002E-2</v>
      </c>
      <c r="H147" s="91">
        <f>VLOOKUP($A147,'Data Vlaue (Cr)'!$C:$FB,91)</f>
        <v>14</v>
      </c>
      <c r="I147" s="91">
        <f>VLOOKUP($A147,'Data Vlaue (Cr)'!$C:$FB,93)</f>
        <v>6</v>
      </c>
      <c r="J147" s="92">
        <f>VLOOKUP($A147,'Data Vlaue (Cr)'!$C:$FB,94)</f>
        <v>0.77780000000000005</v>
      </c>
      <c r="K147" s="91">
        <f>VLOOKUP($A147,'Data Vlaue (Cr)'!$C:$FB,95)</f>
        <v>8</v>
      </c>
      <c r="L147" s="91">
        <f>VLOOKUP($A147,'Data Vlaue (Cr)'!$C:$FB,97)</f>
        <v>1</v>
      </c>
      <c r="M147" s="92">
        <f>VLOOKUP($A147,'Data Vlaue (Cr)'!$C:$FB,98)</f>
        <v>0.2286</v>
      </c>
      <c r="N147" s="91">
        <f>VLOOKUP($A147,'Data Vlaue (Cr)'!$C:$FB,79)</f>
        <v>154</v>
      </c>
      <c r="O147" s="92">
        <f>VLOOKUP($A147,'Data Vlaue (Cr)'!$C:$FB,82)</f>
        <v>-2.1100000000000001E-2</v>
      </c>
    </row>
    <row r="148" spans="1:15" x14ac:dyDescent="0.25">
      <c r="A148" s="97" t="str">
        <f>'Data Vlaue (Cr)'!C143</f>
        <v>NMDC</v>
      </c>
      <c r="B148" s="142">
        <f>VLOOKUP(A148,'Data Vlaue (Cr)'!C143:CW356,99,0)</f>
        <v>4323</v>
      </c>
      <c r="C148" s="90">
        <f>VLOOKUP(A148,'Data Vlaue (Cr)'!C143:CY356,101,0)</f>
        <v>67</v>
      </c>
      <c r="D148" s="139">
        <f>VLOOKUP(A148,'Data Vlaue (Cr)'!C143:CZ356,102,0)</f>
        <v>1.5900000000000001E-2</v>
      </c>
      <c r="E148" s="91">
        <f>VLOOKUP($A148,'Data Vlaue (Cr)'!$C:$FB,75)</f>
        <v>2893</v>
      </c>
      <c r="F148" s="91">
        <f>VLOOKUP($A148,'Data Vlaue (Cr)'!$C:$FB,77)</f>
        <v>29</v>
      </c>
      <c r="G148" s="92">
        <f>VLOOKUP(A148,'Data Vlaue (Cr)'!C143:CB356,78,0)</f>
        <v>1.01E-2</v>
      </c>
      <c r="H148" s="91">
        <f>VLOOKUP($A148,'Data Vlaue (Cr)'!$C:$FB,91)</f>
        <v>1011</v>
      </c>
      <c r="I148" s="91">
        <f>VLOOKUP($A148,'Data Vlaue (Cr)'!$C:$FB,93)</f>
        <v>14</v>
      </c>
      <c r="J148" s="92">
        <f>VLOOKUP($A148,'Data Vlaue (Cr)'!$C:$FB,94)</f>
        <v>1.37E-2</v>
      </c>
      <c r="K148" s="91">
        <f>VLOOKUP($A148,'Data Vlaue (Cr)'!$C:$FB,95)</f>
        <v>418</v>
      </c>
      <c r="L148" s="91">
        <f>VLOOKUP($A148,'Data Vlaue (Cr)'!$C:$FB,97)</f>
        <v>25</v>
      </c>
      <c r="M148" s="92">
        <f>VLOOKUP($A148,'Data Vlaue (Cr)'!$C:$FB,98)</f>
        <v>6.3200000000000006E-2</v>
      </c>
      <c r="N148" s="91">
        <f>VLOOKUP($A148,'Data Vlaue (Cr)'!$C:$FB,79)</f>
        <v>2819</v>
      </c>
      <c r="O148" s="92">
        <f>VLOOKUP($A148,'Data Vlaue (Cr)'!$C:$FB,82)</f>
        <v>8.3999999999999995E-3</v>
      </c>
    </row>
    <row r="149" spans="1:15" x14ac:dyDescent="0.25">
      <c r="A149" s="97" t="str">
        <f>'Data Vlaue (Cr)'!C144</f>
        <v>NTPC</v>
      </c>
      <c r="B149" s="142">
        <f>VLOOKUP(A149,'Data Vlaue (Cr)'!C144:CW357,99,0)</f>
        <v>4346</v>
      </c>
      <c r="C149" s="90">
        <f>VLOOKUP(A149,'Data Vlaue (Cr)'!C144:CY357,101,0)</f>
        <v>221</v>
      </c>
      <c r="D149" s="139">
        <f>VLOOKUP(A149,'Data Vlaue (Cr)'!C144:CZ357,102,0)</f>
        <v>5.3499999999999999E-2</v>
      </c>
      <c r="E149" s="91">
        <f>VLOOKUP($A149,'Data Vlaue (Cr)'!$C:$FB,75)</f>
        <v>2953</v>
      </c>
      <c r="F149" s="91">
        <f>VLOOKUP($A149,'Data Vlaue (Cr)'!$C:$FB,77)</f>
        <v>0</v>
      </c>
      <c r="G149" s="92">
        <f>VLOOKUP(A149,'Data Vlaue (Cr)'!C144:CB357,78,0)</f>
        <v>0</v>
      </c>
      <c r="H149" s="91">
        <f>VLOOKUP($A149,'Data Vlaue (Cr)'!$C:$FB,91)</f>
        <v>748</v>
      </c>
      <c r="I149" s="91">
        <f>VLOOKUP($A149,'Data Vlaue (Cr)'!$C:$FB,93)</f>
        <v>114</v>
      </c>
      <c r="J149" s="92">
        <f>VLOOKUP($A149,'Data Vlaue (Cr)'!$C:$FB,94)</f>
        <v>0.17899999999999999</v>
      </c>
      <c r="K149" s="91">
        <f>VLOOKUP($A149,'Data Vlaue (Cr)'!$C:$FB,95)</f>
        <v>645</v>
      </c>
      <c r="L149" s="91">
        <f>VLOOKUP($A149,'Data Vlaue (Cr)'!$C:$FB,97)</f>
        <v>107</v>
      </c>
      <c r="M149" s="92">
        <f>VLOOKUP($A149,'Data Vlaue (Cr)'!$C:$FB,98)</f>
        <v>0.1991</v>
      </c>
      <c r="N149" s="91">
        <f>VLOOKUP($A149,'Data Vlaue (Cr)'!$C:$FB,79)</f>
        <v>2713</v>
      </c>
      <c r="O149" s="92">
        <f>VLOOKUP($A149,'Data Vlaue (Cr)'!$C:$FB,82)</f>
        <v>-1.37E-2</v>
      </c>
    </row>
    <row r="150" spans="1:15" x14ac:dyDescent="0.25">
      <c r="A150" s="97" t="str">
        <f>'Data Vlaue (Cr)'!C145</f>
        <v>NUVAMA</v>
      </c>
      <c r="B150" s="142">
        <f>VLOOKUP(A150,'Data Vlaue (Cr)'!C145:CW358,99,0)</f>
        <v>611</v>
      </c>
      <c r="C150" s="90">
        <f>VLOOKUP(A150,'Data Vlaue (Cr)'!C145:CY358,101,0)</f>
        <v>16</v>
      </c>
      <c r="D150" s="139">
        <f>VLOOKUP(A150,'Data Vlaue (Cr)'!C145:CZ358,102,0)</f>
        <v>2.6800000000000001E-2</v>
      </c>
      <c r="E150" s="91">
        <f>VLOOKUP($A150,'Data Vlaue (Cr)'!$C:$FB,75)</f>
        <v>345</v>
      </c>
      <c r="F150" s="91">
        <f>VLOOKUP($A150,'Data Vlaue (Cr)'!$C:$FB,77)</f>
        <v>-4</v>
      </c>
      <c r="G150" s="92">
        <f>VLOOKUP(A150,'Data Vlaue (Cr)'!C145:CB358,78,0)</f>
        <v>-1.09E-2</v>
      </c>
      <c r="H150" s="91">
        <f>VLOOKUP($A150,'Data Vlaue (Cr)'!$C:$FB,91)</f>
        <v>176</v>
      </c>
      <c r="I150" s="91">
        <f>VLOOKUP($A150,'Data Vlaue (Cr)'!$C:$FB,93)</f>
        <v>17</v>
      </c>
      <c r="J150" s="92">
        <f>VLOOKUP($A150,'Data Vlaue (Cr)'!$C:$FB,94)</f>
        <v>0.1074</v>
      </c>
      <c r="K150" s="91">
        <f>VLOOKUP($A150,'Data Vlaue (Cr)'!$C:$FB,95)</f>
        <v>90</v>
      </c>
      <c r="L150" s="91">
        <f>VLOOKUP($A150,'Data Vlaue (Cr)'!$C:$FB,97)</f>
        <v>3</v>
      </c>
      <c r="M150" s="92">
        <f>VLOOKUP($A150,'Data Vlaue (Cr)'!$C:$FB,98)</f>
        <v>3.09E-2</v>
      </c>
      <c r="N150" s="91">
        <f>VLOOKUP($A150,'Data Vlaue (Cr)'!$C:$FB,79)</f>
        <v>340</v>
      </c>
      <c r="O150" s="92">
        <f>VLOOKUP($A150,'Data Vlaue (Cr)'!$C:$FB,82)</f>
        <v>-1.1900000000000001E-2</v>
      </c>
    </row>
    <row r="151" spans="1:15" x14ac:dyDescent="0.25">
      <c r="A151" s="97" t="str">
        <f>'Data Vlaue (Cr)'!C146</f>
        <v>NYKAA</v>
      </c>
      <c r="B151" s="142">
        <f>VLOOKUP(A151,'Data Vlaue (Cr)'!C146:CW359,99,0)</f>
        <v>1613</v>
      </c>
      <c r="C151" s="90">
        <f>VLOOKUP(A151,'Data Vlaue (Cr)'!C146:CY359,101,0)</f>
        <v>-18</v>
      </c>
      <c r="D151" s="139">
        <f>VLOOKUP(A151,'Data Vlaue (Cr)'!C146:CZ359,102,0)</f>
        <v>-1.0999999999999999E-2</v>
      </c>
      <c r="E151" s="91">
        <f>VLOOKUP($A151,'Data Vlaue (Cr)'!$C:$FB,75)</f>
        <v>1258</v>
      </c>
      <c r="F151" s="91">
        <f>VLOOKUP($A151,'Data Vlaue (Cr)'!$C:$FB,77)</f>
        <v>3</v>
      </c>
      <c r="G151" s="92">
        <f>VLOOKUP(A151,'Data Vlaue (Cr)'!C146:CB359,78,0)</f>
        <v>2.5000000000000001E-3</v>
      </c>
      <c r="H151" s="91">
        <f>VLOOKUP($A151,'Data Vlaue (Cr)'!$C:$FB,91)</f>
        <v>214</v>
      </c>
      <c r="I151" s="91">
        <f>VLOOKUP($A151,'Data Vlaue (Cr)'!$C:$FB,93)</f>
        <v>-20</v>
      </c>
      <c r="J151" s="92">
        <f>VLOOKUP($A151,'Data Vlaue (Cr)'!$C:$FB,94)</f>
        <v>-8.6300000000000002E-2</v>
      </c>
      <c r="K151" s="91">
        <f>VLOOKUP($A151,'Data Vlaue (Cr)'!$C:$FB,95)</f>
        <v>140</v>
      </c>
      <c r="L151" s="91">
        <f>VLOOKUP($A151,'Data Vlaue (Cr)'!$C:$FB,97)</f>
        <v>-1</v>
      </c>
      <c r="M151" s="92">
        <f>VLOOKUP($A151,'Data Vlaue (Cr)'!$C:$FB,98)</f>
        <v>-5.8999999999999999E-3</v>
      </c>
      <c r="N151" s="91">
        <f>VLOOKUP($A151,'Data Vlaue (Cr)'!$C:$FB,79)</f>
        <v>1235</v>
      </c>
      <c r="O151" s="92">
        <f>VLOOKUP($A151,'Data Vlaue (Cr)'!$C:$FB,82)</f>
        <v>1.2999999999999999E-3</v>
      </c>
    </row>
    <row r="152" spans="1:15" x14ac:dyDescent="0.25">
      <c r="A152" s="97" t="str">
        <f>'Data Vlaue (Cr)'!C147</f>
        <v>OBEROIRLTY</v>
      </c>
      <c r="B152" s="142">
        <f>VLOOKUP(A152,'Data Vlaue (Cr)'!C147:CW360,99,0)</f>
        <v>887</v>
      </c>
      <c r="C152" s="90">
        <f>VLOOKUP(A152,'Data Vlaue (Cr)'!C147:CY360,101,0)</f>
        <v>18</v>
      </c>
      <c r="D152" s="139">
        <f>VLOOKUP(A152,'Data Vlaue (Cr)'!C147:CZ360,102,0)</f>
        <v>2.0500000000000001E-2</v>
      </c>
      <c r="E152" s="91">
        <f>VLOOKUP($A152,'Data Vlaue (Cr)'!$C:$FB,75)</f>
        <v>685</v>
      </c>
      <c r="F152" s="91">
        <f>VLOOKUP($A152,'Data Vlaue (Cr)'!$C:$FB,77)</f>
        <v>-4</v>
      </c>
      <c r="G152" s="92">
        <f>VLOOKUP(A152,'Data Vlaue (Cr)'!C147:CB360,78,0)</f>
        <v>-6.4000000000000003E-3</v>
      </c>
      <c r="H152" s="91">
        <f>VLOOKUP($A152,'Data Vlaue (Cr)'!$C:$FB,91)</f>
        <v>105</v>
      </c>
      <c r="I152" s="91">
        <f>VLOOKUP($A152,'Data Vlaue (Cr)'!$C:$FB,93)</f>
        <v>17</v>
      </c>
      <c r="J152" s="92">
        <f>VLOOKUP($A152,'Data Vlaue (Cr)'!$C:$FB,94)</f>
        <v>0.18740000000000001</v>
      </c>
      <c r="K152" s="91">
        <f>VLOOKUP($A152,'Data Vlaue (Cr)'!$C:$FB,95)</f>
        <v>97</v>
      </c>
      <c r="L152" s="91">
        <f>VLOOKUP($A152,'Data Vlaue (Cr)'!$C:$FB,97)</f>
        <v>6</v>
      </c>
      <c r="M152" s="92">
        <f>VLOOKUP($A152,'Data Vlaue (Cr)'!$C:$FB,98)</f>
        <v>6.1499999999999999E-2</v>
      </c>
      <c r="N152" s="91">
        <f>VLOOKUP($A152,'Data Vlaue (Cr)'!$C:$FB,79)</f>
        <v>676</v>
      </c>
      <c r="O152" s="92">
        <f>VLOOKUP($A152,'Data Vlaue (Cr)'!$C:$FB,82)</f>
        <v>-8.3000000000000001E-3</v>
      </c>
    </row>
    <row r="153" spans="1:15" x14ac:dyDescent="0.25">
      <c r="A153" s="97" t="str">
        <f>'Data Vlaue (Cr)'!C148</f>
        <v>OFSS</v>
      </c>
      <c r="B153" s="142">
        <f>VLOOKUP(A153,'Data Vlaue (Cr)'!C148:CW361,99,0)</f>
        <v>1490</v>
      </c>
      <c r="C153" s="90">
        <f>VLOOKUP(A153,'Data Vlaue (Cr)'!C148:CY361,101,0)</f>
        <v>47</v>
      </c>
      <c r="D153" s="139">
        <f>VLOOKUP(A153,'Data Vlaue (Cr)'!C148:CZ361,102,0)</f>
        <v>3.2399999999999998E-2</v>
      </c>
      <c r="E153" s="91">
        <f>VLOOKUP($A153,'Data Vlaue (Cr)'!$C:$FB,75)</f>
        <v>1042</v>
      </c>
      <c r="F153" s="91">
        <f>VLOOKUP($A153,'Data Vlaue (Cr)'!$C:$FB,77)</f>
        <v>6</v>
      </c>
      <c r="G153" s="92">
        <f>VLOOKUP(A153,'Data Vlaue (Cr)'!C148:CB361,78,0)</f>
        <v>5.4999999999999997E-3</v>
      </c>
      <c r="H153" s="91">
        <f>VLOOKUP($A153,'Data Vlaue (Cr)'!$C:$FB,91)</f>
        <v>241</v>
      </c>
      <c r="I153" s="91">
        <f>VLOOKUP($A153,'Data Vlaue (Cr)'!$C:$FB,93)</f>
        <v>29</v>
      </c>
      <c r="J153" s="92">
        <f>VLOOKUP($A153,'Data Vlaue (Cr)'!$C:$FB,94)</f>
        <v>0.1386</v>
      </c>
      <c r="K153" s="91">
        <f>VLOOKUP($A153,'Data Vlaue (Cr)'!$C:$FB,95)</f>
        <v>206</v>
      </c>
      <c r="L153" s="91">
        <f>VLOOKUP($A153,'Data Vlaue (Cr)'!$C:$FB,97)</f>
        <v>12</v>
      </c>
      <c r="M153" s="92">
        <f>VLOOKUP($A153,'Data Vlaue (Cr)'!$C:$FB,98)</f>
        <v>5.9499999999999997E-2</v>
      </c>
      <c r="N153" s="91">
        <f>VLOOKUP($A153,'Data Vlaue (Cr)'!$C:$FB,79)</f>
        <v>1019</v>
      </c>
      <c r="O153" s="92">
        <f>VLOOKUP($A153,'Data Vlaue (Cr)'!$C:$FB,82)</f>
        <v>4.4999999999999997E-3</v>
      </c>
    </row>
    <row r="154" spans="1:15" x14ac:dyDescent="0.25">
      <c r="A154" s="97" t="str">
        <f>'Data Vlaue (Cr)'!C149</f>
        <v>OIL</v>
      </c>
      <c r="B154" s="142">
        <f>VLOOKUP(A154,'Data Vlaue (Cr)'!C149:CW362,99,0)</f>
        <v>774</v>
      </c>
      <c r="C154" s="90">
        <f>VLOOKUP(A154,'Data Vlaue (Cr)'!C149:CY362,101,0)</f>
        <v>13</v>
      </c>
      <c r="D154" s="139">
        <f>VLOOKUP(A154,'Data Vlaue (Cr)'!C149:CZ362,102,0)</f>
        <v>1.77E-2</v>
      </c>
      <c r="E154" s="91">
        <f>VLOOKUP($A154,'Data Vlaue (Cr)'!$C:$FB,75)</f>
        <v>508</v>
      </c>
      <c r="F154" s="91">
        <f>VLOOKUP($A154,'Data Vlaue (Cr)'!$C:$FB,77)</f>
        <v>1</v>
      </c>
      <c r="G154" s="92">
        <f>VLOOKUP(A154,'Data Vlaue (Cr)'!C149:CB362,78,0)</f>
        <v>2.5999999999999999E-3</v>
      </c>
      <c r="H154" s="91">
        <f>VLOOKUP($A154,'Data Vlaue (Cr)'!$C:$FB,91)</f>
        <v>174</v>
      </c>
      <c r="I154" s="91">
        <f>VLOOKUP($A154,'Data Vlaue (Cr)'!$C:$FB,93)</f>
        <v>7</v>
      </c>
      <c r="J154" s="92">
        <f>VLOOKUP($A154,'Data Vlaue (Cr)'!$C:$FB,94)</f>
        <v>4.2799999999999998E-2</v>
      </c>
      <c r="K154" s="91">
        <f>VLOOKUP($A154,'Data Vlaue (Cr)'!$C:$FB,95)</f>
        <v>92</v>
      </c>
      <c r="L154" s="91">
        <f>VLOOKUP($A154,'Data Vlaue (Cr)'!$C:$FB,97)</f>
        <v>5</v>
      </c>
      <c r="M154" s="92">
        <f>VLOOKUP($A154,'Data Vlaue (Cr)'!$C:$FB,98)</f>
        <v>5.7200000000000001E-2</v>
      </c>
      <c r="N154" s="91">
        <f>VLOOKUP($A154,'Data Vlaue (Cr)'!$C:$FB,79)</f>
        <v>492</v>
      </c>
      <c r="O154" s="92">
        <f>VLOOKUP($A154,'Data Vlaue (Cr)'!$C:$FB,82)</f>
        <v>2.8999999999999998E-3</v>
      </c>
    </row>
    <row r="155" spans="1:15" x14ac:dyDescent="0.25">
      <c r="A155" s="97" t="str">
        <f>'Data Vlaue (Cr)'!C150</f>
        <v>ONGC</v>
      </c>
      <c r="B155" s="142">
        <f>VLOOKUP(A155,'Data Vlaue (Cr)'!C150:CW363,99,0)</f>
        <v>4051</v>
      </c>
      <c r="C155" s="90">
        <f>VLOOKUP(A155,'Data Vlaue (Cr)'!C150:CY363,101,0)</f>
        <v>344</v>
      </c>
      <c r="D155" s="139">
        <f>VLOOKUP(A155,'Data Vlaue (Cr)'!C150:CZ363,102,0)</f>
        <v>9.2799999999999994E-2</v>
      </c>
      <c r="E155" s="91">
        <f>VLOOKUP($A155,'Data Vlaue (Cr)'!$C:$FB,75)</f>
        <v>2777</v>
      </c>
      <c r="F155" s="91">
        <f>VLOOKUP($A155,'Data Vlaue (Cr)'!$C:$FB,77)</f>
        <v>48</v>
      </c>
      <c r="G155" s="92">
        <f>VLOOKUP(A155,'Data Vlaue (Cr)'!C150:CB363,78,0)</f>
        <v>1.7600000000000001E-2</v>
      </c>
      <c r="H155" s="91">
        <f>VLOOKUP($A155,'Data Vlaue (Cr)'!$C:$FB,91)</f>
        <v>819</v>
      </c>
      <c r="I155" s="91">
        <f>VLOOKUP($A155,'Data Vlaue (Cr)'!$C:$FB,93)</f>
        <v>273</v>
      </c>
      <c r="J155" s="92">
        <f>VLOOKUP($A155,'Data Vlaue (Cr)'!$C:$FB,94)</f>
        <v>0.50139999999999996</v>
      </c>
      <c r="K155" s="91">
        <f>VLOOKUP($A155,'Data Vlaue (Cr)'!$C:$FB,95)</f>
        <v>455</v>
      </c>
      <c r="L155" s="91">
        <f>VLOOKUP($A155,'Data Vlaue (Cr)'!$C:$FB,97)</f>
        <v>22</v>
      </c>
      <c r="M155" s="92">
        <f>VLOOKUP($A155,'Data Vlaue (Cr)'!$C:$FB,98)</f>
        <v>5.1499999999999997E-2</v>
      </c>
      <c r="N155" s="91">
        <f>VLOOKUP($A155,'Data Vlaue (Cr)'!$C:$FB,79)</f>
        <v>2722</v>
      </c>
      <c r="O155" s="92">
        <f>VLOOKUP($A155,'Data Vlaue (Cr)'!$C:$FB,82)</f>
        <v>1.6899999999999998E-2</v>
      </c>
    </row>
    <row r="156" spans="1:15" x14ac:dyDescent="0.25">
      <c r="A156" s="97" t="str">
        <f>'Data Vlaue (Cr)'!C151</f>
        <v>PAGEIND</v>
      </c>
      <c r="B156" s="142">
        <f>VLOOKUP(A156,'Data Vlaue (Cr)'!C151:CW364,99,0)</f>
        <v>1109</v>
      </c>
      <c r="C156" s="90">
        <f>VLOOKUP(A156,'Data Vlaue (Cr)'!C151:CY364,101,0)</f>
        <v>52</v>
      </c>
      <c r="D156" s="139">
        <f>VLOOKUP(A156,'Data Vlaue (Cr)'!C151:CZ364,102,0)</f>
        <v>4.9200000000000001E-2</v>
      </c>
      <c r="E156" s="91">
        <f>VLOOKUP($A156,'Data Vlaue (Cr)'!$C:$FB,75)</f>
        <v>861</v>
      </c>
      <c r="F156" s="91">
        <f>VLOOKUP($A156,'Data Vlaue (Cr)'!$C:$FB,77)</f>
        <v>7</v>
      </c>
      <c r="G156" s="92">
        <f>VLOOKUP(A156,'Data Vlaue (Cr)'!C151:CB364,78,0)</f>
        <v>8.6999999999999994E-3</v>
      </c>
      <c r="H156" s="91">
        <f>VLOOKUP($A156,'Data Vlaue (Cr)'!$C:$FB,91)</f>
        <v>154</v>
      </c>
      <c r="I156" s="91">
        <f>VLOOKUP($A156,'Data Vlaue (Cr)'!$C:$FB,93)</f>
        <v>40</v>
      </c>
      <c r="J156" s="92">
        <f>VLOOKUP($A156,'Data Vlaue (Cr)'!$C:$FB,94)</f>
        <v>0.35070000000000001</v>
      </c>
      <c r="K156" s="91">
        <f>VLOOKUP($A156,'Data Vlaue (Cr)'!$C:$FB,95)</f>
        <v>94</v>
      </c>
      <c r="L156" s="91">
        <f>VLOOKUP($A156,'Data Vlaue (Cr)'!$C:$FB,97)</f>
        <v>5</v>
      </c>
      <c r="M156" s="92">
        <f>VLOOKUP($A156,'Data Vlaue (Cr)'!$C:$FB,98)</f>
        <v>5.1499999999999997E-2</v>
      </c>
      <c r="N156" s="91">
        <f>VLOOKUP($A156,'Data Vlaue (Cr)'!$C:$FB,79)</f>
        <v>828</v>
      </c>
      <c r="O156" s="92">
        <f>VLOOKUP($A156,'Data Vlaue (Cr)'!$C:$FB,82)</f>
        <v>5.8999999999999999E-3</v>
      </c>
    </row>
    <row r="157" spans="1:15" x14ac:dyDescent="0.25">
      <c r="A157" s="97" t="str">
        <f>'Data Vlaue (Cr)'!C152</f>
        <v>PATANJALI</v>
      </c>
      <c r="B157" s="142">
        <f>VLOOKUP(A157,'Data Vlaue (Cr)'!C152:CW365,99,0)</f>
        <v>2374</v>
      </c>
      <c r="C157" s="90">
        <f>VLOOKUP(A157,'Data Vlaue (Cr)'!C152:CY365,101,0)</f>
        <v>3</v>
      </c>
      <c r="D157" s="139">
        <f>VLOOKUP(A157,'Data Vlaue (Cr)'!C152:CZ365,102,0)</f>
        <v>1.5E-3</v>
      </c>
      <c r="E157" s="91">
        <f>VLOOKUP($A157,'Data Vlaue (Cr)'!$C:$FB,75)</f>
        <v>2132</v>
      </c>
      <c r="F157" s="91">
        <f>VLOOKUP($A157,'Data Vlaue (Cr)'!$C:$FB,77)</f>
        <v>4</v>
      </c>
      <c r="G157" s="92">
        <f>VLOOKUP(A157,'Data Vlaue (Cr)'!C152:CB365,78,0)</f>
        <v>1.9E-3</v>
      </c>
      <c r="H157" s="91">
        <f>VLOOKUP($A157,'Data Vlaue (Cr)'!$C:$FB,91)</f>
        <v>139</v>
      </c>
      <c r="I157" s="91">
        <f>VLOOKUP($A157,'Data Vlaue (Cr)'!$C:$FB,93)</f>
        <v>-1</v>
      </c>
      <c r="J157" s="92">
        <f>VLOOKUP($A157,'Data Vlaue (Cr)'!$C:$FB,94)</f>
        <v>-1.06E-2</v>
      </c>
      <c r="K157" s="91">
        <f>VLOOKUP($A157,'Data Vlaue (Cr)'!$C:$FB,95)</f>
        <v>102</v>
      </c>
      <c r="L157" s="91">
        <f>VLOOKUP($A157,'Data Vlaue (Cr)'!$C:$FB,97)</f>
        <v>1</v>
      </c>
      <c r="M157" s="92">
        <f>VLOOKUP($A157,'Data Vlaue (Cr)'!$C:$FB,98)</f>
        <v>8.3000000000000001E-3</v>
      </c>
      <c r="N157" s="91">
        <f>VLOOKUP($A157,'Data Vlaue (Cr)'!$C:$FB,79)</f>
        <v>2121</v>
      </c>
      <c r="O157" s="92">
        <f>VLOOKUP($A157,'Data Vlaue (Cr)'!$C:$FB,82)</f>
        <v>1.6000000000000001E-3</v>
      </c>
    </row>
    <row r="158" spans="1:15" x14ac:dyDescent="0.25">
      <c r="A158" s="97" t="str">
        <f>'Data Vlaue (Cr)'!C153</f>
        <v>PAYTM</v>
      </c>
      <c r="B158" s="142">
        <f>VLOOKUP(A158,'Data Vlaue (Cr)'!C153:CW366,99,0)</f>
        <v>2989</v>
      </c>
      <c r="C158" s="90">
        <f>VLOOKUP(A158,'Data Vlaue (Cr)'!C153:CY366,101,0)</f>
        <v>91</v>
      </c>
      <c r="D158" s="139">
        <f>VLOOKUP(A158,'Data Vlaue (Cr)'!C153:CZ366,102,0)</f>
        <v>3.1600000000000003E-2</v>
      </c>
      <c r="E158" s="91">
        <f>VLOOKUP($A158,'Data Vlaue (Cr)'!$C:$FB,75)</f>
        <v>2254</v>
      </c>
      <c r="F158" s="91">
        <f>VLOOKUP($A158,'Data Vlaue (Cr)'!$C:$FB,77)</f>
        <v>19</v>
      </c>
      <c r="G158" s="92">
        <f>VLOOKUP(A158,'Data Vlaue (Cr)'!C153:CB366,78,0)</f>
        <v>8.3000000000000001E-3</v>
      </c>
      <c r="H158" s="91">
        <f>VLOOKUP($A158,'Data Vlaue (Cr)'!$C:$FB,91)</f>
        <v>426</v>
      </c>
      <c r="I158" s="91">
        <f>VLOOKUP($A158,'Data Vlaue (Cr)'!$C:$FB,93)</f>
        <v>34</v>
      </c>
      <c r="J158" s="92">
        <f>VLOOKUP($A158,'Data Vlaue (Cr)'!$C:$FB,94)</f>
        <v>8.5500000000000007E-2</v>
      </c>
      <c r="K158" s="91">
        <f>VLOOKUP($A158,'Data Vlaue (Cr)'!$C:$FB,95)</f>
        <v>308</v>
      </c>
      <c r="L158" s="91">
        <f>VLOOKUP($A158,'Data Vlaue (Cr)'!$C:$FB,97)</f>
        <v>39</v>
      </c>
      <c r="M158" s="92">
        <f>VLOOKUP($A158,'Data Vlaue (Cr)'!$C:$FB,98)</f>
        <v>0.14610000000000001</v>
      </c>
      <c r="N158" s="91">
        <f>VLOOKUP($A158,'Data Vlaue (Cr)'!$C:$FB,79)</f>
        <v>2227</v>
      </c>
      <c r="O158" s="92">
        <f>VLOOKUP($A158,'Data Vlaue (Cr)'!$C:$FB,82)</f>
        <v>7.7999999999999996E-3</v>
      </c>
    </row>
    <row r="159" spans="1:15" x14ac:dyDescent="0.25">
      <c r="A159" s="97" t="str">
        <f>'Data Vlaue (Cr)'!C154</f>
        <v>PERSISTENT</v>
      </c>
      <c r="B159" s="142">
        <f>VLOOKUP(A159,'Data Vlaue (Cr)'!C154:CW367,99,0)</f>
        <v>1942</v>
      </c>
      <c r="C159" s="90">
        <f>VLOOKUP(A159,'Data Vlaue (Cr)'!C154:CY367,101,0)</f>
        <v>51</v>
      </c>
      <c r="D159" s="139">
        <f>VLOOKUP(A159,'Data Vlaue (Cr)'!C154:CZ367,102,0)</f>
        <v>2.7199999999999998E-2</v>
      </c>
      <c r="E159" s="91">
        <f>VLOOKUP($A159,'Data Vlaue (Cr)'!$C:$FB,75)</f>
        <v>1446</v>
      </c>
      <c r="F159" s="91">
        <f>VLOOKUP($A159,'Data Vlaue (Cr)'!$C:$FB,77)</f>
        <v>-7</v>
      </c>
      <c r="G159" s="92">
        <f>VLOOKUP(A159,'Data Vlaue (Cr)'!C154:CB367,78,0)</f>
        <v>-4.7000000000000002E-3</v>
      </c>
      <c r="H159" s="91">
        <f>VLOOKUP($A159,'Data Vlaue (Cr)'!$C:$FB,91)</f>
        <v>288</v>
      </c>
      <c r="I159" s="91">
        <f>VLOOKUP($A159,'Data Vlaue (Cr)'!$C:$FB,93)</f>
        <v>31</v>
      </c>
      <c r="J159" s="92">
        <f>VLOOKUP($A159,'Data Vlaue (Cr)'!$C:$FB,94)</f>
        <v>0.12139999999999999</v>
      </c>
      <c r="K159" s="91">
        <f>VLOOKUP($A159,'Data Vlaue (Cr)'!$C:$FB,95)</f>
        <v>208</v>
      </c>
      <c r="L159" s="91">
        <f>VLOOKUP($A159,'Data Vlaue (Cr)'!$C:$FB,97)</f>
        <v>27</v>
      </c>
      <c r="M159" s="92">
        <f>VLOOKUP($A159,'Data Vlaue (Cr)'!$C:$FB,98)</f>
        <v>0.14979999999999999</v>
      </c>
      <c r="N159" s="91">
        <f>VLOOKUP($A159,'Data Vlaue (Cr)'!$C:$FB,79)</f>
        <v>1360</v>
      </c>
      <c r="O159" s="92">
        <f>VLOOKUP($A159,'Data Vlaue (Cr)'!$C:$FB,82)</f>
        <v>-5.4999999999999997E-3</v>
      </c>
    </row>
    <row r="160" spans="1:15" x14ac:dyDescent="0.25">
      <c r="A160" s="97" t="str">
        <f>'Data Vlaue (Cr)'!C155</f>
        <v>PETRONET</v>
      </c>
      <c r="B160" s="142">
        <f>VLOOKUP(A160,'Data Vlaue (Cr)'!C155:CW368,99,0)</f>
        <v>2158</v>
      </c>
      <c r="C160" s="90">
        <f>VLOOKUP(A160,'Data Vlaue (Cr)'!C155:CY368,101,0)</f>
        <v>4</v>
      </c>
      <c r="D160" s="139">
        <f>VLOOKUP(A160,'Data Vlaue (Cr)'!C155:CZ368,102,0)</f>
        <v>1.6000000000000001E-3</v>
      </c>
      <c r="E160" s="91">
        <f>VLOOKUP($A160,'Data Vlaue (Cr)'!$C:$FB,75)</f>
        <v>1304</v>
      </c>
      <c r="F160" s="91">
        <f>VLOOKUP($A160,'Data Vlaue (Cr)'!$C:$FB,77)</f>
        <v>6</v>
      </c>
      <c r="G160" s="92">
        <f>VLOOKUP(A160,'Data Vlaue (Cr)'!C155:CB368,78,0)</f>
        <v>4.7999999999999996E-3</v>
      </c>
      <c r="H160" s="91">
        <f>VLOOKUP($A160,'Data Vlaue (Cr)'!$C:$FB,91)</f>
        <v>329</v>
      </c>
      <c r="I160" s="91">
        <f>VLOOKUP($A160,'Data Vlaue (Cr)'!$C:$FB,93)</f>
        <v>-17</v>
      </c>
      <c r="J160" s="92">
        <f>VLOOKUP($A160,'Data Vlaue (Cr)'!$C:$FB,94)</f>
        <v>-5.0200000000000002E-2</v>
      </c>
      <c r="K160" s="91">
        <f>VLOOKUP($A160,'Data Vlaue (Cr)'!$C:$FB,95)</f>
        <v>525</v>
      </c>
      <c r="L160" s="91">
        <f>VLOOKUP($A160,'Data Vlaue (Cr)'!$C:$FB,97)</f>
        <v>15</v>
      </c>
      <c r="M160" s="92">
        <f>VLOOKUP($A160,'Data Vlaue (Cr)'!$C:$FB,98)</f>
        <v>2.87E-2</v>
      </c>
      <c r="N160" s="91">
        <f>VLOOKUP($A160,'Data Vlaue (Cr)'!$C:$FB,79)</f>
        <v>1253</v>
      </c>
      <c r="O160" s="92">
        <f>VLOOKUP($A160,'Data Vlaue (Cr)'!$C:$FB,82)</f>
        <v>5.1999999999999998E-3</v>
      </c>
    </row>
    <row r="161" spans="1:15" x14ac:dyDescent="0.25">
      <c r="A161" s="97" t="str">
        <f>'Data Vlaue (Cr)'!C156</f>
        <v>PFC</v>
      </c>
      <c r="B161" s="142">
        <f>VLOOKUP(A161,'Data Vlaue (Cr)'!C156:CW369,99,0)</f>
        <v>4739</v>
      </c>
      <c r="C161" s="90">
        <f>VLOOKUP(A161,'Data Vlaue (Cr)'!C156:CY369,101,0)</f>
        <v>193</v>
      </c>
      <c r="D161" s="139">
        <f>VLOOKUP(A161,'Data Vlaue (Cr)'!C156:CZ369,102,0)</f>
        <v>4.2500000000000003E-2</v>
      </c>
      <c r="E161" s="91">
        <f>VLOOKUP($A161,'Data Vlaue (Cr)'!$C:$FB,75)</f>
        <v>2903</v>
      </c>
      <c r="F161" s="91">
        <f>VLOOKUP($A161,'Data Vlaue (Cr)'!$C:$FB,77)</f>
        <v>-8</v>
      </c>
      <c r="G161" s="92">
        <f>VLOOKUP(A161,'Data Vlaue (Cr)'!C156:CB369,78,0)</f>
        <v>-2.8999999999999998E-3</v>
      </c>
      <c r="H161" s="91">
        <f>VLOOKUP($A161,'Data Vlaue (Cr)'!$C:$FB,91)</f>
        <v>1027</v>
      </c>
      <c r="I161" s="91">
        <f>VLOOKUP($A161,'Data Vlaue (Cr)'!$C:$FB,93)</f>
        <v>139</v>
      </c>
      <c r="J161" s="92">
        <f>VLOOKUP($A161,'Data Vlaue (Cr)'!$C:$FB,94)</f>
        <v>0.157</v>
      </c>
      <c r="K161" s="91">
        <f>VLOOKUP($A161,'Data Vlaue (Cr)'!$C:$FB,95)</f>
        <v>809</v>
      </c>
      <c r="L161" s="91">
        <f>VLOOKUP($A161,'Data Vlaue (Cr)'!$C:$FB,97)</f>
        <v>62</v>
      </c>
      <c r="M161" s="92">
        <f>VLOOKUP($A161,'Data Vlaue (Cr)'!$C:$FB,98)</f>
        <v>8.3599999999999994E-2</v>
      </c>
      <c r="N161" s="91">
        <f>VLOOKUP($A161,'Data Vlaue (Cr)'!$C:$FB,79)</f>
        <v>2758</v>
      </c>
      <c r="O161" s="92">
        <f>VLOOKUP($A161,'Data Vlaue (Cr)'!$C:$FB,82)</f>
        <v>-3.0000000000000001E-3</v>
      </c>
    </row>
    <row r="162" spans="1:15" x14ac:dyDescent="0.25">
      <c r="A162" s="97" t="str">
        <f>'Data Vlaue (Cr)'!C157</f>
        <v>PGEL</v>
      </c>
      <c r="B162" s="142">
        <f>VLOOKUP(A162,'Data Vlaue (Cr)'!C157:CW370,99,0)</f>
        <v>914</v>
      </c>
      <c r="C162" s="90">
        <f>VLOOKUP(A162,'Data Vlaue (Cr)'!C157:CY370,101,0)</f>
        <v>9</v>
      </c>
      <c r="D162" s="139">
        <f>VLOOKUP(A162,'Data Vlaue (Cr)'!C157:CZ370,102,0)</f>
        <v>9.7999999999999997E-3</v>
      </c>
      <c r="E162" s="91">
        <f>VLOOKUP($A162,'Data Vlaue (Cr)'!$C:$FB,75)</f>
        <v>605</v>
      </c>
      <c r="F162" s="91">
        <f>VLOOKUP($A162,'Data Vlaue (Cr)'!$C:$FB,77)</f>
        <v>-7</v>
      </c>
      <c r="G162" s="92">
        <f>VLOOKUP(A162,'Data Vlaue (Cr)'!C157:CB370,78,0)</f>
        <v>-1.09E-2</v>
      </c>
      <c r="H162" s="91">
        <f>VLOOKUP($A162,'Data Vlaue (Cr)'!$C:$FB,91)</f>
        <v>158</v>
      </c>
      <c r="I162" s="91">
        <f>VLOOKUP($A162,'Data Vlaue (Cr)'!$C:$FB,93)</f>
        <v>7</v>
      </c>
      <c r="J162" s="92">
        <f>VLOOKUP($A162,'Data Vlaue (Cr)'!$C:$FB,94)</f>
        <v>4.8500000000000001E-2</v>
      </c>
      <c r="K162" s="91">
        <f>VLOOKUP($A162,'Data Vlaue (Cr)'!$C:$FB,95)</f>
        <v>151</v>
      </c>
      <c r="L162" s="91">
        <f>VLOOKUP($A162,'Data Vlaue (Cr)'!$C:$FB,97)</f>
        <v>8</v>
      </c>
      <c r="M162" s="92">
        <f>VLOOKUP($A162,'Data Vlaue (Cr)'!$C:$FB,98)</f>
        <v>5.7799999999999997E-2</v>
      </c>
      <c r="N162" s="91">
        <f>VLOOKUP($A162,'Data Vlaue (Cr)'!$C:$FB,79)</f>
        <v>588</v>
      </c>
      <c r="O162" s="92">
        <f>VLOOKUP($A162,'Data Vlaue (Cr)'!$C:$FB,82)</f>
        <v>-1.15E-2</v>
      </c>
    </row>
    <row r="163" spans="1:15" x14ac:dyDescent="0.25">
      <c r="A163" s="97" t="str">
        <f>'Data Vlaue (Cr)'!C158</f>
        <v>PHOENIXLTD</v>
      </c>
      <c r="B163" s="142">
        <f>VLOOKUP(A163,'Data Vlaue (Cr)'!C158:CW371,99,0)</f>
        <v>690</v>
      </c>
      <c r="C163" s="90">
        <f>VLOOKUP(A163,'Data Vlaue (Cr)'!C158:CY371,101,0)</f>
        <v>6</v>
      </c>
      <c r="D163" s="139">
        <f>VLOOKUP(A163,'Data Vlaue (Cr)'!C158:CZ371,102,0)</f>
        <v>8.5000000000000006E-3</v>
      </c>
      <c r="E163" s="91">
        <f>VLOOKUP($A163,'Data Vlaue (Cr)'!$C:$FB,75)</f>
        <v>570</v>
      </c>
      <c r="F163" s="91">
        <f>VLOOKUP($A163,'Data Vlaue (Cr)'!$C:$FB,77)</f>
        <v>-15</v>
      </c>
      <c r="G163" s="92">
        <f>VLOOKUP(A163,'Data Vlaue (Cr)'!C158:CB371,78,0)</f>
        <v>-2.64E-2</v>
      </c>
      <c r="H163" s="91">
        <f>VLOOKUP($A163,'Data Vlaue (Cr)'!$C:$FB,91)</f>
        <v>78</v>
      </c>
      <c r="I163" s="91">
        <f>VLOOKUP($A163,'Data Vlaue (Cr)'!$C:$FB,93)</f>
        <v>23</v>
      </c>
      <c r="J163" s="92">
        <f>VLOOKUP($A163,'Data Vlaue (Cr)'!$C:$FB,94)</f>
        <v>0.42409999999999998</v>
      </c>
      <c r="K163" s="91">
        <f>VLOOKUP($A163,'Data Vlaue (Cr)'!$C:$FB,95)</f>
        <v>41</v>
      </c>
      <c r="L163" s="91">
        <f>VLOOKUP($A163,'Data Vlaue (Cr)'!$C:$FB,97)</f>
        <v>-2</v>
      </c>
      <c r="M163" s="92">
        <f>VLOOKUP($A163,'Data Vlaue (Cr)'!$C:$FB,98)</f>
        <v>-4.8599999999999997E-2</v>
      </c>
      <c r="N163" s="91">
        <f>VLOOKUP($A163,'Data Vlaue (Cr)'!$C:$FB,79)</f>
        <v>567</v>
      </c>
      <c r="O163" s="92">
        <f>VLOOKUP($A163,'Data Vlaue (Cr)'!$C:$FB,82)</f>
        <v>-2.7E-2</v>
      </c>
    </row>
    <row r="164" spans="1:15" x14ac:dyDescent="0.25">
      <c r="A164" s="97" t="str">
        <f>'Data Vlaue (Cr)'!C159</f>
        <v>PIDILITIND</v>
      </c>
      <c r="B164" s="142">
        <f>VLOOKUP(A164,'Data Vlaue (Cr)'!C159:CW372,99,0)</f>
        <v>1336</v>
      </c>
      <c r="C164" s="90">
        <f>VLOOKUP(A164,'Data Vlaue (Cr)'!C159:CY372,101,0)</f>
        <v>26</v>
      </c>
      <c r="D164" s="139">
        <f>VLOOKUP(A164,'Data Vlaue (Cr)'!C159:CZ372,102,0)</f>
        <v>1.9800000000000002E-2</v>
      </c>
      <c r="E164" s="91">
        <f>VLOOKUP($A164,'Data Vlaue (Cr)'!$C:$FB,75)</f>
        <v>1124</v>
      </c>
      <c r="F164" s="91">
        <f>VLOOKUP($A164,'Data Vlaue (Cr)'!$C:$FB,77)</f>
        <v>14</v>
      </c>
      <c r="G164" s="92">
        <f>VLOOKUP(A164,'Data Vlaue (Cr)'!C159:CB372,78,0)</f>
        <v>1.24E-2</v>
      </c>
      <c r="H164" s="91">
        <f>VLOOKUP($A164,'Data Vlaue (Cr)'!$C:$FB,91)</f>
        <v>112</v>
      </c>
      <c r="I164" s="91">
        <f>VLOOKUP($A164,'Data Vlaue (Cr)'!$C:$FB,93)</f>
        <v>5</v>
      </c>
      <c r="J164" s="92">
        <f>VLOOKUP($A164,'Data Vlaue (Cr)'!$C:$FB,94)</f>
        <v>4.3999999999999997E-2</v>
      </c>
      <c r="K164" s="91">
        <f>VLOOKUP($A164,'Data Vlaue (Cr)'!$C:$FB,95)</f>
        <v>100</v>
      </c>
      <c r="L164" s="91">
        <f>VLOOKUP($A164,'Data Vlaue (Cr)'!$C:$FB,97)</f>
        <v>7</v>
      </c>
      <c r="M164" s="92">
        <f>VLOOKUP($A164,'Data Vlaue (Cr)'!$C:$FB,98)</f>
        <v>8.09E-2</v>
      </c>
      <c r="N164" s="91">
        <f>VLOOKUP($A164,'Data Vlaue (Cr)'!$C:$FB,79)</f>
        <v>1112</v>
      </c>
      <c r="O164" s="92">
        <f>VLOOKUP($A164,'Data Vlaue (Cr)'!$C:$FB,82)</f>
        <v>1.21E-2</v>
      </c>
    </row>
    <row r="165" spans="1:15" x14ac:dyDescent="0.25">
      <c r="A165" s="97" t="str">
        <f>'Data Vlaue (Cr)'!C160</f>
        <v>PIIND</v>
      </c>
      <c r="B165" s="142">
        <f>VLOOKUP(A165,'Data Vlaue (Cr)'!C160:CW373,99,0)</f>
        <v>922</v>
      </c>
      <c r="C165" s="90">
        <f>VLOOKUP(A165,'Data Vlaue (Cr)'!C160:CY373,101,0)</f>
        <v>26</v>
      </c>
      <c r="D165" s="139">
        <f>VLOOKUP(A165,'Data Vlaue (Cr)'!C160:CZ373,102,0)</f>
        <v>2.92E-2</v>
      </c>
      <c r="E165" s="91">
        <f>VLOOKUP($A165,'Data Vlaue (Cr)'!$C:$FB,75)</f>
        <v>726</v>
      </c>
      <c r="F165" s="91">
        <f>VLOOKUP($A165,'Data Vlaue (Cr)'!$C:$FB,77)</f>
        <v>6</v>
      </c>
      <c r="G165" s="92">
        <f>VLOOKUP(A165,'Data Vlaue (Cr)'!C160:CB373,78,0)</f>
        <v>8.9999999999999993E-3</v>
      </c>
      <c r="H165" s="91">
        <f>VLOOKUP($A165,'Data Vlaue (Cr)'!$C:$FB,91)</f>
        <v>105</v>
      </c>
      <c r="I165" s="91">
        <f>VLOOKUP($A165,'Data Vlaue (Cr)'!$C:$FB,93)</f>
        <v>14</v>
      </c>
      <c r="J165" s="92">
        <f>VLOOKUP($A165,'Data Vlaue (Cr)'!$C:$FB,94)</f>
        <v>0.15720000000000001</v>
      </c>
      <c r="K165" s="91">
        <f>VLOOKUP($A165,'Data Vlaue (Cr)'!$C:$FB,95)</f>
        <v>91</v>
      </c>
      <c r="L165" s="91">
        <f>VLOOKUP($A165,'Data Vlaue (Cr)'!$C:$FB,97)</f>
        <v>5</v>
      </c>
      <c r="M165" s="92">
        <f>VLOOKUP($A165,'Data Vlaue (Cr)'!$C:$FB,98)</f>
        <v>6.3399999999999998E-2</v>
      </c>
      <c r="N165" s="91">
        <f>VLOOKUP($A165,'Data Vlaue (Cr)'!$C:$FB,79)</f>
        <v>704</v>
      </c>
      <c r="O165" s="92">
        <f>VLOOKUP($A165,'Data Vlaue (Cr)'!$C:$FB,82)</f>
        <v>3.0999999999999999E-3</v>
      </c>
    </row>
    <row r="166" spans="1:15" x14ac:dyDescent="0.25">
      <c r="A166" s="97" t="str">
        <f>'Data Vlaue (Cr)'!C161</f>
        <v>PNB</v>
      </c>
      <c r="B166" s="142">
        <f>VLOOKUP(A166,'Data Vlaue (Cr)'!C161:CW374,99,0)</f>
        <v>4416</v>
      </c>
      <c r="C166" s="90">
        <f>VLOOKUP(A166,'Data Vlaue (Cr)'!C161:CY374,101,0)</f>
        <v>131</v>
      </c>
      <c r="D166" s="139">
        <f>VLOOKUP(A166,'Data Vlaue (Cr)'!C161:CZ374,102,0)</f>
        <v>3.0599999999999999E-2</v>
      </c>
      <c r="E166" s="91">
        <f>VLOOKUP($A166,'Data Vlaue (Cr)'!$C:$FB,75)</f>
        <v>3009</v>
      </c>
      <c r="F166" s="91">
        <f>VLOOKUP($A166,'Data Vlaue (Cr)'!$C:$FB,77)</f>
        <v>26</v>
      </c>
      <c r="G166" s="92">
        <f>VLOOKUP(A166,'Data Vlaue (Cr)'!C161:CB374,78,0)</f>
        <v>8.6999999999999994E-3</v>
      </c>
      <c r="H166" s="91">
        <f>VLOOKUP($A166,'Data Vlaue (Cr)'!$C:$FB,91)</f>
        <v>697</v>
      </c>
      <c r="I166" s="91">
        <f>VLOOKUP($A166,'Data Vlaue (Cr)'!$C:$FB,93)</f>
        <v>54</v>
      </c>
      <c r="J166" s="92">
        <f>VLOOKUP($A166,'Data Vlaue (Cr)'!$C:$FB,94)</f>
        <v>8.3599999999999994E-2</v>
      </c>
      <c r="K166" s="91">
        <f>VLOOKUP($A166,'Data Vlaue (Cr)'!$C:$FB,95)</f>
        <v>710</v>
      </c>
      <c r="L166" s="91">
        <f>VLOOKUP($A166,'Data Vlaue (Cr)'!$C:$FB,97)</f>
        <v>51</v>
      </c>
      <c r="M166" s="92">
        <f>VLOOKUP($A166,'Data Vlaue (Cr)'!$C:$FB,98)</f>
        <v>7.7899999999999997E-2</v>
      </c>
      <c r="N166" s="91">
        <f>VLOOKUP($A166,'Data Vlaue (Cr)'!$C:$FB,79)</f>
        <v>2925</v>
      </c>
      <c r="O166" s="92">
        <f>VLOOKUP($A166,'Data Vlaue (Cr)'!$C:$FB,82)</f>
        <v>8.5000000000000006E-3</v>
      </c>
    </row>
    <row r="167" spans="1:15" x14ac:dyDescent="0.25">
      <c r="A167" s="97" t="str">
        <f>'Data Vlaue (Cr)'!C162</f>
        <v>PNBHOUSING</v>
      </c>
      <c r="B167" s="142">
        <f>VLOOKUP(A167,'Data Vlaue (Cr)'!C162:CW375,99,0)</f>
        <v>2004</v>
      </c>
      <c r="C167" s="90">
        <f>VLOOKUP(A167,'Data Vlaue (Cr)'!C162:CY375,101,0)</f>
        <v>97</v>
      </c>
      <c r="D167" s="139">
        <f>VLOOKUP(A167,'Data Vlaue (Cr)'!C162:CZ375,102,0)</f>
        <v>5.0700000000000002E-2</v>
      </c>
      <c r="E167" s="91">
        <f>VLOOKUP($A167,'Data Vlaue (Cr)'!$C:$FB,75)</f>
        <v>1536</v>
      </c>
      <c r="F167" s="91">
        <f>VLOOKUP($A167,'Data Vlaue (Cr)'!$C:$FB,77)</f>
        <v>-18</v>
      </c>
      <c r="G167" s="92">
        <f>VLOOKUP(A167,'Data Vlaue (Cr)'!C162:CB375,78,0)</f>
        <v>-1.1599999999999999E-2</v>
      </c>
      <c r="H167" s="91">
        <f>VLOOKUP($A167,'Data Vlaue (Cr)'!$C:$FB,91)</f>
        <v>285</v>
      </c>
      <c r="I167" s="91">
        <f>VLOOKUP($A167,'Data Vlaue (Cr)'!$C:$FB,93)</f>
        <v>65</v>
      </c>
      <c r="J167" s="92">
        <f>VLOOKUP($A167,'Data Vlaue (Cr)'!$C:$FB,94)</f>
        <v>0.29620000000000002</v>
      </c>
      <c r="K167" s="91">
        <f>VLOOKUP($A167,'Data Vlaue (Cr)'!$C:$FB,95)</f>
        <v>183</v>
      </c>
      <c r="L167" s="91">
        <f>VLOOKUP($A167,'Data Vlaue (Cr)'!$C:$FB,97)</f>
        <v>50</v>
      </c>
      <c r="M167" s="92">
        <f>VLOOKUP($A167,'Data Vlaue (Cr)'!$C:$FB,98)</f>
        <v>0.37480000000000002</v>
      </c>
      <c r="N167" s="91">
        <f>VLOOKUP($A167,'Data Vlaue (Cr)'!$C:$FB,79)</f>
        <v>1525</v>
      </c>
      <c r="O167" s="92">
        <f>VLOOKUP($A167,'Data Vlaue (Cr)'!$C:$FB,82)</f>
        <v>-1.2500000000000001E-2</v>
      </c>
    </row>
    <row r="168" spans="1:15" x14ac:dyDescent="0.25">
      <c r="A168" s="97" t="str">
        <f>'Data Vlaue (Cr)'!C163</f>
        <v>POLICYBZR</v>
      </c>
      <c r="B168" s="142">
        <f>VLOOKUP(A168,'Data Vlaue (Cr)'!C163:CW376,99,0)</f>
        <v>1452</v>
      </c>
      <c r="C168" s="90">
        <f>VLOOKUP(A168,'Data Vlaue (Cr)'!C163:CY376,101,0)</f>
        <v>75</v>
      </c>
      <c r="D168" s="139">
        <f>VLOOKUP(A168,'Data Vlaue (Cr)'!C163:CZ376,102,0)</f>
        <v>5.4399999999999997E-2</v>
      </c>
      <c r="E168" s="91">
        <f>VLOOKUP($A168,'Data Vlaue (Cr)'!$C:$FB,75)</f>
        <v>1102</v>
      </c>
      <c r="F168" s="91">
        <f>VLOOKUP($A168,'Data Vlaue (Cr)'!$C:$FB,77)</f>
        <v>8</v>
      </c>
      <c r="G168" s="92">
        <f>VLOOKUP(A168,'Data Vlaue (Cr)'!C163:CB376,78,0)</f>
        <v>7.7000000000000002E-3</v>
      </c>
      <c r="H168" s="91">
        <f>VLOOKUP($A168,'Data Vlaue (Cr)'!$C:$FB,91)</f>
        <v>195</v>
      </c>
      <c r="I168" s="91">
        <f>VLOOKUP($A168,'Data Vlaue (Cr)'!$C:$FB,93)</f>
        <v>34</v>
      </c>
      <c r="J168" s="92">
        <f>VLOOKUP($A168,'Data Vlaue (Cr)'!$C:$FB,94)</f>
        <v>0.2112</v>
      </c>
      <c r="K168" s="91">
        <f>VLOOKUP($A168,'Data Vlaue (Cr)'!$C:$FB,95)</f>
        <v>155</v>
      </c>
      <c r="L168" s="91">
        <f>VLOOKUP($A168,'Data Vlaue (Cr)'!$C:$FB,97)</f>
        <v>33</v>
      </c>
      <c r="M168" s="92">
        <f>VLOOKUP($A168,'Data Vlaue (Cr)'!$C:$FB,98)</f>
        <v>0.26600000000000001</v>
      </c>
      <c r="N168" s="91">
        <f>VLOOKUP($A168,'Data Vlaue (Cr)'!$C:$FB,79)</f>
        <v>1096</v>
      </c>
      <c r="O168" s="92">
        <f>VLOOKUP($A168,'Data Vlaue (Cr)'!$C:$FB,82)</f>
        <v>7.4000000000000003E-3</v>
      </c>
    </row>
    <row r="169" spans="1:15" x14ac:dyDescent="0.25">
      <c r="A169" s="97" t="str">
        <f>'Data Vlaue (Cr)'!C164</f>
        <v>POLYCAB</v>
      </c>
      <c r="B169" s="142">
        <f>VLOOKUP(A169,'Data Vlaue (Cr)'!C164:CW377,99,0)</f>
        <v>2504</v>
      </c>
      <c r="C169" s="90">
        <f>VLOOKUP(A169,'Data Vlaue (Cr)'!C164:CY377,101,0)</f>
        <v>64</v>
      </c>
      <c r="D169" s="139">
        <f>VLOOKUP(A169,'Data Vlaue (Cr)'!C164:CZ377,102,0)</f>
        <v>2.63E-2</v>
      </c>
      <c r="E169" s="91">
        <f>VLOOKUP($A169,'Data Vlaue (Cr)'!$C:$FB,75)</f>
        <v>2040</v>
      </c>
      <c r="F169" s="91">
        <f>VLOOKUP($A169,'Data Vlaue (Cr)'!$C:$FB,77)</f>
        <v>27</v>
      </c>
      <c r="G169" s="92">
        <f>VLOOKUP(A169,'Data Vlaue (Cr)'!C164:CB377,78,0)</f>
        <v>1.32E-2</v>
      </c>
      <c r="H169" s="91">
        <f>VLOOKUP($A169,'Data Vlaue (Cr)'!$C:$FB,91)</f>
        <v>268</v>
      </c>
      <c r="I169" s="91">
        <f>VLOOKUP($A169,'Data Vlaue (Cr)'!$C:$FB,93)</f>
        <v>19</v>
      </c>
      <c r="J169" s="92">
        <f>VLOOKUP($A169,'Data Vlaue (Cr)'!$C:$FB,94)</f>
        <v>7.8600000000000003E-2</v>
      </c>
      <c r="K169" s="91">
        <f>VLOOKUP($A169,'Data Vlaue (Cr)'!$C:$FB,95)</f>
        <v>196</v>
      </c>
      <c r="L169" s="91">
        <f>VLOOKUP($A169,'Data Vlaue (Cr)'!$C:$FB,97)</f>
        <v>18</v>
      </c>
      <c r="M169" s="92">
        <f>VLOOKUP($A169,'Data Vlaue (Cr)'!$C:$FB,98)</f>
        <v>0.1019</v>
      </c>
      <c r="N169" s="91">
        <f>VLOOKUP($A169,'Data Vlaue (Cr)'!$C:$FB,79)</f>
        <v>2017</v>
      </c>
      <c r="O169" s="92">
        <f>VLOOKUP($A169,'Data Vlaue (Cr)'!$C:$FB,82)</f>
        <v>1.24E-2</v>
      </c>
    </row>
    <row r="170" spans="1:15" x14ac:dyDescent="0.25">
      <c r="A170" s="97" t="str">
        <f>'Data Vlaue (Cr)'!C165</f>
        <v>POWERGRID</v>
      </c>
      <c r="B170" s="142">
        <f>VLOOKUP(A170,'Data Vlaue (Cr)'!C165:CW378,99,0)</f>
        <v>3455</v>
      </c>
      <c r="C170" s="90">
        <f>VLOOKUP(A170,'Data Vlaue (Cr)'!C165:CY378,101,0)</f>
        <v>104</v>
      </c>
      <c r="D170" s="139">
        <f>VLOOKUP(A170,'Data Vlaue (Cr)'!C165:CZ378,102,0)</f>
        <v>3.09E-2</v>
      </c>
      <c r="E170" s="91">
        <f>VLOOKUP($A170,'Data Vlaue (Cr)'!$C:$FB,75)</f>
        <v>2464</v>
      </c>
      <c r="F170" s="91">
        <f>VLOOKUP($A170,'Data Vlaue (Cr)'!$C:$FB,77)</f>
        <v>-3</v>
      </c>
      <c r="G170" s="92">
        <f>VLOOKUP(A170,'Data Vlaue (Cr)'!C165:CB378,78,0)</f>
        <v>-1.2999999999999999E-3</v>
      </c>
      <c r="H170" s="91">
        <f>VLOOKUP($A170,'Data Vlaue (Cr)'!$C:$FB,91)</f>
        <v>553</v>
      </c>
      <c r="I170" s="91">
        <f>VLOOKUP($A170,'Data Vlaue (Cr)'!$C:$FB,93)</f>
        <v>84</v>
      </c>
      <c r="J170" s="92">
        <f>VLOOKUP($A170,'Data Vlaue (Cr)'!$C:$FB,94)</f>
        <v>0.17829999999999999</v>
      </c>
      <c r="K170" s="91">
        <f>VLOOKUP($A170,'Data Vlaue (Cr)'!$C:$FB,95)</f>
        <v>438</v>
      </c>
      <c r="L170" s="91">
        <f>VLOOKUP($A170,'Data Vlaue (Cr)'!$C:$FB,97)</f>
        <v>23</v>
      </c>
      <c r="M170" s="92">
        <f>VLOOKUP($A170,'Data Vlaue (Cr)'!$C:$FB,98)</f>
        <v>5.57E-2</v>
      </c>
      <c r="N170" s="91">
        <f>VLOOKUP($A170,'Data Vlaue (Cr)'!$C:$FB,79)</f>
        <v>2246</v>
      </c>
      <c r="O170" s="92">
        <f>VLOOKUP($A170,'Data Vlaue (Cr)'!$C:$FB,82)</f>
        <v>-2.0999999999999999E-3</v>
      </c>
    </row>
    <row r="171" spans="1:15" x14ac:dyDescent="0.25">
      <c r="A171" s="97" t="str">
        <f>'Data Vlaue (Cr)'!C166</f>
        <v>POWERINDIA</v>
      </c>
      <c r="B171" s="142">
        <f>VLOOKUP(A171,'Data Vlaue (Cr)'!C166:CW379,99,0)</f>
        <v>636</v>
      </c>
      <c r="C171" s="90">
        <f>VLOOKUP(A171,'Data Vlaue (Cr)'!C166:CY379,101,0)</f>
        <v>1</v>
      </c>
      <c r="D171" s="139">
        <f>VLOOKUP(A171,'Data Vlaue (Cr)'!C166:CZ379,102,0)</f>
        <v>2E-3</v>
      </c>
      <c r="E171" s="91">
        <f>VLOOKUP($A171,'Data Vlaue (Cr)'!$C:$FB,75)</f>
        <v>451</v>
      </c>
      <c r="F171" s="91">
        <f>VLOOKUP($A171,'Data Vlaue (Cr)'!$C:$FB,77)</f>
        <v>6</v>
      </c>
      <c r="G171" s="92">
        <f>VLOOKUP(A171,'Data Vlaue (Cr)'!C166:CB379,78,0)</f>
        <v>1.29E-2</v>
      </c>
      <c r="H171" s="91">
        <f>VLOOKUP($A171,'Data Vlaue (Cr)'!$C:$FB,91)</f>
        <v>123</v>
      </c>
      <c r="I171" s="91">
        <f>VLOOKUP($A171,'Data Vlaue (Cr)'!$C:$FB,93)</f>
        <v>-8</v>
      </c>
      <c r="J171" s="92">
        <f>VLOOKUP($A171,'Data Vlaue (Cr)'!$C:$FB,94)</f>
        <v>-6.3500000000000001E-2</v>
      </c>
      <c r="K171" s="91">
        <f>VLOOKUP($A171,'Data Vlaue (Cr)'!$C:$FB,95)</f>
        <v>62</v>
      </c>
      <c r="L171" s="91">
        <f>VLOOKUP($A171,'Data Vlaue (Cr)'!$C:$FB,97)</f>
        <v>4</v>
      </c>
      <c r="M171" s="92">
        <f>VLOOKUP($A171,'Data Vlaue (Cr)'!$C:$FB,98)</f>
        <v>6.7599999999999993E-2</v>
      </c>
      <c r="N171" s="91">
        <f>VLOOKUP($A171,'Data Vlaue (Cr)'!$C:$FB,79)</f>
        <v>442</v>
      </c>
      <c r="O171" s="92">
        <f>VLOOKUP($A171,'Data Vlaue (Cr)'!$C:$FB,82)</f>
        <v>1.15E-2</v>
      </c>
    </row>
    <row r="172" spans="1:15" x14ac:dyDescent="0.25">
      <c r="A172" s="97" t="str">
        <f>'Data Vlaue (Cr)'!C167</f>
        <v>PPLPHARMA</v>
      </c>
      <c r="B172" s="142">
        <f>VLOOKUP(A172,'Data Vlaue (Cr)'!C167:CW380,99,0)</f>
        <v>588</v>
      </c>
      <c r="C172" s="90">
        <f>VLOOKUP(A172,'Data Vlaue (Cr)'!C167:CY380,101,0)</f>
        <v>16</v>
      </c>
      <c r="D172" s="139">
        <f>VLOOKUP(A172,'Data Vlaue (Cr)'!C167:CZ380,102,0)</f>
        <v>2.8400000000000002E-2</v>
      </c>
      <c r="E172" s="91">
        <f>VLOOKUP($A172,'Data Vlaue (Cr)'!$C:$FB,75)</f>
        <v>441</v>
      </c>
      <c r="F172" s="91">
        <f>VLOOKUP($A172,'Data Vlaue (Cr)'!$C:$FB,77)</f>
        <v>5</v>
      </c>
      <c r="G172" s="92">
        <f>VLOOKUP(A172,'Data Vlaue (Cr)'!C167:CB380,78,0)</f>
        <v>1.04E-2</v>
      </c>
      <c r="H172" s="91">
        <f>VLOOKUP($A172,'Data Vlaue (Cr)'!$C:$FB,91)</f>
        <v>86</v>
      </c>
      <c r="I172" s="91">
        <f>VLOOKUP($A172,'Data Vlaue (Cr)'!$C:$FB,93)</f>
        <v>6</v>
      </c>
      <c r="J172" s="92">
        <f>VLOOKUP($A172,'Data Vlaue (Cr)'!$C:$FB,94)</f>
        <v>7.9799999999999996E-2</v>
      </c>
      <c r="K172" s="91">
        <f>VLOOKUP($A172,'Data Vlaue (Cr)'!$C:$FB,95)</f>
        <v>61</v>
      </c>
      <c r="L172" s="91">
        <f>VLOOKUP($A172,'Data Vlaue (Cr)'!$C:$FB,97)</f>
        <v>5</v>
      </c>
      <c r="M172" s="92">
        <f>VLOOKUP($A172,'Data Vlaue (Cr)'!$C:$FB,98)</f>
        <v>9.5699999999999993E-2</v>
      </c>
      <c r="N172" s="91">
        <f>VLOOKUP($A172,'Data Vlaue (Cr)'!$C:$FB,79)</f>
        <v>423</v>
      </c>
      <c r="O172" s="92">
        <f>VLOOKUP($A172,'Data Vlaue (Cr)'!$C:$FB,82)</f>
        <v>7.7000000000000002E-3</v>
      </c>
    </row>
    <row r="173" spans="1:15" x14ac:dyDescent="0.25">
      <c r="A173" s="97" t="str">
        <f>'Data Vlaue (Cr)'!C168</f>
        <v>PREMIERENE</v>
      </c>
      <c r="B173" s="142">
        <f>VLOOKUP(A173,'Data Vlaue (Cr)'!C168:CW381,99,0)</f>
        <v>131</v>
      </c>
      <c r="C173" s="90">
        <f>VLOOKUP(A173,'Data Vlaue (Cr)'!C168:CY381,101,0)</f>
        <v>18</v>
      </c>
      <c r="D173" s="139">
        <f>VLOOKUP(A173,'Data Vlaue (Cr)'!C168:CZ381,102,0)</f>
        <v>0.16089999999999999</v>
      </c>
      <c r="E173" s="91">
        <f>VLOOKUP($A173,'Data Vlaue (Cr)'!$C:$FB,75)</f>
        <v>61</v>
      </c>
      <c r="F173" s="91">
        <f>VLOOKUP($A173,'Data Vlaue (Cr)'!$C:$FB,77)</f>
        <v>7</v>
      </c>
      <c r="G173" s="92">
        <f>VLOOKUP(A173,'Data Vlaue (Cr)'!C168:CB381,78,0)</f>
        <v>0.13320000000000001</v>
      </c>
      <c r="H173" s="91">
        <f>VLOOKUP($A173,'Data Vlaue (Cr)'!$C:$FB,91)</f>
        <v>45</v>
      </c>
      <c r="I173" s="91">
        <f>VLOOKUP($A173,'Data Vlaue (Cr)'!$C:$FB,93)</f>
        <v>5</v>
      </c>
      <c r="J173" s="92">
        <f>VLOOKUP($A173,'Data Vlaue (Cr)'!$C:$FB,94)</f>
        <v>0.1361</v>
      </c>
      <c r="K173" s="91">
        <f>VLOOKUP($A173,'Data Vlaue (Cr)'!$C:$FB,95)</f>
        <v>25</v>
      </c>
      <c r="L173" s="91">
        <f>VLOOKUP($A173,'Data Vlaue (Cr)'!$C:$FB,97)</f>
        <v>6</v>
      </c>
      <c r="M173" s="92">
        <f>VLOOKUP($A173,'Data Vlaue (Cr)'!$C:$FB,98)</f>
        <v>0.2868</v>
      </c>
      <c r="N173" s="91">
        <f>VLOOKUP($A173,'Data Vlaue (Cr)'!$C:$FB,79)</f>
        <v>55</v>
      </c>
      <c r="O173" s="92">
        <f>VLOOKUP($A173,'Data Vlaue (Cr)'!$C:$FB,82)</f>
        <v>8.5500000000000007E-2</v>
      </c>
    </row>
    <row r="174" spans="1:15" x14ac:dyDescent="0.25">
      <c r="A174" s="97" t="str">
        <f>'Data Vlaue (Cr)'!C169</f>
        <v>PRESTIGE</v>
      </c>
      <c r="B174" s="142">
        <f>VLOOKUP(A174,'Data Vlaue (Cr)'!C169:CW382,99,0)</f>
        <v>820</v>
      </c>
      <c r="C174" s="90">
        <f>VLOOKUP(A174,'Data Vlaue (Cr)'!C169:CY382,101,0)</f>
        <v>18</v>
      </c>
      <c r="D174" s="139">
        <f>VLOOKUP(A174,'Data Vlaue (Cr)'!C169:CZ382,102,0)</f>
        <v>2.3E-2</v>
      </c>
      <c r="E174" s="91">
        <f>VLOOKUP($A174,'Data Vlaue (Cr)'!$C:$FB,75)</f>
        <v>618</v>
      </c>
      <c r="F174" s="91">
        <f>VLOOKUP($A174,'Data Vlaue (Cr)'!$C:$FB,77)</f>
        <v>8</v>
      </c>
      <c r="G174" s="92">
        <f>VLOOKUP(A174,'Data Vlaue (Cr)'!C169:CB382,78,0)</f>
        <v>1.32E-2</v>
      </c>
      <c r="H174" s="91">
        <f>VLOOKUP($A174,'Data Vlaue (Cr)'!$C:$FB,91)</f>
        <v>96</v>
      </c>
      <c r="I174" s="91">
        <f>VLOOKUP($A174,'Data Vlaue (Cr)'!$C:$FB,93)</f>
        <v>4</v>
      </c>
      <c r="J174" s="92">
        <f>VLOOKUP($A174,'Data Vlaue (Cr)'!$C:$FB,94)</f>
        <v>3.9199999999999999E-2</v>
      </c>
      <c r="K174" s="91">
        <f>VLOOKUP($A174,'Data Vlaue (Cr)'!$C:$FB,95)</f>
        <v>106</v>
      </c>
      <c r="L174" s="91">
        <f>VLOOKUP($A174,'Data Vlaue (Cr)'!$C:$FB,97)</f>
        <v>7</v>
      </c>
      <c r="M174" s="92">
        <f>VLOOKUP($A174,'Data Vlaue (Cr)'!$C:$FB,98)</f>
        <v>6.8400000000000002E-2</v>
      </c>
      <c r="N174" s="91">
        <f>VLOOKUP($A174,'Data Vlaue (Cr)'!$C:$FB,79)</f>
        <v>613</v>
      </c>
      <c r="O174" s="92">
        <f>VLOOKUP($A174,'Data Vlaue (Cr)'!$C:$FB,82)</f>
        <v>1.2699999999999999E-2</v>
      </c>
    </row>
    <row r="175" spans="1:15" x14ac:dyDescent="0.25">
      <c r="A175" s="97" t="str">
        <f>'Data Vlaue (Cr)'!C170</f>
        <v>RBLBANK</v>
      </c>
      <c r="B175" s="142">
        <f>VLOOKUP(A175,'Data Vlaue (Cr)'!C170:CW383,99,0)</f>
        <v>3056</v>
      </c>
      <c r="C175" s="90">
        <f>VLOOKUP(A175,'Data Vlaue (Cr)'!C170:CY383,101,0)</f>
        <v>41</v>
      </c>
      <c r="D175" s="139">
        <f>VLOOKUP(A175,'Data Vlaue (Cr)'!C170:CZ383,102,0)</f>
        <v>1.3599999999999999E-2</v>
      </c>
      <c r="E175" s="91">
        <f>VLOOKUP($A175,'Data Vlaue (Cr)'!$C:$FB,75)</f>
        <v>2296</v>
      </c>
      <c r="F175" s="91">
        <f>VLOOKUP($A175,'Data Vlaue (Cr)'!$C:$FB,77)</f>
        <v>15</v>
      </c>
      <c r="G175" s="92">
        <f>VLOOKUP(A175,'Data Vlaue (Cr)'!C170:CB383,78,0)</f>
        <v>6.4000000000000003E-3</v>
      </c>
      <c r="H175" s="91">
        <f>VLOOKUP($A175,'Data Vlaue (Cr)'!$C:$FB,91)</f>
        <v>432</v>
      </c>
      <c r="I175" s="91">
        <f>VLOOKUP($A175,'Data Vlaue (Cr)'!$C:$FB,93)</f>
        <v>27</v>
      </c>
      <c r="J175" s="92">
        <f>VLOOKUP($A175,'Data Vlaue (Cr)'!$C:$FB,94)</f>
        <v>6.6100000000000006E-2</v>
      </c>
      <c r="K175" s="91">
        <f>VLOOKUP($A175,'Data Vlaue (Cr)'!$C:$FB,95)</f>
        <v>328</v>
      </c>
      <c r="L175" s="91">
        <f>VLOOKUP($A175,'Data Vlaue (Cr)'!$C:$FB,97)</f>
        <v>-1</v>
      </c>
      <c r="M175" s="92">
        <f>VLOOKUP($A175,'Data Vlaue (Cr)'!$C:$FB,98)</f>
        <v>-1.8E-3</v>
      </c>
      <c r="N175" s="91">
        <f>VLOOKUP($A175,'Data Vlaue (Cr)'!$C:$FB,79)</f>
        <v>2284</v>
      </c>
      <c r="O175" s="92">
        <f>VLOOKUP($A175,'Data Vlaue (Cr)'!$C:$FB,82)</f>
        <v>6.1999999999999998E-3</v>
      </c>
    </row>
    <row r="176" spans="1:15" x14ac:dyDescent="0.25">
      <c r="A176" s="97" t="str">
        <f>'Data Vlaue (Cr)'!C171</f>
        <v>RECLTD</v>
      </c>
      <c r="B176" s="142">
        <f>VLOOKUP(A176,'Data Vlaue (Cr)'!C171:CW384,99,0)</f>
        <v>5302</v>
      </c>
      <c r="C176" s="90">
        <f>VLOOKUP(A176,'Data Vlaue (Cr)'!C171:CY384,101,0)</f>
        <v>179</v>
      </c>
      <c r="D176" s="139">
        <f>VLOOKUP(A176,'Data Vlaue (Cr)'!C171:CZ384,102,0)</f>
        <v>3.5000000000000003E-2</v>
      </c>
      <c r="E176" s="91">
        <f>VLOOKUP($A176,'Data Vlaue (Cr)'!$C:$FB,75)</f>
        <v>3213</v>
      </c>
      <c r="F176" s="91">
        <f>VLOOKUP($A176,'Data Vlaue (Cr)'!$C:$FB,77)</f>
        <v>-58</v>
      </c>
      <c r="G176" s="92">
        <f>VLOOKUP(A176,'Data Vlaue (Cr)'!C171:CB384,78,0)</f>
        <v>-1.78E-2</v>
      </c>
      <c r="H176" s="91">
        <f>VLOOKUP($A176,'Data Vlaue (Cr)'!$C:$FB,91)</f>
        <v>1204</v>
      </c>
      <c r="I176" s="91">
        <f>VLOOKUP($A176,'Data Vlaue (Cr)'!$C:$FB,93)</f>
        <v>152</v>
      </c>
      <c r="J176" s="92">
        <f>VLOOKUP($A176,'Data Vlaue (Cr)'!$C:$FB,94)</f>
        <v>0.1447</v>
      </c>
      <c r="K176" s="91">
        <f>VLOOKUP($A176,'Data Vlaue (Cr)'!$C:$FB,95)</f>
        <v>885</v>
      </c>
      <c r="L176" s="91">
        <f>VLOOKUP($A176,'Data Vlaue (Cr)'!$C:$FB,97)</f>
        <v>85</v>
      </c>
      <c r="M176" s="92">
        <f>VLOOKUP($A176,'Data Vlaue (Cr)'!$C:$FB,98)</f>
        <v>0.1066</v>
      </c>
      <c r="N176" s="91">
        <f>VLOOKUP($A176,'Data Vlaue (Cr)'!$C:$FB,79)</f>
        <v>2986</v>
      </c>
      <c r="O176" s="92">
        <f>VLOOKUP($A176,'Data Vlaue (Cr)'!$C:$FB,82)</f>
        <v>-1.9599999999999999E-2</v>
      </c>
    </row>
    <row r="177" spans="1:15" x14ac:dyDescent="0.25">
      <c r="A177" s="97" t="str">
        <f>'Data Vlaue (Cr)'!C172</f>
        <v>RELIANCE</v>
      </c>
      <c r="B177" s="142">
        <f>VLOOKUP(A177,'Data Vlaue (Cr)'!C172:CW385,99,0)</f>
        <v>22991</v>
      </c>
      <c r="C177" s="90">
        <f>VLOOKUP(A177,'Data Vlaue (Cr)'!C172:CY385,101,0)</f>
        <v>899</v>
      </c>
      <c r="D177" s="139">
        <f>VLOOKUP(A177,'Data Vlaue (Cr)'!C172:CZ385,102,0)</f>
        <v>4.07E-2</v>
      </c>
      <c r="E177" s="91">
        <f>VLOOKUP($A177,'Data Vlaue (Cr)'!$C:$FB,75)</f>
        <v>15861</v>
      </c>
      <c r="F177" s="91">
        <f>VLOOKUP($A177,'Data Vlaue (Cr)'!$C:$FB,77)</f>
        <v>92</v>
      </c>
      <c r="G177" s="92">
        <f>VLOOKUP(A177,'Data Vlaue (Cr)'!C172:CB385,78,0)</f>
        <v>5.7999999999999996E-3</v>
      </c>
      <c r="H177" s="91">
        <f>VLOOKUP($A177,'Data Vlaue (Cr)'!$C:$FB,91)</f>
        <v>4396</v>
      </c>
      <c r="I177" s="91">
        <f>VLOOKUP($A177,'Data Vlaue (Cr)'!$C:$FB,93)</f>
        <v>682</v>
      </c>
      <c r="J177" s="92">
        <f>VLOOKUP($A177,'Data Vlaue (Cr)'!$C:$FB,94)</f>
        <v>0.1837</v>
      </c>
      <c r="K177" s="91">
        <f>VLOOKUP($A177,'Data Vlaue (Cr)'!$C:$FB,95)</f>
        <v>2734</v>
      </c>
      <c r="L177" s="91">
        <f>VLOOKUP($A177,'Data Vlaue (Cr)'!$C:$FB,97)</f>
        <v>125</v>
      </c>
      <c r="M177" s="92">
        <f>VLOOKUP($A177,'Data Vlaue (Cr)'!$C:$FB,98)</f>
        <v>4.7800000000000002E-2</v>
      </c>
      <c r="N177" s="91">
        <f>VLOOKUP($A177,'Data Vlaue (Cr)'!$C:$FB,79)</f>
        <v>15555</v>
      </c>
      <c r="O177" s="92">
        <f>VLOOKUP($A177,'Data Vlaue (Cr)'!$C:$FB,82)</f>
        <v>4.4999999999999997E-3</v>
      </c>
    </row>
    <row r="178" spans="1:15" x14ac:dyDescent="0.25">
      <c r="A178" s="97" t="str">
        <f>'Data Vlaue (Cr)'!C173</f>
        <v>RVNL</v>
      </c>
      <c r="B178" s="142">
        <f>VLOOKUP(A178,'Data Vlaue (Cr)'!C173:CW386,99,0)</f>
        <v>3516</v>
      </c>
      <c r="C178" s="90">
        <f>VLOOKUP(A178,'Data Vlaue (Cr)'!C173:CY386,101,0)</f>
        <v>1</v>
      </c>
      <c r="D178" s="139">
        <f>VLOOKUP(A178,'Data Vlaue (Cr)'!C173:CZ386,102,0)</f>
        <v>2.9999999999999997E-4</v>
      </c>
      <c r="E178" s="91">
        <f>VLOOKUP($A178,'Data Vlaue (Cr)'!$C:$FB,75)</f>
        <v>1527</v>
      </c>
      <c r="F178" s="91">
        <f>VLOOKUP($A178,'Data Vlaue (Cr)'!$C:$FB,77)</f>
        <v>0</v>
      </c>
      <c r="G178" s="92">
        <f>VLOOKUP(A178,'Data Vlaue (Cr)'!C173:CB386,78,0)</f>
        <v>-2.0000000000000001E-4</v>
      </c>
      <c r="H178" s="91">
        <f>VLOOKUP($A178,'Data Vlaue (Cr)'!$C:$FB,91)</f>
        <v>1472</v>
      </c>
      <c r="I178" s="91">
        <f>VLOOKUP($A178,'Data Vlaue (Cr)'!$C:$FB,93)</f>
        <v>-3</v>
      </c>
      <c r="J178" s="92">
        <f>VLOOKUP($A178,'Data Vlaue (Cr)'!$C:$FB,94)</f>
        <v>-2.0999999999999999E-3</v>
      </c>
      <c r="K178" s="91">
        <f>VLOOKUP($A178,'Data Vlaue (Cr)'!$C:$FB,95)</f>
        <v>518</v>
      </c>
      <c r="L178" s="91">
        <f>VLOOKUP($A178,'Data Vlaue (Cr)'!$C:$FB,97)</f>
        <v>5</v>
      </c>
      <c r="M178" s="92">
        <f>VLOOKUP($A178,'Data Vlaue (Cr)'!$C:$FB,98)</f>
        <v>8.9999999999999993E-3</v>
      </c>
      <c r="N178" s="91">
        <f>VLOOKUP($A178,'Data Vlaue (Cr)'!$C:$FB,79)</f>
        <v>1422</v>
      </c>
      <c r="O178" s="92">
        <f>VLOOKUP($A178,'Data Vlaue (Cr)'!$C:$FB,82)</f>
        <v>-2.3999999999999998E-3</v>
      </c>
    </row>
    <row r="179" spans="1:15" x14ac:dyDescent="0.25">
      <c r="A179" s="97" t="str">
        <f>'Data Vlaue (Cr)'!C174</f>
        <v>SAIL</v>
      </c>
      <c r="B179" s="142">
        <f>VLOOKUP(A179,'Data Vlaue (Cr)'!C174:CW387,99,0)</f>
        <v>4501</v>
      </c>
      <c r="C179" s="90">
        <f>VLOOKUP(A179,'Data Vlaue (Cr)'!C174:CY387,101,0)</f>
        <v>82</v>
      </c>
      <c r="D179" s="139">
        <f>VLOOKUP(A179,'Data Vlaue (Cr)'!C174:CZ387,102,0)</f>
        <v>1.8599999999999998E-2</v>
      </c>
      <c r="E179" s="91">
        <f>VLOOKUP($A179,'Data Vlaue (Cr)'!$C:$FB,75)</f>
        <v>3093</v>
      </c>
      <c r="F179" s="91">
        <f>VLOOKUP($A179,'Data Vlaue (Cr)'!$C:$FB,77)</f>
        <v>40</v>
      </c>
      <c r="G179" s="92">
        <f>VLOOKUP(A179,'Data Vlaue (Cr)'!C174:CB387,78,0)</f>
        <v>1.3100000000000001E-2</v>
      </c>
      <c r="H179" s="91">
        <f>VLOOKUP($A179,'Data Vlaue (Cr)'!$C:$FB,91)</f>
        <v>791</v>
      </c>
      <c r="I179" s="91">
        <f>VLOOKUP($A179,'Data Vlaue (Cr)'!$C:$FB,93)</f>
        <v>20</v>
      </c>
      <c r="J179" s="92">
        <f>VLOOKUP($A179,'Data Vlaue (Cr)'!$C:$FB,94)</f>
        <v>2.6499999999999999E-2</v>
      </c>
      <c r="K179" s="91">
        <f>VLOOKUP($A179,'Data Vlaue (Cr)'!$C:$FB,95)</f>
        <v>617</v>
      </c>
      <c r="L179" s="91">
        <f>VLOOKUP($A179,'Data Vlaue (Cr)'!$C:$FB,97)</f>
        <v>22</v>
      </c>
      <c r="M179" s="92">
        <f>VLOOKUP($A179,'Data Vlaue (Cr)'!$C:$FB,98)</f>
        <v>3.6299999999999999E-2</v>
      </c>
      <c r="N179" s="91">
        <f>VLOOKUP($A179,'Data Vlaue (Cr)'!$C:$FB,79)</f>
        <v>2983</v>
      </c>
      <c r="O179" s="92">
        <f>VLOOKUP($A179,'Data Vlaue (Cr)'!$C:$FB,82)</f>
        <v>5.7999999999999996E-3</v>
      </c>
    </row>
    <row r="180" spans="1:15" x14ac:dyDescent="0.25">
      <c r="A180" s="97" t="str">
        <f>'Data Vlaue (Cr)'!C175</f>
        <v>SAMMAANCAP</v>
      </c>
      <c r="B180" s="142">
        <f>VLOOKUP(A180,'Data Vlaue (Cr)'!C175:CW388,99,0)</f>
        <v>2110</v>
      </c>
      <c r="C180" s="90">
        <f>VLOOKUP(A180,'Data Vlaue (Cr)'!C175:CY388,101,0)</f>
        <v>120</v>
      </c>
      <c r="D180" s="139">
        <f>VLOOKUP(A180,'Data Vlaue (Cr)'!C175:CZ388,102,0)</f>
        <v>6.0299999999999999E-2</v>
      </c>
      <c r="E180" s="91">
        <f>VLOOKUP($A180,'Data Vlaue (Cr)'!$C:$FB,75)</f>
        <v>1460</v>
      </c>
      <c r="F180" s="91">
        <f>VLOOKUP($A180,'Data Vlaue (Cr)'!$C:$FB,77)</f>
        <v>30</v>
      </c>
      <c r="G180" s="92">
        <f>VLOOKUP(A180,'Data Vlaue (Cr)'!C175:CB388,78,0)</f>
        <v>2.07E-2</v>
      </c>
      <c r="H180" s="91">
        <f>VLOOKUP($A180,'Data Vlaue (Cr)'!$C:$FB,91)</f>
        <v>371</v>
      </c>
      <c r="I180" s="91">
        <f>VLOOKUP($A180,'Data Vlaue (Cr)'!$C:$FB,93)</f>
        <v>49</v>
      </c>
      <c r="J180" s="92">
        <f>VLOOKUP($A180,'Data Vlaue (Cr)'!$C:$FB,94)</f>
        <v>0.15179999999999999</v>
      </c>
      <c r="K180" s="91">
        <f>VLOOKUP($A180,'Data Vlaue (Cr)'!$C:$FB,95)</f>
        <v>278</v>
      </c>
      <c r="L180" s="91">
        <f>VLOOKUP($A180,'Data Vlaue (Cr)'!$C:$FB,97)</f>
        <v>42</v>
      </c>
      <c r="M180" s="92">
        <f>VLOOKUP($A180,'Data Vlaue (Cr)'!$C:$FB,98)</f>
        <v>0.17560000000000001</v>
      </c>
      <c r="N180" s="91">
        <f>VLOOKUP($A180,'Data Vlaue (Cr)'!$C:$FB,79)</f>
        <v>1402</v>
      </c>
      <c r="O180" s="92">
        <f>VLOOKUP($A180,'Data Vlaue (Cr)'!$C:$FB,82)</f>
        <v>1.7399999999999999E-2</v>
      </c>
    </row>
    <row r="181" spans="1:15" x14ac:dyDescent="0.25">
      <c r="A181" s="97" t="str">
        <f>'Data Vlaue (Cr)'!C176</f>
        <v>SBICARD</v>
      </c>
      <c r="B181" s="142">
        <f>VLOOKUP(A181,'Data Vlaue (Cr)'!C176:CW389,99,0)</f>
        <v>1972</v>
      </c>
      <c r="C181" s="90">
        <f>VLOOKUP(A181,'Data Vlaue (Cr)'!C176:CY389,101,0)</f>
        <v>68</v>
      </c>
      <c r="D181" s="139">
        <f>VLOOKUP(A181,'Data Vlaue (Cr)'!C176:CZ389,102,0)</f>
        <v>3.5499999999999997E-2</v>
      </c>
      <c r="E181" s="91">
        <f>VLOOKUP($A181,'Data Vlaue (Cr)'!$C:$FB,75)</f>
        <v>1415</v>
      </c>
      <c r="F181" s="91">
        <f>VLOOKUP($A181,'Data Vlaue (Cr)'!$C:$FB,77)</f>
        <v>23</v>
      </c>
      <c r="G181" s="92">
        <f>VLOOKUP(A181,'Data Vlaue (Cr)'!C176:CB389,78,0)</f>
        <v>1.6199999999999999E-2</v>
      </c>
      <c r="H181" s="91">
        <f>VLOOKUP($A181,'Data Vlaue (Cr)'!$C:$FB,91)</f>
        <v>311</v>
      </c>
      <c r="I181" s="91">
        <f>VLOOKUP($A181,'Data Vlaue (Cr)'!$C:$FB,93)</f>
        <v>22</v>
      </c>
      <c r="J181" s="92">
        <f>VLOOKUP($A181,'Data Vlaue (Cr)'!$C:$FB,94)</f>
        <v>7.5700000000000003E-2</v>
      </c>
      <c r="K181" s="91">
        <f>VLOOKUP($A181,'Data Vlaue (Cr)'!$C:$FB,95)</f>
        <v>247</v>
      </c>
      <c r="L181" s="91">
        <f>VLOOKUP($A181,'Data Vlaue (Cr)'!$C:$FB,97)</f>
        <v>23</v>
      </c>
      <c r="M181" s="92">
        <f>VLOOKUP($A181,'Data Vlaue (Cr)'!$C:$FB,98)</f>
        <v>0.1033</v>
      </c>
      <c r="N181" s="91">
        <f>VLOOKUP($A181,'Data Vlaue (Cr)'!$C:$FB,79)</f>
        <v>1376</v>
      </c>
      <c r="O181" s="92">
        <f>VLOOKUP($A181,'Data Vlaue (Cr)'!$C:$FB,82)</f>
        <v>1.29E-2</v>
      </c>
    </row>
    <row r="182" spans="1:15" x14ac:dyDescent="0.25">
      <c r="A182" s="97" t="str">
        <f>'Data Vlaue (Cr)'!C177</f>
        <v>SBILIFE</v>
      </c>
      <c r="B182" s="142">
        <f>VLOOKUP(A182,'Data Vlaue (Cr)'!C177:CW390,99,0)</f>
        <v>2242</v>
      </c>
      <c r="C182" s="90">
        <f>VLOOKUP(A182,'Data Vlaue (Cr)'!C177:CY390,101,0)</f>
        <v>116</v>
      </c>
      <c r="D182" s="139">
        <f>VLOOKUP(A182,'Data Vlaue (Cr)'!C177:CZ390,102,0)</f>
        <v>5.4600000000000003E-2</v>
      </c>
      <c r="E182" s="91">
        <f>VLOOKUP($A182,'Data Vlaue (Cr)'!$C:$FB,75)</f>
        <v>1689</v>
      </c>
      <c r="F182" s="91">
        <f>VLOOKUP($A182,'Data Vlaue (Cr)'!$C:$FB,77)</f>
        <v>20</v>
      </c>
      <c r="G182" s="92">
        <f>VLOOKUP(A182,'Data Vlaue (Cr)'!C177:CB390,78,0)</f>
        <v>1.2E-2</v>
      </c>
      <c r="H182" s="91">
        <f>VLOOKUP($A182,'Data Vlaue (Cr)'!$C:$FB,91)</f>
        <v>355</v>
      </c>
      <c r="I182" s="91">
        <f>VLOOKUP($A182,'Data Vlaue (Cr)'!$C:$FB,93)</f>
        <v>50</v>
      </c>
      <c r="J182" s="92">
        <f>VLOOKUP($A182,'Data Vlaue (Cr)'!$C:$FB,94)</f>
        <v>0.16569999999999999</v>
      </c>
      <c r="K182" s="91">
        <f>VLOOKUP($A182,'Data Vlaue (Cr)'!$C:$FB,95)</f>
        <v>198</v>
      </c>
      <c r="L182" s="91">
        <f>VLOOKUP($A182,'Data Vlaue (Cr)'!$C:$FB,97)</f>
        <v>46</v>
      </c>
      <c r="M182" s="92">
        <f>VLOOKUP($A182,'Data Vlaue (Cr)'!$C:$FB,98)</f>
        <v>0.2979</v>
      </c>
      <c r="N182" s="91">
        <f>VLOOKUP($A182,'Data Vlaue (Cr)'!$C:$FB,79)</f>
        <v>1661</v>
      </c>
      <c r="O182" s="92">
        <f>VLOOKUP($A182,'Data Vlaue (Cr)'!$C:$FB,82)</f>
        <v>1.12E-2</v>
      </c>
    </row>
    <row r="183" spans="1:15" x14ac:dyDescent="0.25">
      <c r="A183" s="97" t="str">
        <f>'Data Vlaue (Cr)'!C178</f>
        <v>SBIN</v>
      </c>
      <c r="B183" s="142">
        <f>VLOOKUP(A183,'Data Vlaue (Cr)'!C178:CW391,99,0)</f>
        <v>10907</v>
      </c>
      <c r="C183" s="90">
        <f>VLOOKUP(A183,'Data Vlaue (Cr)'!C178:CY391,101,0)</f>
        <v>300</v>
      </c>
      <c r="D183" s="139">
        <f>VLOOKUP(A183,'Data Vlaue (Cr)'!C178:CZ391,102,0)</f>
        <v>2.8299999999999999E-2</v>
      </c>
      <c r="E183" s="91">
        <f>VLOOKUP($A183,'Data Vlaue (Cr)'!$C:$FB,75)</f>
        <v>7200</v>
      </c>
      <c r="F183" s="91">
        <f>VLOOKUP($A183,'Data Vlaue (Cr)'!$C:$FB,77)</f>
        <v>-14</v>
      </c>
      <c r="G183" s="92">
        <f>VLOOKUP(A183,'Data Vlaue (Cr)'!C178:CB391,78,0)</f>
        <v>-1.9E-3</v>
      </c>
      <c r="H183" s="91">
        <f>VLOOKUP($A183,'Data Vlaue (Cr)'!$C:$FB,91)</f>
        <v>1965</v>
      </c>
      <c r="I183" s="91">
        <f>VLOOKUP($A183,'Data Vlaue (Cr)'!$C:$FB,93)</f>
        <v>149</v>
      </c>
      <c r="J183" s="92">
        <f>VLOOKUP($A183,'Data Vlaue (Cr)'!$C:$FB,94)</f>
        <v>8.2100000000000006E-2</v>
      </c>
      <c r="K183" s="91">
        <f>VLOOKUP($A183,'Data Vlaue (Cr)'!$C:$FB,95)</f>
        <v>1742</v>
      </c>
      <c r="L183" s="91">
        <f>VLOOKUP($A183,'Data Vlaue (Cr)'!$C:$FB,97)</f>
        <v>164</v>
      </c>
      <c r="M183" s="92">
        <f>VLOOKUP($A183,'Data Vlaue (Cr)'!$C:$FB,98)</f>
        <v>0.1042</v>
      </c>
      <c r="N183" s="91">
        <f>VLOOKUP($A183,'Data Vlaue (Cr)'!$C:$FB,79)</f>
        <v>7069</v>
      </c>
      <c r="O183" s="92">
        <f>VLOOKUP($A183,'Data Vlaue (Cr)'!$C:$FB,82)</f>
        <v>-2.8E-3</v>
      </c>
    </row>
    <row r="184" spans="1:15" x14ac:dyDescent="0.25">
      <c r="A184" s="97" t="str">
        <f>'Data Vlaue (Cr)'!C179</f>
        <v>SHREECEM</v>
      </c>
      <c r="B184" s="142">
        <f>VLOOKUP(A184,'Data Vlaue (Cr)'!C179:CW392,99,0)</f>
        <v>877</v>
      </c>
      <c r="C184" s="90">
        <f>VLOOKUP(A184,'Data Vlaue (Cr)'!C179:CY392,101,0)</f>
        <v>9</v>
      </c>
      <c r="D184" s="139">
        <f>VLOOKUP(A184,'Data Vlaue (Cr)'!C179:CZ392,102,0)</f>
        <v>9.9000000000000008E-3</v>
      </c>
      <c r="E184" s="91">
        <f>VLOOKUP($A184,'Data Vlaue (Cr)'!$C:$FB,75)</f>
        <v>747</v>
      </c>
      <c r="F184" s="91">
        <f>VLOOKUP($A184,'Data Vlaue (Cr)'!$C:$FB,77)</f>
        <v>-10</v>
      </c>
      <c r="G184" s="92">
        <f>VLOOKUP(A184,'Data Vlaue (Cr)'!C179:CB392,78,0)</f>
        <v>-1.3100000000000001E-2</v>
      </c>
      <c r="H184" s="91">
        <f>VLOOKUP($A184,'Data Vlaue (Cr)'!$C:$FB,91)</f>
        <v>70</v>
      </c>
      <c r="I184" s="91">
        <f>VLOOKUP($A184,'Data Vlaue (Cr)'!$C:$FB,93)</f>
        <v>12</v>
      </c>
      <c r="J184" s="92">
        <f>VLOOKUP($A184,'Data Vlaue (Cr)'!$C:$FB,94)</f>
        <v>0.21579999999999999</v>
      </c>
      <c r="K184" s="91">
        <f>VLOOKUP($A184,'Data Vlaue (Cr)'!$C:$FB,95)</f>
        <v>59</v>
      </c>
      <c r="L184" s="91">
        <f>VLOOKUP($A184,'Data Vlaue (Cr)'!$C:$FB,97)</f>
        <v>6</v>
      </c>
      <c r="M184" s="92">
        <f>VLOOKUP($A184,'Data Vlaue (Cr)'!$C:$FB,98)</f>
        <v>0.1152</v>
      </c>
      <c r="N184" s="91">
        <f>VLOOKUP($A184,'Data Vlaue (Cr)'!$C:$FB,79)</f>
        <v>738</v>
      </c>
      <c r="O184" s="92">
        <f>VLOOKUP($A184,'Data Vlaue (Cr)'!$C:$FB,82)</f>
        <v>-1.3599999999999999E-2</v>
      </c>
    </row>
    <row r="185" spans="1:15" x14ac:dyDescent="0.25">
      <c r="A185" s="97" t="str">
        <f>'Data Vlaue (Cr)'!C180</f>
        <v>SHRIRAMFIN</v>
      </c>
      <c r="B185" s="142">
        <f>VLOOKUP(A185,'Data Vlaue (Cr)'!C180:CW393,99,0)</f>
        <v>7675</v>
      </c>
      <c r="C185" s="90">
        <f>VLOOKUP(A185,'Data Vlaue (Cr)'!C180:CY393,101,0)</f>
        <v>498</v>
      </c>
      <c r="D185" s="139">
        <f>VLOOKUP(A185,'Data Vlaue (Cr)'!C180:CZ393,102,0)</f>
        <v>6.9400000000000003E-2</v>
      </c>
      <c r="E185" s="91">
        <f>VLOOKUP($A185,'Data Vlaue (Cr)'!$C:$FB,75)</f>
        <v>5032</v>
      </c>
      <c r="F185" s="91">
        <f>VLOOKUP($A185,'Data Vlaue (Cr)'!$C:$FB,77)</f>
        <v>26</v>
      </c>
      <c r="G185" s="92">
        <f>VLOOKUP(A185,'Data Vlaue (Cr)'!C180:CB393,78,0)</f>
        <v>5.1999999999999998E-3</v>
      </c>
      <c r="H185" s="91">
        <f>VLOOKUP($A185,'Data Vlaue (Cr)'!$C:$FB,91)</f>
        <v>1399</v>
      </c>
      <c r="I185" s="91">
        <f>VLOOKUP($A185,'Data Vlaue (Cr)'!$C:$FB,93)</f>
        <v>220</v>
      </c>
      <c r="J185" s="92">
        <f>VLOOKUP($A185,'Data Vlaue (Cr)'!$C:$FB,94)</f>
        <v>0.187</v>
      </c>
      <c r="K185" s="91">
        <f>VLOOKUP($A185,'Data Vlaue (Cr)'!$C:$FB,95)</f>
        <v>1244</v>
      </c>
      <c r="L185" s="91">
        <f>VLOOKUP($A185,'Data Vlaue (Cr)'!$C:$FB,97)</f>
        <v>251</v>
      </c>
      <c r="M185" s="92">
        <f>VLOOKUP($A185,'Data Vlaue (Cr)'!$C:$FB,98)</f>
        <v>0.25330000000000003</v>
      </c>
      <c r="N185" s="91">
        <f>VLOOKUP($A185,'Data Vlaue (Cr)'!$C:$FB,79)</f>
        <v>4753</v>
      </c>
      <c r="O185" s="92">
        <f>VLOOKUP($A185,'Data Vlaue (Cr)'!$C:$FB,82)</f>
        <v>3.8999999999999998E-3</v>
      </c>
    </row>
    <row r="186" spans="1:15" x14ac:dyDescent="0.25">
      <c r="A186" s="97" t="str">
        <f>'Data Vlaue (Cr)'!C181</f>
        <v>SIEMENS</v>
      </c>
      <c r="B186" s="142">
        <f>VLOOKUP(A186,'Data Vlaue (Cr)'!C181:CW394,99,0)</f>
        <v>1146</v>
      </c>
      <c r="C186" s="90">
        <f>VLOOKUP(A186,'Data Vlaue (Cr)'!C181:CY394,101,0)</f>
        <v>-5</v>
      </c>
      <c r="D186" s="139">
        <f>VLOOKUP(A186,'Data Vlaue (Cr)'!C181:CZ394,102,0)</f>
        <v>-4.1999999999999997E-3</v>
      </c>
      <c r="E186" s="91">
        <f>VLOOKUP($A186,'Data Vlaue (Cr)'!$C:$FB,75)</f>
        <v>788</v>
      </c>
      <c r="F186" s="91">
        <f>VLOOKUP($A186,'Data Vlaue (Cr)'!$C:$FB,77)</f>
        <v>-6</v>
      </c>
      <c r="G186" s="92">
        <f>VLOOKUP(A186,'Data Vlaue (Cr)'!C181:CB394,78,0)</f>
        <v>-7.1999999999999998E-3</v>
      </c>
      <c r="H186" s="91">
        <f>VLOOKUP($A186,'Data Vlaue (Cr)'!$C:$FB,91)</f>
        <v>232</v>
      </c>
      <c r="I186" s="91">
        <f>VLOOKUP($A186,'Data Vlaue (Cr)'!$C:$FB,93)</f>
        <v>-1</v>
      </c>
      <c r="J186" s="92">
        <f>VLOOKUP($A186,'Data Vlaue (Cr)'!$C:$FB,94)</f>
        <v>-3.0000000000000001E-3</v>
      </c>
      <c r="K186" s="91">
        <f>VLOOKUP($A186,'Data Vlaue (Cr)'!$C:$FB,95)</f>
        <v>127</v>
      </c>
      <c r="L186" s="91">
        <f>VLOOKUP($A186,'Data Vlaue (Cr)'!$C:$FB,97)</f>
        <v>2</v>
      </c>
      <c r="M186" s="92">
        <f>VLOOKUP($A186,'Data Vlaue (Cr)'!$C:$FB,98)</f>
        <v>1.26E-2</v>
      </c>
      <c r="N186" s="91">
        <f>VLOOKUP($A186,'Data Vlaue (Cr)'!$C:$FB,79)</f>
        <v>763</v>
      </c>
      <c r="O186" s="92">
        <f>VLOOKUP($A186,'Data Vlaue (Cr)'!$C:$FB,82)</f>
        <v>-8.9999999999999993E-3</v>
      </c>
    </row>
    <row r="187" spans="1:15" x14ac:dyDescent="0.25">
      <c r="A187" s="97" t="str">
        <f>'Data Vlaue (Cr)'!C182</f>
        <v>SOLARINDS</v>
      </c>
      <c r="B187" s="142">
        <f>VLOOKUP(A187,'Data Vlaue (Cr)'!C182:CW395,99,0)</f>
        <v>2228</v>
      </c>
      <c r="C187" s="90">
        <f>VLOOKUP(A187,'Data Vlaue (Cr)'!C182:CY395,101,0)</f>
        <v>43</v>
      </c>
      <c r="D187" s="139">
        <f>VLOOKUP(A187,'Data Vlaue (Cr)'!C182:CZ395,102,0)</f>
        <v>1.9800000000000002E-2</v>
      </c>
      <c r="E187" s="91">
        <f>VLOOKUP($A187,'Data Vlaue (Cr)'!$C:$FB,75)</f>
        <v>1466</v>
      </c>
      <c r="F187" s="91">
        <f>VLOOKUP($A187,'Data Vlaue (Cr)'!$C:$FB,77)</f>
        <v>-1</v>
      </c>
      <c r="G187" s="92">
        <f>VLOOKUP(A187,'Data Vlaue (Cr)'!C182:CB395,78,0)</f>
        <v>-8.0000000000000004E-4</v>
      </c>
      <c r="H187" s="91">
        <f>VLOOKUP($A187,'Data Vlaue (Cr)'!$C:$FB,91)</f>
        <v>486</v>
      </c>
      <c r="I187" s="91">
        <f>VLOOKUP($A187,'Data Vlaue (Cr)'!$C:$FB,93)</f>
        <v>43</v>
      </c>
      <c r="J187" s="92">
        <f>VLOOKUP($A187,'Data Vlaue (Cr)'!$C:$FB,94)</f>
        <v>9.7500000000000003E-2</v>
      </c>
      <c r="K187" s="91">
        <f>VLOOKUP($A187,'Data Vlaue (Cr)'!$C:$FB,95)</f>
        <v>276</v>
      </c>
      <c r="L187" s="91">
        <f>VLOOKUP($A187,'Data Vlaue (Cr)'!$C:$FB,97)</f>
        <v>1</v>
      </c>
      <c r="M187" s="92">
        <f>VLOOKUP($A187,'Data Vlaue (Cr)'!$C:$FB,98)</f>
        <v>4.7000000000000002E-3</v>
      </c>
      <c r="N187" s="91">
        <f>VLOOKUP($A187,'Data Vlaue (Cr)'!$C:$FB,79)</f>
        <v>1383</v>
      </c>
      <c r="O187" s="92">
        <f>VLOOKUP($A187,'Data Vlaue (Cr)'!$C:$FB,82)</f>
        <v>-1.6000000000000001E-3</v>
      </c>
    </row>
    <row r="188" spans="1:15" x14ac:dyDescent="0.25">
      <c r="A188" s="97" t="str">
        <f>'Data Vlaue (Cr)'!C183</f>
        <v>SONACOMS</v>
      </c>
      <c r="B188" s="142">
        <f>VLOOKUP(A188,'Data Vlaue (Cr)'!C183:CW396,99,0)</f>
        <v>835</v>
      </c>
      <c r="C188" s="90">
        <f>VLOOKUP(A188,'Data Vlaue (Cr)'!C183:CY396,101,0)</f>
        <v>16</v>
      </c>
      <c r="D188" s="139">
        <f>VLOOKUP(A188,'Data Vlaue (Cr)'!C183:CZ396,102,0)</f>
        <v>1.9300000000000001E-2</v>
      </c>
      <c r="E188" s="91">
        <f>VLOOKUP($A188,'Data Vlaue (Cr)'!$C:$FB,75)</f>
        <v>694</v>
      </c>
      <c r="F188" s="91">
        <f>VLOOKUP($A188,'Data Vlaue (Cr)'!$C:$FB,77)</f>
        <v>1</v>
      </c>
      <c r="G188" s="92">
        <f>VLOOKUP(A188,'Data Vlaue (Cr)'!C183:CB396,78,0)</f>
        <v>1.1999999999999999E-3</v>
      </c>
      <c r="H188" s="91">
        <f>VLOOKUP($A188,'Data Vlaue (Cr)'!$C:$FB,91)</f>
        <v>84</v>
      </c>
      <c r="I188" s="91">
        <f>VLOOKUP($A188,'Data Vlaue (Cr)'!$C:$FB,93)</f>
        <v>12</v>
      </c>
      <c r="J188" s="92">
        <f>VLOOKUP($A188,'Data Vlaue (Cr)'!$C:$FB,94)</f>
        <v>0.16800000000000001</v>
      </c>
      <c r="K188" s="91">
        <f>VLOOKUP($A188,'Data Vlaue (Cr)'!$C:$FB,95)</f>
        <v>57</v>
      </c>
      <c r="L188" s="91">
        <f>VLOOKUP($A188,'Data Vlaue (Cr)'!$C:$FB,97)</f>
        <v>3</v>
      </c>
      <c r="M188" s="92">
        <f>VLOOKUP($A188,'Data Vlaue (Cr)'!$C:$FB,98)</f>
        <v>5.2900000000000003E-2</v>
      </c>
      <c r="N188" s="91">
        <f>VLOOKUP($A188,'Data Vlaue (Cr)'!$C:$FB,79)</f>
        <v>680</v>
      </c>
      <c r="O188" s="92">
        <f>VLOOKUP($A188,'Data Vlaue (Cr)'!$C:$FB,82)</f>
        <v>2.9999999999999997E-4</v>
      </c>
    </row>
    <row r="189" spans="1:15" x14ac:dyDescent="0.25">
      <c r="A189" s="97" t="str">
        <f>'Data Vlaue (Cr)'!C215</f>
        <v>ZYDUSLIFE</v>
      </c>
      <c r="B189" s="142">
        <f>VLOOKUP(A189,'Data Vlaue (Cr)'!C215:CW397,99,0)</f>
        <v>1402</v>
      </c>
      <c r="C189" s="90">
        <f>VLOOKUP(A189,'Data Vlaue (Cr)'!C215:CY397,101,0)</f>
        <v>42</v>
      </c>
      <c r="D189" s="139">
        <f>VLOOKUP(A189,'Data Vlaue (Cr)'!C215:CZ397,102,0)</f>
        <v>3.1E-2</v>
      </c>
      <c r="E189" s="91">
        <f>VLOOKUP($A189,'Data Vlaue (Cr)'!$C:$FB,75)</f>
        <v>945</v>
      </c>
      <c r="F189" s="91">
        <f>VLOOKUP($A189,'Data Vlaue (Cr)'!$C:$FB,77)</f>
        <v>-9</v>
      </c>
      <c r="G189" s="92">
        <f>VLOOKUP(A189,'Data Vlaue (Cr)'!C215:CB397,78,0)</f>
        <v>-8.8999999999999999E-3</v>
      </c>
      <c r="H189" s="91">
        <f>VLOOKUP($A189,'Data Vlaue (Cr)'!$C:$FB,91)</f>
        <v>250</v>
      </c>
      <c r="I189" s="91">
        <f>VLOOKUP($A189,'Data Vlaue (Cr)'!$C:$FB,93)</f>
        <v>26</v>
      </c>
      <c r="J189" s="92">
        <f>VLOOKUP($A189,'Data Vlaue (Cr)'!$C:$FB,94)</f>
        <v>0.11840000000000001</v>
      </c>
      <c r="K189" s="91">
        <f>VLOOKUP($A189,'Data Vlaue (Cr)'!$C:$FB,95)</f>
        <v>207</v>
      </c>
      <c r="L189" s="91">
        <f>VLOOKUP($A189,'Data Vlaue (Cr)'!$C:$FB,97)</f>
        <v>24</v>
      </c>
      <c r="M189" s="92">
        <f>VLOOKUP($A189,'Data Vlaue (Cr)'!$C:$FB,98)</f>
        <v>0.1326</v>
      </c>
      <c r="N189" s="91">
        <f>VLOOKUP($A189,'Data Vlaue (Cr)'!$C:$FB,79)</f>
        <v>921</v>
      </c>
      <c r="O189" s="92">
        <f>VLOOKUP($A189,'Data Vlaue (Cr)'!$C:$FB,82)</f>
        <v>-9.7999999999999997E-3</v>
      </c>
    </row>
    <row r="190" spans="1:15" x14ac:dyDescent="0.25">
      <c r="A190" s="97"/>
      <c r="B190" s="142"/>
      <c r="C190" s="90"/>
      <c r="D190" s="139"/>
      <c r="E190" s="91"/>
      <c r="F190" s="91"/>
      <c r="G190" s="92"/>
      <c r="H190" s="91"/>
      <c r="I190" s="91"/>
      <c r="J190" s="92"/>
      <c r="K190" s="91"/>
      <c r="L190" s="91"/>
      <c r="M190" s="92"/>
      <c r="N190" s="91"/>
      <c r="O190" s="92"/>
    </row>
    <row r="191" spans="1:15" x14ac:dyDescent="0.25">
      <c r="A191" s="97"/>
      <c r="B191" s="142"/>
      <c r="C191" s="90"/>
      <c r="D191" s="139"/>
      <c r="E191" s="91"/>
      <c r="F191" s="91"/>
      <c r="G191" s="92"/>
      <c r="H191" s="91"/>
      <c r="I191" s="91"/>
      <c r="J191" s="92"/>
      <c r="K191" s="91"/>
      <c r="L191" s="91"/>
      <c r="M191" s="92"/>
      <c r="N191" s="91"/>
      <c r="O191" s="92"/>
    </row>
    <row r="192" spans="1:15" x14ac:dyDescent="0.25">
      <c r="A192" s="97"/>
      <c r="B192" s="142"/>
      <c r="C192" s="90"/>
      <c r="D192" s="139"/>
      <c r="E192" s="91"/>
      <c r="F192" s="91"/>
      <c r="G192" s="92"/>
      <c r="H192" s="91"/>
      <c r="I192" s="91"/>
      <c r="J192" s="92"/>
      <c r="K192" s="91"/>
      <c r="L192" s="91"/>
      <c r="M192" s="92"/>
      <c r="N192" s="91"/>
      <c r="O192" s="92"/>
    </row>
    <row r="193" spans="1:15" x14ac:dyDescent="0.25">
      <c r="A193" s="97"/>
      <c r="B193" s="142"/>
      <c r="C193" s="90"/>
      <c r="D193" s="139"/>
      <c r="E193" s="91"/>
      <c r="F193" s="91"/>
      <c r="G193" s="92"/>
      <c r="H193" s="91"/>
      <c r="I193" s="91"/>
      <c r="J193" s="92"/>
      <c r="K193" s="91"/>
      <c r="L193" s="91"/>
      <c r="M193" s="92"/>
      <c r="N193" s="91"/>
      <c r="O193" s="92"/>
    </row>
    <row r="194" spans="1:15" x14ac:dyDescent="0.25">
      <c r="A194" s="97"/>
      <c r="B194" s="142"/>
      <c r="C194" s="90"/>
      <c r="D194" s="139"/>
      <c r="E194" s="91"/>
      <c r="F194" s="91"/>
      <c r="G194" s="92"/>
      <c r="H194" s="91"/>
      <c r="I194" s="91"/>
      <c r="J194" s="92"/>
      <c r="K194" s="91"/>
      <c r="L194" s="91"/>
      <c r="M194" s="92"/>
      <c r="N194" s="91"/>
      <c r="O194" s="92"/>
    </row>
    <row r="195" spans="1:15" x14ac:dyDescent="0.25">
      <c r="A195" s="97"/>
      <c r="B195" s="142"/>
      <c r="C195" s="90"/>
      <c r="D195" s="139"/>
      <c r="E195" s="91"/>
      <c r="F195" s="91"/>
      <c r="G195" s="92"/>
      <c r="H195" s="91"/>
      <c r="I195" s="91"/>
      <c r="J195" s="92"/>
      <c r="K195" s="91"/>
      <c r="L195" s="91"/>
      <c r="M195" s="92"/>
      <c r="N195" s="91"/>
      <c r="O195" s="92"/>
    </row>
    <row r="196" spans="1:15" x14ac:dyDescent="0.25">
      <c r="A196" s="97"/>
      <c r="B196" s="142"/>
      <c r="C196" s="90"/>
      <c r="D196" s="139"/>
      <c r="E196" s="91"/>
      <c r="F196" s="91"/>
      <c r="G196" s="92"/>
      <c r="H196" s="91"/>
      <c r="I196" s="91"/>
      <c r="J196" s="92"/>
      <c r="K196" s="91"/>
      <c r="L196" s="91"/>
      <c r="M196" s="92"/>
      <c r="N196" s="91"/>
      <c r="O196" s="92"/>
    </row>
    <row r="197" spans="1:15" x14ac:dyDescent="0.25">
      <c r="A197" s="97"/>
      <c r="B197" s="142"/>
      <c r="C197" s="90"/>
      <c r="D197" s="139"/>
      <c r="E197" s="91"/>
      <c r="F197" s="91"/>
      <c r="G197" s="92"/>
      <c r="H197" s="91"/>
      <c r="I197" s="91"/>
      <c r="J197" s="92"/>
      <c r="K197" s="91"/>
      <c r="L197" s="91"/>
      <c r="M197" s="92"/>
      <c r="N197" s="91"/>
      <c r="O197" s="92"/>
    </row>
    <row r="198" spans="1:15" x14ac:dyDescent="0.25">
      <c r="A198" s="97"/>
      <c r="B198" s="142"/>
      <c r="C198" s="90"/>
      <c r="D198" s="139"/>
      <c r="E198" s="91"/>
      <c r="F198" s="91"/>
      <c r="G198" s="92"/>
      <c r="H198" s="91"/>
      <c r="I198" s="91"/>
      <c r="J198" s="92"/>
      <c r="K198" s="91"/>
      <c r="L198" s="91"/>
      <c r="M198" s="92"/>
      <c r="N198" s="91"/>
      <c r="O198" s="92"/>
    </row>
    <row r="199" spans="1:15" x14ac:dyDescent="0.25">
      <c r="A199" s="97"/>
      <c r="B199" s="142"/>
      <c r="C199" s="90"/>
      <c r="D199" s="139"/>
      <c r="E199" s="91"/>
      <c r="F199" s="91"/>
      <c r="G199" s="92"/>
      <c r="H199" s="91"/>
      <c r="I199" s="91"/>
      <c r="J199" s="92"/>
      <c r="K199" s="91"/>
      <c r="L199" s="91"/>
      <c r="M199" s="92"/>
      <c r="N199" s="91"/>
      <c r="O199" s="92"/>
    </row>
    <row r="200" spans="1:15" x14ac:dyDescent="0.25">
      <c r="A200" s="97"/>
      <c r="B200" s="142"/>
      <c r="C200" s="90"/>
      <c r="D200" s="139"/>
      <c r="E200" s="91"/>
      <c r="F200" s="91"/>
      <c r="G200" s="92"/>
      <c r="H200" s="91"/>
      <c r="I200" s="91"/>
      <c r="J200" s="92"/>
      <c r="K200" s="91"/>
      <c r="L200" s="91"/>
      <c r="M200" s="92"/>
      <c r="N200" s="91"/>
      <c r="O200" s="92"/>
    </row>
    <row r="201" spans="1:15" x14ac:dyDescent="0.25">
      <c r="A201" s="97"/>
      <c r="B201" s="142"/>
      <c r="C201" s="90"/>
      <c r="D201" s="139"/>
      <c r="E201" s="91"/>
      <c r="F201" s="91"/>
      <c r="G201" s="92"/>
      <c r="H201" s="91"/>
      <c r="I201" s="91"/>
      <c r="J201" s="92"/>
      <c r="K201" s="91"/>
      <c r="L201" s="91"/>
      <c r="M201" s="92"/>
      <c r="N201" s="91"/>
      <c r="O201" s="92"/>
    </row>
    <row r="202" spans="1:15" x14ac:dyDescent="0.25">
      <c r="A202" s="97"/>
      <c r="B202" s="142"/>
      <c r="C202" s="90"/>
      <c r="D202" s="139"/>
      <c r="E202" s="91"/>
      <c r="F202" s="91"/>
      <c r="G202" s="92"/>
      <c r="H202" s="91"/>
      <c r="I202" s="91"/>
      <c r="J202" s="92"/>
      <c r="K202" s="91"/>
      <c r="L202" s="91"/>
      <c r="M202" s="92"/>
      <c r="N202" s="91"/>
      <c r="O202" s="92"/>
    </row>
    <row r="203" spans="1:15" x14ac:dyDescent="0.25">
      <c r="A203" s="97"/>
      <c r="B203" s="142"/>
      <c r="C203" s="90"/>
      <c r="D203" s="139"/>
      <c r="E203" s="91"/>
      <c r="F203" s="91"/>
      <c r="G203" s="92"/>
      <c r="H203" s="91"/>
      <c r="I203" s="91"/>
      <c r="J203" s="92"/>
      <c r="K203" s="91"/>
      <c r="L203" s="91"/>
      <c r="M203" s="92"/>
      <c r="N203" s="91"/>
      <c r="O203" s="92"/>
    </row>
    <row r="204" spans="1:15" x14ac:dyDescent="0.25">
      <c r="A204" s="97"/>
      <c r="B204" s="142"/>
      <c r="C204" s="90"/>
      <c r="D204" s="139"/>
      <c r="E204" s="91"/>
      <c r="F204" s="91"/>
      <c r="G204" s="92"/>
      <c r="H204" s="91"/>
      <c r="I204" s="91"/>
      <c r="J204" s="92"/>
      <c r="K204" s="91"/>
      <c r="L204" s="91"/>
      <c r="M204" s="92"/>
      <c r="N204" s="91"/>
      <c r="O204" s="92"/>
    </row>
    <row r="205" spans="1:15" x14ac:dyDescent="0.25">
      <c r="A205" s="97"/>
      <c r="B205" s="142"/>
      <c r="C205" s="90"/>
      <c r="D205" s="139"/>
      <c r="E205" s="91"/>
      <c r="F205" s="91"/>
      <c r="G205" s="92"/>
      <c r="H205" s="91"/>
      <c r="I205" s="91"/>
      <c r="J205" s="92"/>
      <c r="K205" s="91"/>
      <c r="L205" s="91"/>
      <c r="M205" s="92"/>
      <c r="N205" s="91"/>
      <c r="O205" s="92"/>
    </row>
    <row r="206" spans="1:15" x14ac:dyDescent="0.25">
      <c r="A206" s="97"/>
      <c r="B206" s="142"/>
      <c r="C206" s="90"/>
      <c r="D206" s="139"/>
      <c r="E206" s="91"/>
      <c r="F206" s="91"/>
      <c r="G206" s="92"/>
      <c r="H206" s="91"/>
      <c r="I206" s="91"/>
      <c r="J206" s="92"/>
      <c r="K206" s="91"/>
      <c r="L206" s="91"/>
      <c r="M206" s="92"/>
      <c r="N206" s="91"/>
      <c r="O206" s="92"/>
    </row>
    <row r="207" spans="1:15" x14ac:dyDescent="0.25">
      <c r="A207" s="97"/>
      <c r="B207" s="142"/>
      <c r="C207" s="90"/>
      <c r="D207" s="139"/>
      <c r="E207" s="91"/>
      <c r="F207" s="91"/>
      <c r="G207" s="92"/>
      <c r="H207" s="91"/>
      <c r="I207" s="91"/>
      <c r="J207" s="92"/>
      <c r="K207" s="91"/>
      <c r="L207" s="91"/>
      <c r="M207" s="92"/>
      <c r="N207" s="91"/>
      <c r="O207" s="92"/>
    </row>
    <row r="208" spans="1:15" x14ac:dyDescent="0.25">
      <c r="A208" s="97"/>
      <c r="B208" s="142"/>
      <c r="C208" s="90"/>
      <c r="D208" s="139"/>
      <c r="E208" s="91"/>
      <c r="F208" s="91"/>
      <c r="G208" s="92"/>
      <c r="H208" s="91"/>
      <c r="I208" s="91"/>
      <c r="J208" s="92"/>
      <c r="K208" s="91"/>
      <c r="L208" s="91"/>
      <c r="M208" s="92"/>
      <c r="N208" s="91"/>
      <c r="O208" s="92"/>
    </row>
    <row r="209" spans="1:15" x14ac:dyDescent="0.25">
      <c r="A209" s="102"/>
      <c r="B209" s="142"/>
      <c r="C209" s="90"/>
      <c r="D209" s="139"/>
      <c r="E209" s="91"/>
      <c r="F209" s="91"/>
      <c r="G209" s="92"/>
      <c r="H209" s="91"/>
      <c r="I209" s="91"/>
      <c r="J209" s="92"/>
      <c r="K209" s="91"/>
      <c r="L209" s="91"/>
      <c r="M209" s="92"/>
      <c r="N209" s="91"/>
      <c r="O209" s="92"/>
    </row>
    <row r="210" spans="1:15" s="88" customFormat="1" ht="15.75" customHeight="1" x14ac:dyDescent="0.25">
      <c r="A210" s="122" t="s">
        <v>391</v>
      </c>
      <c r="B210" s="123">
        <f>SUM(B7:B209)</f>
        <v>2027504</v>
      </c>
      <c r="C210" s="123">
        <f>SUM(C7:C209)</f>
        <v>232698</v>
      </c>
      <c r="D210" s="124">
        <f>'Snapshot (Value)'!K225</f>
        <v>0.12964448723434602</v>
      </c>
      <c r="E210" s="123">
        <f>SUM(E7:E209)</f>
        <v>500845</v>
      </c>
      <c r="F210" s="123">
        <f>SUM(F7:F209)</f>
        <v>4304</v>
      </c>
      <c r="G210" s="149">
        <f>F210*100/(E210-F210)</f>
        <v>0.86679649817437032</v>
      </c>
      <c r="H210" s="123">
        <f>SUM(H7:H209)</f>
        <v>738910</v>
      </c>
      <c r="I210" s="123">
        <f>SUM(I7:I209)</f>
        <v>138402</v>
      </c>
      <c r="J210" s="149">
        <f>I210/(H210-I210)</f>
        <v>0.2304748646146263</v>
      </c>
      <c r="K210" s="123">
        <f>SUM(K7:K209)</f>
        <v>787740</v>
      </c>
      <c r="L210" s="123">
        <f>SUM(L7:L209)</f>
        <v>89995</v>
      </c>
      <c r="M210" s="149">
        <f>L210/(K210-L210)</f>
        <v>0.12897978487842979</v>
      </c>
      <c r="N210" s="123">
        <f>SUM(N7:N209)</f>
        <v>485178</v>
      </c>
      <c r="O210" s="149">
        <f>(N210-FII!V2)/N210</f>
        <v>-0.12958336940256979</v>
      </c>
    </row>
    <row r="215" spans="1:15" x14ac:dyDescent="0.25">
      <c r="A215" s="273" t="s">
        <v>408</v>
      </c>
      <c r="B215" s="273"/>
      <c r="C215" s="273"/>
      <c r="D215" s="273"/>
    </row>
    <row r="216" spans="1:15" x14ac:dyDescent="0.25">
      <c r="A216" s="35" t="s">
        <v>401</v>
      </c>
      <c r="B216" s="35" t="s">
        <v>402</v>
      </c>
      <c r="C216" s="35" t="s">
        <v>369</v>
      </c>
      <c r="D216" s="35" t="s">
        <v>407</v>
      </c>
    </row>
    <row r="217" spans="1:15" x14ac:dyDescent="0.25">
      <c r="A217" s="36" t="s">
        <v>403</v>
      </c>
      <c r="B217" s="37">
        <f>E210</f>
        <v>500845</v>
      </c>
      <c r="C217" s="37">
        <f>F210</f>
        <v>4304</v>
      </c>
      <c r="D217" s="39">
        <f>C217/B217</f>
        <v>8.5934770238297285E-3</v>
      </c>
    </row>
    <row r="218" spans="1:15" x14ac:dyDescent="0.25">
      <c r="A218" s="36" t="s">
        <v>404</v>
      </c>
      <c r="B218" s="37">
        <f>H210</f>
        <v>738910</v>
      </c>
      <c r="C218" s="37">
        <f>I210</f>
        <v>138402</v>
      </c>
      <c r="D218" s="150">
        <f>C218/B218</f>
        <v>0.18730562585429891</v>
      </c>
    </row>
    <row r="219" spans="1:15" x14ac:dyDescent="0.25">
      <c r="A219" s="36" t="s">
        <v>405</v>
      </c>
      <c r="B219" s="37">
        <f>K210</f>
        <v>787740</v>
      </c>
      <c r="C219" s="37">
        <f>L210</f>
        <v>89995</v>
      </c>
      <c r="D219" s="150">
        <f>C219/B219</f>
        <v>0.11424454769340138</v>
      </c>
    </row>
    <row r="220" spans="1:15" x14ac:dyDescent="0.25">
      <c r="A220" s="36" t="s">
        <v>406</v>
      </c>
      <c r="B220" s="37">
        <f>B217+B218+B219</f>
        <v>2027495</v>
      </c>
      <c r="C220" s="37">
        <f>C217+C218+C219</f>
        <v>232701</v>
      </c>
      <c r="D220" s="150">
        <f>C220/B220</f>
        <v>0.11477266281791078</v>
      </c>
    </row>
  </sheetData>
  <autoFilter ref="A6:O6">
    <sortState ref="A7:O154">
      <sortCondition ref="A6"/>
    </sortState>
  </autoFilter>
  <mergeCells count="9">
    <mergeCell ref="A215:D21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pane ySplit="6" topLeftCell="A7" activePane="bottomLeft" state="frozen"/>
      <selection pane="bottomLeft" activeCell="S54" sqref="S54"/>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1" t="s">
        <v>343</v>
      </c>
      <c r="B3" s="292"/>
      <c r="C3" s="292"/>
      <c r="D3" s="292"/>
      <c r="E3" s="292"/>
      <c r="F3" s="292"/>
      <c r="G3" s="293"/>
      <c r="H3" s="293"/>
      <c r="I3" s="293"/>
      <c r="J3" s="294"/>
    </row>
    <row r="4" spans="1:10" s="93" customFormat="1" x14ac:dyDescent="0.25">
      <c r="A4" s="295" t="s">
        <v>330</v>
      </c>
      <c r="B4" s="295" t="s">
        <v>308</v>
      </c>
      <c r="C4" s="295"/>
      <c r="D4" s="295"/>
      <c r="E4" s="295" t="s">
        <v>340</v>
      </c>
      <c r="F4" s="295"/>
      <c r="G4" s="295"/>
      <c r="H4" s="295" t="s">
        <v>458</v>
      </c>
      <c r="I4" s="295"/>
      <c r="J4" s="295"/>
    </row>
    <row r="5" spans="1:10" s="93" customFormat="1" x14ac:dyDescent="0.25">
      <c r="A5" s="296"/>
      <c r="B5" s="94" t="s">
        <v>312</v>
      </c>
      <c r="C5" s="94" t="s">
        <v>313</v>
      </c>
      <c r="D5" s="94"/>
      <c r="E5" s="296" t="s">
        <v>314</v>
      </c>
      <c r="F5" s="296"/>
      <c r="G5" s="296"/>
      <c r="H5" s="296" t="s">
        <v>314</v>
      </c>
      <c r="I5" s="296"/>
      <c r="J5" s="296"/>
    </row>
    <row r="6" spans="1:10" s="93" customFormat="1" x14ac:dyDescent="0.25">
      <c r="A6" s="94" t="s">
        <v>318</v>
      </c>
      <c r="B6" s="3">
        <f>'OI(Volume)'!B6</f>
        <v>46023</v>
      </c>
      <c r="C6" s="3">
        <f>B6</f>
        <v>46023</v>
      </c>
      <c r="D6" s="94" t="s">
        <v>328</v>
      </c>
      <c r="E6" s="3">
        <f>B6</f>
        <v>46023</v>
      </c>
      <c r="F6" s="94" t="s">
        <v>322</v>
      </c>
      <c r="G6" s="94" t="s">
        <v>328</v>
      </c>
      <c r="H6" s="3">
        <f>E6</f>
        <v>46023</v>
      </c>
      <c r="I6" s="94" t="s">
        <v>322</v>
      </c>
      <c r="J6" s="94" t="s">
        <v>328</v>
      </c>
    </row>
    <row r="7" spans="1:10" x14ac:dyDescent="0.25">
      <c r="A7" s="101" t="e">
        <f>'NIFTY GRP'!#REF!</f>
        <v>#REF!</v>
      </c>
      <c r="B7" s="140" t="e">
        <f>VLOOKUP($A7,'Data shares'!$C:$FA,7)</f>
        <v>#REF!</v>
      </c>
      <c r="C7" s="140" t="e">
        <f>VLOOKUP($A7,'Data shares'!$C:$FA,3)</f>
        <v>#REF!</v>
      </c>
      <c r="D7" s="50" t="e">
        <f>VLOOKUP($A7,'Data shares'!$C:$FA,6)*100</f>
        <v>#REF!</v>
      </c>
      <c r="E7" s="51" t="e">
        <f>VLOOKUP($A7,'Data shares'!$C:$FA,98)</f>
        <v>#REF!</v>
      </c>
      <c r="F7" s="51" t="e">
        <f>VLOOKUP($A7,'Data shares'!$C:$FA,99)</f>
        <v>#REF!</v>
      </c>
      <c r="G7" s="50" t="e">
        <f>VLOOKUP($A7,'Data shares'!$C:$FA,101)*100</f>
        <v>#REF!</v>
      </c>
      <c r="H7" s="49" t="e">
        <f>VLOOKUP($A7,'Data Vlaue (Cr)'!$C:$FB,99)</f>
        <v>#REF!</v>
      </c>
      <c r="I7" s="49" t="e">
        <f>VLOOKUP($A7,'Data Vlaue (Cr)'!$C:$FB,100)</f>
        <v>#REF!</v>
      </c>
      <c r="J7" s="49" t="e">
        <f>VLOOKUP($A7,'Data Vlaue (Cr)'!$C:$FB,102)*100</f>
        <v>#REF!</v>
      </c>
    </row>
    <row r="8" spans="1:10" x14ac:dyDescent="0.25">
      <c r="A8" s="101" t="e">
        <f>'NIFTY GRP'!#REF!</f>
        <v>#REF!</v>
      </c>
      <c r="B8" s="140" t="e">
        <f>VLOOKUP($A8,'Data shares'!$C:$FA,7)</f>
        <v>#REF!</v>
      </c>
      <c r="C8" s="140" t="e">
        <f>VLOOKUP($A8,'Data shares'!$C:$FA,3)</f>
        <v>#REF!</v>
      </c>
      <c r="D8" s="50" t="e">
        <f>VLOOKUP($A8,'Data shares'!$C:$FA,6)*100</f>
        <v>#REF!</v>
      </c>
      <c r="E8" s="51" t="e">
        <f>VLOOKUP($A8,'Data shares'!$C:$FA,98)</f>
        <v>#REF!</v>
      </c>
      <c r="F8" s="51" t="e">
        <f>VLOOKUP($A8,'Data shares'!$C:$FA,99)</f>
        <v>#REF!</v>
      </c>
      <c r="G8" s="50" t="e">
        <f>VLOOKUP($A8,'Data shares'!$C:$FA,101)*100</f>
        <v>#REF!</v>
      </c>
      <c r="H8" s="49" t="e">
        <f>VLOOKUP($A8,'Data Vlaue (Cr)'!$C:$FB,99)</f>
        <v>#REF!</v>
      </c>
      <c r="I8" s="49" t="e">
        <f>VLOOKUP($A8,'Data Vlaue (Cr)'!$C:$FB,100)</f>
        <v>#REF!</v>
      </c>
      <c r="J8" s="49" t="e">
        <f>VLOOKUP($A8,'Data Vlaue (Cr)'!$C:$FB,102)*100</f>
        <v>#REF!</v>
      </c>
    </row>
    <row r="9" spans="1:10" x14ac:dyDescent="0.25">
      <c r="A9" s="101" t="e">
        <f>'NIFTY GRP'!#REF!</f>
        <v>#REF!</v>
      </c>
      <c r="B9" s="140" t="e">
        <f>VLOOKUP($A9,'Data shares'!$C:$FA,7)</f>
        <v>#REF!</v>
      </c>
      <c r="C9" s="140" t="e">
        <f>VLOOKUP($A9,'Data shares'!$C:$FA,3)</f>
        <v>#REF!</v>
      </c>
      <c r="D9" s="50" t="e">
        <f>VLOOKUP($A9,'Data shares'!$C:$FA,6)*100</f>
        <v>#REF!</v>
      </c>
      <c r="E9" s="51" t="e">
        <f>VLOOKUP($A9,'Data shares'!$C:$FA,98)</f>
        <v>#REF!</v>
      </c>
      <c r="F9" s="51" t="e">
        <f>VLOOKUP($A9,'Data shares'!$C:$FA,99)</f>
        <v>#REF!</v>
      </c>
      <c r="G9" s="50" t="e">
        <f>VLOOKUP($A9,'Data shares'!$C:$FA,101)*100</f>
        <v>#REF!</v>
      </c>
      <c r="H9" s="49" t="e">
        <f>VLOOKUP($A9,'Data Vlaue (Cr)'!$C:$FB,99)</f>
        <v>#REF!</v>
      </c>
      <c r="I9" s="49" t="e">
        <f>VLOOKUP($A9,'Data Vlaue (Cr)'!$C:$FB,100)</f>
        <v>#REF!</v>
      </c>
      <c r="J9" s="49" t="e">
        <f>VLOOKUP($A9,'Data Vlaue (Cr)'!$C:$FB,102)*100</f>
        <v>#REF!</v>
      </c>
    </row>
    <row r="10" spans="1:10" x14ac:dyDescent="0.25">
      <c r="A10" s="101" t="e">
        <f>'NIFTY GRP'!#REF!</f>
        <v>#REF!</v>
      </c>
      <c r="B10" s="140" t="e">
        <f>VLOOKUP($A10,'Data shares'!$C:$FA,7)</f>
        <v>#REF!</v>
      </c>
      <c r="C10" s="140" t="e">
        <f>VLOOKUP($A10,'Data shares'!$C:$FA,3)</f>
        <v>#REF!</v>
      </c>
      <c r="D10" s="50" t="e">
        <f>VLOOKUP($A10,'Data shares'!$C:$FA,6)*100</f>
        <v>#REF!</v>
      </c>
      <c r="E10" s="51" t="e">
        <f>VLOOKUP($A10,'Data shares'!$C:$FA,98)</f>
        <v>#REF!</v>
      </c>
      <c r="F10" s="51" t="e">
        <f>VLOOKUP($A10,'Data shares'!$C:$FA,99)</f>
        <v>#REF!</v>
      </c>
      <c r="G10" s="50" t="e">
        <f>VLOOKUP($A10,'Data shares'!$C:$FA,101)*100</f>
        <v>#REF!</v>
      </c>
      <c r="H10" s="49" t="e">
        <f>VLOOKUP($A10,'Data Vlaue (Cr)'!$C:$FB,99)</f>
        <v>#REF!</v>
      </c>
      <c r="I10" s="49" t="e">
        <f>VLOOKUP($A10,'Data Vlaue (Cr)'!$C:$FB,100)</f>
        <v>#REF!</v>
      </c>
      <c r="J10" s="49" t="e">
        <f>VLOOKUP($A10,'Data Vlaue (Cr)'!$C:$FB,102)*100</f>
        <v>#REF!</v>
      </c>
    </row>
    <row r="11" spans="1:10" x14ac:dyDescent="0.25">
      <c r="A11" s="101" t="e">
        <f>'NIFTY GRP'!#REF!</f>
        <v>#REF!</v>
      </c>
      <c r="B11" s="140" t="e">
        <f>VLOOKUP($A11,'Data shares'!$C:$FA,7)</f>
        <v>#REF!</v>
      </c>
      <c r="C11" s="140" t="e">
        <f>VLOOKUP($A11,'Data shares'!$C:$FA,3)</f>
        <v>#REF!</v>
      </c>
      <c r="D11" s="50" t="e">
        <f>VLOOKUP($A11,'Data shares'!$C:$FA,6)*100</f>
        <v>#REF!</v>
      </c>
      <c r="E11" s="51" t="e">
        <f>VLOOKUP($A11,'Data shares'!$C:$FA,98)</f>
        <v>#REF!</v>
      </c>
      <c r="F11" s="51" t="e">
        <f>VLOOKUP($A11,'Data shares'!$C:$FA,99)</f>
        <v>#REF!</v>
      </c>
      <c r="G11" s="50" t="e">
        <f>VLOOKUP($A11,'Data shares'!$C:$FA,101)*100</f>
        <v>#REF!</v>
      </c>
      <c r="H11" s="49" t="e">
        <f>VLOOKUP($A11,'Data Vlaue (Cr)'!$C:$FB,99)</f>
        <v>#REF!</v>
      </c>
      <c r="I11" s="49" t="e">
        <f>VLOOKUP($A11,'Data Vlaue (Cr)'!$C:$FB,100)</f>
        <v>#REF!</v>
      </c>
      <c r="J11" s="49" t="e">
        <f>VLOOKUP($A11,'Data Vlaue (Cr)'!$C:$FB,102)*100</f>
        <v>#REF!</v>
      </c>
    </row>
    <row r="12" spans="1:10" x14ac:dyDescent="0.25">
      <c r="A12" s="101" t="e">
        <f>'NIFTY GRP'!#REF!</f>
        <v>#REF!</v>
      </c>
      <c r="B12" s="140" t="e">
        <f>VLOOKUP($A12,'Data shares'!$C:$FA,7)</f>
        <v>#REF!</v>
      </c>
      <c r="C12" s="140" t="e">
        <f>VLOOKUP($A12,'Data shares'!$C:$FA,3)</f>
        <v>#REF!</v>
      </c>
      <c r="D12" s="50" t="e">
        <f>VLOOKUP($A12,'Data shares'!$C:$FA,6)*100</f>
        <v>#REF!</v>
      </c>
      <c r="E12" s="51" t="e">
        <f>VLOOKUP($A12,'Data shares'!$C:$FA,98)</f>
        <v>#REF!</v>
      </c>
      <c r="F12" s="51" t="e">
        <f>VLOOKUP($A12,'Data shares'!$C:$FA,99)</f>
        <v>#REF!</v>
      </c>
      <c r="G12" s="50" t="e">
        <f>VLOOKUP($A12,'Data shares'!$C:$FA,101)*100</f>
        <v>#REF!</v>
      </c>
      <c r="H12" s="49" t="e">
        <f>VLOOKUP($A12,'Data Vlaue (Cr)'!$C:$FB,99)</f>
        <v>#REF!</v>
      </c>
      <c r="I12" s="49" t="e">
        <f>VLOOKUP($A12,'Data Vlaue (Cr)'!$C:$FB,100)</f>
        <v>#REF!</v>
      </c>
      <c r="J12" s="49" t="e">
        <f>VLOOKUP($A12,'Data Vlaue (Cr)'!$C:$FB,102)*100</f>
        <v>#REF!</v>
      </c>
    </row>
    <row r="13" spans="1:10" x14ac:dyDescent="0.25">
      <c r="A13" s="101" t="e">
        <f>'NIFTY GRP'!#REF!</f>
        <v>#REF!</v>
      </c>
      <c r="B13" s="140" t="e">
        <f>VLOOKUP($A13,'Data shares'!$C:$FA,7)</f>
        <v>#REF!</v>
      </c>
      <c r="C13" s="140" t="e">
        <f>VLOOKUP($A13,'Data shares'!$C:$FA,3)</f>
        <v>#REF!</v>
      </c>
      <c r="D13" s="50" t="e">
        <f>VLOOKUP($A13,'Data shares'!$C:$FA,6)*100</f>
        <v>#REF!</v>
      </c>
      <c r="E13" s="51" t="e">
        <f>VLOOKUP($A13,'Data shares'!$C:$FA,98)</f>
        <v>#REF!</v>
      </c>
      <c r="F13" s="51" t="e">
        <f>VLOOKUP($A13,'Data shares'!$C:$FA,99)</f>
        <v>#REF!</v>
      </c>
      <c r="G13" s="50" t="e">
        <f>VLOOKUP($A13,'Data shares'!$C:$FA,101)*100</f>
        <v>#REF!</v>
      </c>
      <c r="H13" s="49" t="e">
        <f>VLOOKUP($A13,'Data Vlaue (Cr)'!$C:$FB,99)</f>
        <v>#REF!</v>
      </c>
      <c r="I13" s="49" t="e">
        <f>VLOOKUP($A13,'Data Vlaue (Cr)'!$C:$FB,100)</f>
        <v>#REF!</v>
      </c>
      <c r="J13" s="49" t="e">
        <f>VLOOKUP($A13,'Data Vlaue (Cr)'!$C:$FB,102)*100</f>
        <v>#REF!</v>
      </c>
    </row>
    <row r="14" spans="1:10" x14ac:dyDescent="0.25">
      <c r="A14" s="101" t="e">
        <f>'NIFTY GRP'!#REF!</f>
        <v>#REF!</v>
      </c>
      <c r="B14" s="140" t="e">
        <f>VLOOKUP($A14,'Data shares'!$C:$FA,7)</f>
        <v>#REF!</v>
      </c>
      <c r="C14" s="140" t="e">
        <f>VLOOKUP($A14,'Data shares'!$C:$FA,3)</f>
        <v>#REF!</v>
      </c>
      <c r="D14" s="50" t="e">
        <f>VLOOKUP($A14,'Data shares'!$C:$FA,6)*100</f>
        <v>#REF!</v>
      </c>
      <c r="E14" s="51" t="e">
        <f>VLOOKUP($A14,'Data shares'!$C:$FA,98)</f>
        <v>#REF!</v>
      </c>
      <c r="F14" s="51" t="e">
        <f>VLOOKUP($A14,'Data shares'!$C:$FA,99)</f>
        <v>#REF!</v>
      </c>
      <c r="G14" s="50" t="e">
        <f>VLOOKUP($A14,'Data shares'!$C:$FA,101)*100</f>
        <v>#REF!</v>
      </c>
      <c r="H14" s="49" t="e">
        <f>VLOOKUP($A14,'Data Vlaue (Cr)'!$C:$FB,99)</f>
        <v>#REF!</v>
      </c>
      <c r="I14" s="49" t="e">
        <f>VLOOKUP($A14,'Data Vlaue (Cr)'!$C:$FB,100)</f>
        <v>#REF!</v>
      </c>
      <c r="J14" s="49" t="e">
        <f>VLOOKUP($A14,'Data Vlaue (Cr)'!$C:$FB,102)*100</f>
        <v>#REF!</v>
      </c>
    </row>
    <row r="15" spans="1:10" x14ac:dyDescent="0.25">
      <c r="A15" s="101" t="e">
        <f>'NIFTY GRP'!#REF!</f>
        <v>#REF!</v>
      </c>
      <c r="B15" s="140" t="e">
        <f>VLOOKUP($A15,'Data shares'!$C:$FA,7)</f>
        <v>#REF!</v>
      </c>
      <c r="C15" s="140" t="e">
        <f>VLOOKUP($A15,'Data shares'!$C:$FA,3)</f>
        <v>#REF!</v>
      </c>
      <c r="D15" s="50" t="e">
        <f>VLOOKUP($A15,'Data shares'!$C:$FA,6)*100</f>
        <v>#REF!</v>
      </c>
      <c r="E15" s="51" t="e">
        <f>VLOOKUP($A15,'Data shares'!$C:$FA,98)</f>
        <v>#REF!</v>
      </c>
      <c r="F15" s="51" t="e">
        <f>VLOOKUP($A15,'Data shares'!$C:$FA,99)</f>
        <v>#REF!</v>
      </c>
      <c r="G15" s="50" t="e">
        <f>VLOOKUP($A15,'Data shares'!$C:$FA,101)*100</f>
        <v>#REF!</v>
      </c>
      <c r="H15" s="49" t="e">
        <f>VLOOKUP($A15,'Data Vlaue (Cr)'!$C:$FB,99)</f>
        <v>#REF!</v>
      </c>
      <c r="I15" s="49" t="e">
        <f>VLOOKUP($A15,'Data Vlaue (Cr)'!$C:$FB,100)</f>
        <v>#REF!</v>
      </c>
      <c r="J15" s="49" t="e">
        <f>VLOOKUP($A15,'Data Vlaue (Cr)'!$C:$FB,102)*100</f>
        <v>#REF!</v>
      </c>
    </row>
    <row r="16" spans="1:10" x14ac:dyDescent="0.25">
      <c r="A16" s="101" t="e">
        <f>'NIFTY GRP'!#REF!</f>
        <v>#REF!</v>
      </c>
      <c r="B16" s="140" t="e">
        <f>VLOOKUP($A16,'Data shares'!$C:$FA,7)</f>
        <v>#REF!</v>
      </c>
      <c r="C16" s="140" t="e">
        <f>VLOOKUP($A16,'Data shares'!$C:$FA,3)</f>
        <v>#REF!</v>
      </c>
      <c r="D16" s="50" t="e">
        <f>VLOOKUP($A16,'Data shares'!$C:$FA,6)*100</f>
        <v>#REF!</v>
      </c>
      <c r="E16" s="51" t="e">
        <f>VLOOKUP($A16,'Data shares'!$C:$FA,98)</f>
        <v>#REF!</v>
      </c>
      <c r="F16" s="51" t="e">
        <f>VLOOKUP($A16,'Data shares'!$C:$FA,99)</f>
        <v>#REF!</v>
      </c>
      <c r="G16" s="50" t="e">
        <f>VLOOKUP($A16,'Data shares'!$C:$FA,101)*100</f>
        <v>#REF!</v>
      </c>
      <c r="H16" s="49" t="e">
        <f>VLOOKUP($A16,'Data Vlaue (Cr)'!$C:$FB,99)</f>
        <v>#REF!</v>
      </c>
      <c r="I16" s="49" t="e">
        <f>VLOOKUP($A16,'Data Vlaue (Cr)'!$C:$FB,100)</f>
        <v>#REF!</v>
      </c>
      <c r="J16" s="49" t="e">
        <f>VLOOKUP($A16,'Data Vlaue (Cr)'!$C:$FB,102)*100</f>
        <v>#REF!</v>
      </c>
    </row>
    <row r="17" spans="1:10" x14ac:dyDescent="0.25">
      <c r="A17" s="101" t="e">
        <f>'NIFTY GRP'!#REF!</f>
        <v>#REF!</v>
      </c>
      <c r="B17" s="140" t="e">
        <f>VLOOKUP($A17,'Data shares'!$C:$FA,7)</f>
        <v>#REF!</v>
      </c>
      <c r="C17" s="140" t="e">
        <f>VLOOKUP($A17,'Data shares'!$C:$FA,3)</f>
        <v>#REF!</v>
      </c>
      <c r="D17" s="50" t="e">
        <f>VLOOKUP($A17,'Data shares'!$C:$FA,6)*100</f>
        <v>#REF!</v>
      </c>
      <c r="E17" s="51" t="e">
        <f>VLOOKUP($A17,'Data shares'!$C:$FA,98)</f>
        <v>#REF!</v>
      </c>
      <c r="F17" s="51" t="e">
        <f>VLOOKUP($A17,'Data shares'!$C:$FA,99)</f>
        <v>#REF!</v>
      </c>
      <c r="G17" s="50" t="e">
        <f>VLOOKUP($A17,'Data shares'!$C:$FA,101)*100</f>
        <v>#REF!</v>
      </c>
      <c r="H17" s="49" t="e">
        <f>VLOOKUP($A17,'Data Vlaue (Cr)'!$C:$FB,99)</f>
        <v>#REF!</v>
      </c>
      <c r="I17" s="49" t="e">
        <f>VLOOKUP($A17,'Data Vlaue (Cr)'!$C:$FB,100)</f>
        <v>#REF!</v>
      </c>
      <c r="J17" s="49" t="e">
        <f>VLOOKUP($A17,'Data Vlaue (Cr)'!$C:$FB,102)*100</f>
        <v>#REF!</v>
      </c>
    </row>
    <row r="18" spans="1:10" x14ac:dyDescent="0.25">
      <c r="A18" s="101" t="e">
        <f>'NIFTY GRP'!#REF!</f>
        <v>#REF!</v>
      </c>
      <c r="B18" s="140" t="e">
        <f>VLOOKUP($A18,'Data shares'!$C:$FA,7)</f>
        <v>#REF!</v>
      </c>
      <c r="C18" s="140" t="e">
        <f>VLOOKUP($A18,'Data shares'!$C:$FA,3)</f>
        <v>#REF!</v>
      </c>
      <c r="D18" s="50" t="e">
        <f>VLOOKUP($A18,'Data shares'!$C:$FA,6)*100</f>
        <v>#REF!</v>
      </c>
      <c r="E18" s="51" t="e">
        <f>VLOOKUP($A18,'Data shares'!$C:$FA,98)</f>
        <v>#REF!</v>
      </c>
      <c r="F18" s="51" t="e">
        <f>VLOOKUP($A18,'Data shares'!$C:$FA,99)</f>
        <v>#REF!</v>
      </c>
      <c r="G18" s="50" t="e">
        <f>VLOOKUP($A18,'Data shares'!$C:$FA,101)*100</f>
        <v>#REF!</v>
      </c>
      <c r="H18" s="49" t="e">
        <f>VLOOKUP($A18,'Data Vlaue (Cr)'!$C:$FB,99)</f>
        <v>#REF!</v>
      </c>
      <c r="I18" s="49" t="e">
        <f>VLOOKUP($A18,'Data Vlaue (Cr)'!$C:$FB,100)</f>
        <v>#REF!</v>
      </c>
      <c r="J18" s="49" t="e">
        <f>VLOOKUP($A18,'Data Vlaue (Cr)'!$C:$FB,102)*100</f>
        <v>#REF!</v>
      </c>
    </row>
    <row r="19" spans="1:10" x14ac:dyDescent="0.25">
      <c r="A19" s="101" t="e">
        <f>'NIFTY GRP'!#REF!</f>
        <v>#REF!</v>
      </c>
      <c r="B19" s="140" t="e">
        <f>VLOOKUP($A19,'Data shares'!$C:$FA,7)</f>
        <v>#REF!</v>
      </c>
      <c r="C19" s="140" t="e">
        <f>VLOOKUP($A19,'Data shares'!$C:$FA,3)</f>
        <v>#REF!</v>
      </c>
      <c r="D19" s="50" t="e">
        <f>VLOOKUP($A19,'Data shares'!$C:$FA,6)*100</f>
        <v>#REF!</v>
      </c>
      <c r="E19" s="51" t="e">
        <f>VLOOKUP($A19,'Data shares'!$C:$FA,98)</f>
        <v>#REF!</v>
      </c>
      <c r="F19" s="51" t="e">
        <f>VLOOKUP($A19,'Data shares'!$C:$FA,99)</f>
        <v>#REF!</v>
      </c>
      <c r="G19" s="50" t="e">
        <f>VLOOKUP($A19,'Data shares'!$C:$FA,101)*100</f>
        <v>#REF!</v>
      </c>
      <c r="H19" s="49" t="e">
        <f>VLOOKUP($A19,'Data Vlaue (Cr)'!$C:$FB,99)</f>
        <v>#REF!</v>
      </c>
      <c r="I19" s="49" t="e">
        <f>VLOOKUP($A19,'Data Vlaue (Cr)'!$C:$FB,100)</f>
        <v>#REF!</v>
      </c>
      <c r="J19" s="49" t="e">
        <f>VLOOKUP($A19,'Data Vlaue (Cr)'!$C:$FB,102)*100</f>
        <v>#REF!</v>
      </c>
    </row>
    <row r="20" spans="1:10" x14ac:dyDescent="0.25">
      <c r="A20" s="101" t="e">
        <f>'NIFTY GRP'!#REF!</f>
        <v>#REF!</v>
      </c>
      <c r="B20" s="140" t="e">
        <f>VLOOKUP($A20,'Data shares'!$C:$FA,7)</f>
        <v>#REF!</v>
      </c>
      <c r="C20" s="140" t="e">
        <f>VLOOKUP($A20,'Data shares'!$C:$FA,3)</f>
        <v>#REF!</v>
      </c>
      <c r="D20" s="50" t="e">
        <f>VLOOKUP($A20,'Data shares'!$C:$FA,6)*100</f>
        <v>#REF!</v>
      </c>
      <c r="E20" s="51" t="e">
        <f>VLOOKUP($A20,'Data shares'!$C:$FA,98)</f>
        <v>#REF!</v>
      </c>
      <c r="F20" s="51" t="e">
        <f>VLOOKUP($A20,'Data shares'!$C:$FA,99)</f>
        <v>#REF!</v>
      </c>
      <c r="G20" s="50" t="e">
        <f>VLOOKUP($A20,'Data shares'!$C:$FA,101)*100</f>
        <v>#REF!</v>
      </c>
      <c r="H20" s="49" t="e">
        <f>VLOOKUP($A20,'Data Vlaue (Cr)'!$C:$FB,99)</f>
        <v>#REF!</v>
      </c>
      <c r="I20" s="49" t="e">
        <f>VLOOKUP($A20,'Data Vlaue (Cr)'!$C:$FB,100)</f>
        <v>#REF!</v>
      </c>
      <c r="J20" s="49" t="e">
        <f>VLOOKUP($A20,'Data Vlaue (Cr)'!$C:$FB,102)*100</f>
        <v>#REF!</v>
      </c>
    </row>
    <row r="21" spans="1:10" x14ac:dyDescent="0.25">
      <c r="A21" s="101" t="e">
        <f>'NIFTY GRP'!#REF!</f>
        <v>#REF!</v>
      </c>
      <c r="B21" s="140" t="e">
        <f>VLOOKUP($A21,'Data shares'!$C:$FA,7)</f>
        <v>#REF!</v>
      </c>
      <c r="C21" s="140" t="e">
        <f>VLOOKUP($A21,'Data shares'!$C:$FA,3)</f>
        <v>#REF!</v>
      </c>
      <c r="D21" s="50" t="e">
        <f>VLOOKUP($A21,'Data shares'!$C:$FA,6)*100</f>
        <v>#REF!</v>
      </c>
      <c r="E21" s="51" t="e">
        <f>VLOOKUP($A21,'Data shares'!$C:$FA,98)</f>
        <v>#REF!</v>
      </c>
      <c r="F21" s="51" t="e">
        <f>VLOOKUP($A21,'Data shares'!$C:$FA,99)</f>
        <v>#REF!</v>
      </c>
      <c r="G21" s="50" t="e">
        <f>VLOOKUP($A21,'Data shares'!$C:$FA,101)*100</f>
        <v>#REF!</v>
      </c>
      <c r="H21" s="49" t="e">
        <f>VLOOKUP($A21,'Data Vlaue (Cr)'!$C:$FB,99)</f>
        <v>#REF!</v>
      </c>
      <c r="I21" s="49" t="e">
        <f>VLOOKUP($A21,'Data Vlaue (Cr)'!$C:$FB,100)</f>
        <v>#REF!</v>
      </c>
      <c r="J21" s="49" t="e">
        <f>VLOOKUP($A21,'Data Vlaue (Cr)'!$C:$FB,102)*100</f>
        <v>#REF!</v>
      </c>
    </row>
    <row r="22" spans="1:10" x14ac:dyDescent="0.25">
      <c r="A22" s="101" t="e">
        <f>'NIFTY GRP'!#REF!</f>
        <v>#REF!</v>
      </c>
      <c r="B22" s="140" t="e">
        <f>VLOOKUP($A22,'Data shares'!$C:$FA,7)</f>
        <v>#REF!</v>
      </c>
      <c r="C22" s="140" t="e">
        <f>VLOOKUP($A22,'Data shares'!$C:$FA,3)</f>
        <v>#REF!</v>
      </c>
      <c r="D22" s="50" t="e">
        <f>VLOOKUP($A22,'Data shares'!$C:$FA,6)*100</f>
        <v>#REF!</v>
      </c>
      <c r="E22" s="51" t="e">
        <f>VLOOKUP($A22,'Data shares'!$C:$FA,98)</f>
        <v>#REF!</v>
      </c>
      <c r="F22" s="51" t="e">
        <f>VLOOKUP($A22,'Data shares'!$C:$FA,99)</f>
        <v>#REF!</v>
      </c>
      <c r="G22" s="50" t="e">
        <f>VLOOKUP($A22,'Data shares'!$C:$FA,101)*100</f>
        <v>#REF!</v>
      </c>
      <c r="H22" s="49" t="e">
        <f>VLOOKUP($A22,'Data Vlaue (Cr)'!$C:$FB,99)</f>
        <v>#REF!</v>
      </c>
      <c r="I22" s="49" t="e">
        <f>VLOOKUP($A22,'Data Vlaue (Cr)'!$C:$FB,100)</f>
        <v>#REF!</v>
      </c>
      <c r="J22" s="49" t="e">
        <f>VLOOKUP($A22,'Data Vlaue (Cr)'!$C:$FB,102)*100</f>
        <v>#REF!</v>
      </c>
    </row>
    <row r="23" spans="1:10" x14ac:dyDescent="0.25">
      <c r="A23" s="101" t="e">
        <f>'NIFTY GRP'!#REF!</f>
        <v>#REF!</v>
      </c>
      <c r="B23" s="140" t="e">
        <f>VLOOKUP($A23,'Data shares'!$C:$FA,7)</f>
        <v>#REF!</v>
      </c>
      <c r="C23" s="140" t="e">
        <f>VLOOKUP($A23,'Data shares'!$C:$FA,3)</f>
        <v>#REF!</v>
      </c>
      <c r="D23" s="50" t="e">
        <f>VLOOKUP($A23,'Data shares'!$C:$FA,6)*100</f>
        <v>#REF!</v>
      </c>
      <c r="E23" s="51" t="e">
        <f>VLOOKUP($A23,'Data shares'!$C:$FA,98)</f>
        <v>#REF!</v>
      </c>
      <c r="F23" s="51" t="e">
        <f>VLOOKUP($A23,'Data shares'!$C:$FA,99)</f>
        <v>#REF!</v>
      </c>
      <c r="G23" s="50" t="e">
        <f>VLOOKUP($A23,'Data shares'!$C:$FA,101)*100</f>
        <v>#REF!</v>
      </c>
      <c r="H23" s="49" t="e">
        <f>VLOOKUP($A23,'Data Vlaue (Cr)'!$C:$FB,99)</f>
        <v>#REF!</v>
      </c>
      <c r="I23" s="49" t="e">
        <f>VLOOKUP($A23,'Data Vlaue (Cr)'!$C:$FB,100)</f>
        <v>#REF!</v>
      </c>
      <c r="J23" s="49" t="e">
        <f>VLOOKUP($A23,'Data Vlaue (Cr)'!$C:$FB,102)*100</f>
        <v>#REF!</v>
      </c>
    </row>
    <row r="24" spans="1:10" x14ac:dyDescent="0.25">
      <c r="A24" s="101" t="e">
        <f>'NIFTY GRP'!#REF!</f>
        <v>#REF!</v>
      </c>
      <c r="B24" s="140" t="e">
        <f>VLOOKUP($A24,'Data shares'!$C:$FA,7)</f>
        <v>#REF!</v>
      </c>
      <c r="C24" s="140" t="e">
        <f>VLOOKUP($A24,'Data shares'!$C:$FA,3)</f>
        <v>#REF!</v>
      </c>
      <c r="D24" s="50" t="e">
        <f>VLOOKUP($A24,'Data shares'!$C:$FA,6)*100</f>
        <v>#REF!</v>
      </c>
      <c r="E24" s="51" t="e">
        <f>VLOOKUP($A24,'Data shares'!$C:$FA,98)</f>
        <v>#REF!</v>
      </c>
      <c r="F24" s="51" t="e">
        <f>VLOOKUP($A24,'Data shares'!$C:$FA,99)</f>
        <v>#REF!</v>
      </c>
      <c r="G24" s="50" t="e">
        <f>VLOOKUP($A24,'Data shares'!$C:$FA,101)*100</f>
        <v>#REF!</v>
      </c>
      <c r="H24" s="49" t="e">
        <f>VLOOKUP($A24,'Data Vlaue (Cr)'!$C:$FB,99)</f>
        <v>#REF!</v>
      </c>
      <c r="I24" s="49" t="e">
        <f>VLOOKUP($A24,'Data Vlaue (Cr)'!$C:$FB,100)</f>
        <v>#REF!</v>
      </c>
      <c r="J24" s="49" t="e">
        <f>VLOOKUP($A24,'Data Vlaue (Cr)'!$C:$FB,102)*100</f>
        <v>#REF!</v>
      </c>
    </row>
    <row r="25" spans="1:10" x14ac:dyDescent="0.25">
      <c r="A25" s="101" t="e">
        <f>'NIFTY GRP'!#REF!</f>
        <v>#REF!</v>
      </c>
      <c r="B25" s="140" t="e">
        <f>VLOOKUP($A25,'Data shares'!$C:$FA,7)</f>
        <v>#REF!</v>
      </c>
      <c r="C25" s="140" t="e">
        <f>VLOOKUP($A25,'Data shares'!$C:$FA,3)</f>
        <v>#REF!</v>
      </c>
      <c r="D25" s="50" t="e">
        <f>VLOOKUP($A25,'Data shares'!$C:$FA,6)*100</f>
        <v>#REF!</v>
      </c>
      <c r="E25" s="51" t="e">
        <f>VLOOKUP($A25,'Data shares'!$C:$FA,98)</f>
        <v>#REF!</v>
      </c>
      <c r="F25" s="51" t="e">
        <f>VLOOKUP($A25,'Data shares'!$C:$FA,99)</f>
        <v>#REF!</v>
      </c>
      <c r="G25" s="50" t="e">
        <f>VLOOKUP($A25,'Data shares'!$C:$FA,101)*100</f>
        <v>#REF!</v>
      </c>
      <c r="H25" s="49" t="e">
        <f>VLOOKUP($A25,'Data Vlaue (Cr)'!$C:$FB,99)</f>
        <v>#REF!</v>
      </c>
      <c r="I25" s="49" t="e">
        <f>VLOOKUP($A25,'Data Vlaue (Cr)'!$C:$FB,100)</f>
        <v>#REF!</v>
      </c>
      <c r="J25" s="49" t="e">
        <f>VLOOKUP($A25,'Data Vlaue (Cr)'!$C:$FB,102)*100</f>
        <v>#REF!</v>
      </c>
    </row>
    <row r="26" spans="1:10" x14ac:dyDescent="0.25">
      <c r="A26" s="101" t="e">
        <f>'NIFTY GRP'!#REF!</f>
        <v>#REF!</v>
      </c>
      <c r="B26" s="140" t="e">
        <f>VLOOKUP($A26,'Data shares'!$C:$FA,7)</f>
        <v>#REF!</v>
      </c>
      <c r="C26" s="140" t="e">
        <f>VLOOKUP($A26,'Data shares'!$C:$FA,3)</f>
        <v>#REF!</v>
      </c>
      <c r="D26" s="50" t="e">
        <f>VLOOKUP($A26,'Data shares'!$C:$FA,6)*100</f>
        <v>#REF!</v>
      </c>
      <c r="E26" s="51" t="e">
        <f>VLOOKUP($A26,'Data shares'!$C:$FA,98)</f>
        <v>#REF!</v>
      </c>
      <c r="F26" s="51" t="e">
        <f>VLOOKUP($A26,'Data shares'!$C:$FA,99)</f>
        <v>#REF!</v>
      </c>
      <c r="G26" s="50" t="e">
        <f>VLOOKUP($A26,'Data shares'!$C:$FA,101)*100</f>
        <v>#REF!</v>
      </c>
      <c r="H26" s="49" t="e">
        <f>VLOOKUP($A26,'Data Vlaue (Cr)'!$C:$FB,99)</f>
        <v>#REF!</v>
      </c>
      <c r="I26" s="49" t="e">
        <f>VLOOKUP($A26,'Data Vlaue (Cr)'!$C:$FB,100)</f>
        <v>#REF!</v>
      </c>
      <c r="J26" s="49" t="e">
        <f>VLOOKUP($A26,'Data Vlaue (Cr)'!$C:$FB,102)*100</f>
        <v>#REF!</v>
      </c>
    </row>
    <row r="27" spans="1:10" x14ac:dyDescent="0.25">
      <c r="A27" s="101" t="e">
        <f>'NIFTY GRP'!#REF!</f>
        <v>#REF!</v>
      </c>
      <c r="B27" s="140" t="e">
        <f>VLOOKUP($A27,'Data shares'!$C:$FA,7)</f>
        <v>#REF!</v>
      </c>
      <c r="C27" s="140" t="e">
        <f>VLOOKUP($A27,'Data shares'!$C:$FA,3)</f>
        <v>#REF!</v>
      </c>
      <c r="D27" s="50" t="e">
        <f>VLOOKUP($A27,'Data shares'!$C:$FA,6)*100</f>
        <v>#REF!</v>
      </c>
      <c r="E27" s="51" t="e">
        <f>VLOOKUP($A27,'Data shares'!$C:$FA,98)</f>
        <v>#REF!</v>
      </c>
      <c r="F27" s="51" t="e">
        <f>VLOOKUP($A27,'Data shares'!$C:$FA,99)</f>
        <v>#REF!</v>
      </c>
      <c r="G27" s="50" t="e">
        <f>VLOOKUP($A27,'Data shares'!$C:$FA,101)*100</f>
        <v>#REF!</v>
      </c>
      <c r="H27" s="49" t="e">
        <f>VLOOKUP($A27,'Data Vlaue (Cr)'!$C:$FB,99)</f>
        <v>#REF!</v>
      </c>
      <c r="I27" s="49" t="e">
        <f>VLOOKUP($A27,'Data Vlaue (Cr)'!$C:$FB,100)</f>
        <v>#REF!</v>
      </c>
      <c r="J27" s="49" t="e">
        <f>VLOOKUP($A27,'Data Vlaue (Cr)'!$C:$FB,102)*100</f>
        <v>#REF!</v>
      </c>
    </row>
    <row r="28" spans="1:10" x14ac:dyDescent="0.25">
      <c r="A28" s="101" t="e">
        <f>'NIFTY GRP'!#REF!</f>
        <v>#REF!</v>
      </c>
      <c r="B28" s="140" t="e">
        <f>VLOOKUP($A28,'Data shares'!$C:$FA,7)</f>
        <v>#REF!</v>
      </c>
      <c r="C28" s="140" t="e">
        <f>VLOOKUP($A28,'Data shares'!$C:$FA,3)</f>
        <v>#REF!</v>
      </c>
      <c r="D28" s="50" t="e">
        <f>VLOOKUP($A28,'Data shares'!$C:$FA,6)*100</f>
        <v>#REF!</v>
      </c>
      <c r="E28" s="51" t="e">
        <f>VLOOKUP($A28,'Data shares'!$C:$FA,98)</f>
        <v>#REF!</v>
      </c>
      <c r="F28" s="51" t="e">
        <f>VLOOKUP($A28,'Data shares'!$C:$FA,99)</f>
        <v>#REF!</v>
      </c>
      <c r="G28" s="50" t="e">
        <f>VLOOKUP($A28,'Data shares'!$C:$FA,101)*100</f>
        <v>#REF!</v>
      </c>
      <c r="H28" s="49" t="e">
        <f>VLOOKUP($A28,'Data Vlaue (Cr)'!$C:$FB,99)</f>
        <v>#REF!</v>
      </c>
      <c r="I28" s="49" t="e">
        <f>VLOOKUP($A28,'Data Vlaue (Cr)'!$C:$FB,100)</f>
        <v>#REF!</v>
      </c>
      <c r="J28" s="49" t="e">
        <f>VLOOKUP($A28,'Data Vlaue (Cr)'!$C:$FB,102)*100</f>
        <v>#REF!</v>
      </c>
    </row>
    <row r="29" spans="1:10" x14ac:dyDescent="0.25">
      <c r="A29" s="101" t="e">
        <f>'NIFTY GRP'!#REF!</f>
        <v>#REF!</v>
      </c>
      <c r="B29" s="140" t="e">
        <f>VLOOKUP($A29,'Data shares'!$C:$FA,7)</f>
        <v>#REF!</v>
      </c>
      <c r="C29" s="140" t="e">
        <f>VLOOKUP($A29,'Data shares'!$C:$FA,3)</f>
        <v>#REF!</v>
      </c>
      <c r="D29" s="50" t="e">
        <f>VLOOKUP($A29,'Data shares'!$C:$FA,6)*100</f>
        <v>#REF!</v>
      </c>
      <c r="E29" s="51" t="e">
        <f>VLOOKUP($A29,'Data shares'!$C:$FA,98)</f>
        <v>#REF!</v>
      </c>
      <c r="F29" s="51" t="e">
        <f>VLOOKUP($A29,'Data shares'!$C:$FA,99)</f>
        <v>#REF!</v>
      </c>
      <c r="G29" s="50" t="e">
        <f>VLOOKUP($A29,'Data shares'!$C:$FA,101)*100</f>
        <v>#REF!</v>
      </c>
      <c r="H29" s="49" t="e">
        <f>VLOOKUP($A29,'Data Vlaue (Cr)'!$C:$FB,99)</f>
        <v>#REF!</v>
      </c>
      <c r="I29" s="49" t="e">
        <f>VLOOKUP($A29,'Data Vlaue (Cr)'!$C:$FB,100)</f>
        <v>#REF!</v>
      </c>
      <c r="J29" s="49" t="e">
        <f>VLOOKUP($A29,'Data Vlaue (Cr)'!$C:$FB,102)*100</f>
        <v>#REF!</v>
      </c>
    </row>
    <row r="30" spans="1:10" x14ac:dyDescent="0.25">
      <c r="A30" s="101" t="e">
        <f>'NIFTY GRP'!#REF!</f>
        <v>#REF!</v>
      </c>
      <c r="B30" s="140" t="e">
        <f>VLOOKUP($A30,'Data shares'!$C:$FA,7)</f>
        <v>#REF!</v>
      </c>
      <c r="C30" s="140" t="e">
        <f>VLOOKUP($A30,'Data shares'!$C:$FA,3)</f>
        <v>#REF!</v>
      </c>
      <c r="D30" s="50" t="e">
        <f>VLOOKUP($A30,'Data shares'!$C:$FA,6)*100</f>
        <v>#REF!</v>
      </c>
      <c r="E30" s="51" t="e">
        <f>VLOOKUP($A30,'Data shares'!$C:$FA,98)</f>
        <v>#REF!</v>
      </c>
      <c r="F30" s="51" t="e">
        <f>VLOOKUP($A30,'Data shares'!$C:$FA,99)</f>
        <v>#REF!</v>
      </c>
      <c r="G30" s="50" t="e">
        <f>VLOOKUP($A30,'Data shares'!$C:$FA,101)*100</f>
        <v>#REF!</v>
      </c>
      <c r="H30" s="49" t="e">
        <f>VLOOKUP($A30,'Data Vlaue (Cr)'!$C:$FB,99)</f>
        <v>#REF!</v>
      </c>
      <c r="I30" s="49" t="e">
        <f>VLOOKUP($A30,'Data Vlaue (Cr)'!$C:$FB,100)</f>
        <v>#REF!</v>
      </c>
      <c r="J30" s="49" t="e">
        <f>VLOOKUP($A30,'Data Vlaue (Cr)'!$C:$FB,102)*100</f>
        <v>#REF!</v>
      </c>
    </row>
    <row r="31" spans="1:10" x14ac:dyDescent="0.25">
      <c r="A31" s="101" t="e">
        <f>'NIFTY GRP'!#REF!</f>
        <v>#REF!</v>
      </c>
      <c r="B31" s="140" t="e">
        <f>VLOOKUP($A31,'Data shares'!$C:$FA,7)</f>
        <v>#REF!</v>
      </c>
      <c r="C31" s="140" t="e">
        <f>VLOOKUP($A31,'Data shares'!$C:$FA,3)</f>
        <v>#REF!</v>
      </c>
      <c r="D31" s="50" t="e">
        <f>VLOOKUP($A31,'Data shares'!$C:$FA,6)*100</f>
        <v>#REF!</v>
      </c>
      <c r="E31" s="51" t="e">
        <f>VLOOKUP($A31,'Data shares'!$C:$FA,98)</f>
        <v>#REF!</v>
      </c>
      <c r="F31" s="51" t="e">
        <f>VLOOKUP($A31,'Data shares'!$C:$FA,99)</f>
        <v>#REF!</v>
      </c>
      <c r="G31" s="50" t="e">
        <f>VLOOKUP($A31,'Data shares'!$C:$FA,101)*100</f>
        <v>#REF!</v>
      </c>
      <c r="H31" s="49" t="e">
        <f>VLOOKUP($A31,'Data Vlaue (Cr)'!$C:$FB,99)</f>
        <v>#REF!</v>
      </c>
      <c r="I31" s="49" t="e">
        <f>VLOOKUP($A31,'Data Vlaue (Cr)'!$C:$FB,100)</f>
        <v>#REF!</v>
      </c>
      <c r="J31" s="49" t="e">
        <f>VLOOKUP($A31,'Data Vlaue (Cr)'!$C:$FB,102)*100</f>
        <v>#REF!</v>
      </c>
    </row>
    <row r="32" spans="1:10" x14ac:dyDescent="0.25">
      <c r="A32" s="101" t="e">
        <f>'NIFTY GRP'!#REF!</f>
        <v>#REF!</v>
      </c>
      <c r="B32" s="140" t="e">
        <f>VLOOKUP($A32,'Data shares'!$C:$FA,7)</f>
        <v>#REF!</v>
      </c>
      <c r="C32" s="140" t="e">
        <f>VLOOKUP($A32,'Data shares'!$C:$FA,3)</f>
        <v>#REF!</v>
      </c>
      <c r="D32" s="50" t="e">
        <f>VLOOKUP($A32,'Data shares'!$C:$FA,6)*100</f>
        <v>#REF!</v>
      </c>
      <c r="E32" s="51" t="e">
        <f>VLOOKUP($A32,'Data shares'!$C:$FA,98)</f>
        <v>#REF!</v>
      </c>
      <c r="F32" s="51" t="e">
        <f>VLOOKUP($A32,'Data shares'!$C:$FA,99)</f>
        <v>#REF!</v>
      </c>
      <c r="G32" s="50" t="e">
        <f>VLOOKUP($A32,'Data shares'!$C:$FA,101)*100</f>
        <v>#REF!</v>
      </c>
      <c r="H32" s="49" t="e">
        <f>VLOOKUP($A32,'Data Vlaue (Cr)'!$C:$FB,99)</f>
        <v>#REF!</v>
      </c>
      <c r="I32" s="49" t="e">
        <f>VLOOKUP($A32,'Data Vlaue (Cr)'!$C:$FB,100)</f>
        <v>#REF!</v>
      </c>
      <c r="J32" s="49" t="e">
        <f>VLOOKUP($A32,'Data Vlaue (Cr)'!$C:$FB,102)*100</f>
        <v>#REF!</v>
      </c>
    </row>
    <row r="33" spans="1:10" x14ac:dyDescent="0.25">
      <c r="A33" s="101" t="e">
        <f>'NIFTY GRP'!#REF!</f>
        <v>#REF!</v>
      </c>
      <c r="B33" s="140" t="e">
        <f>VLOOKUP($A33,'Data shares'!$C:$FA,7)</f>
        <v>#REF!</v>
      </c>
      <c r="C33" s="140" t="e">
        <f>VLOOKUP($A33,'Data shares'!$C:$FA,3)</f>
        <v>#REF!</v>
      </c>
      <c r="D33" s="50" t="e">
        <f>VLOOKUP($A33,'Data shares'!$C:$FA,6)*100</f>
        <v>#REF!</v>
      </c>
      <c r="E33" s="51" t="e">
        <f>VLOOKUP($A33,'Data shares'!$C:$FA,98)</f>
        <v>#REF!</v>
      </c>
      <c r="F33" s="51" t="e">
        <f>VLOOKUP($A33,'Data shares'!$C:$FA,99)</f>
        <v>#REF!</v>
      </c>
      <c r="G33" s="50" t="e">
        <f>VLOOKUP($A33,'Data shares'!$C:$FA,101)*100</f>
        <v>#REF!</v>
      </c>
      <c r="H33" s="49" t="e">
        <f>VLOOKUP($A33,'Data Vlaue (Cr)'!$C:$FB,99)</f>
        <v>#REF!</v>
      </c>
      <c r="I33" s="49" t="e">
        <f>VLOOKUP($A33,'Data Vlaue (Cr)'!$C:$FB,100)</f>
        <v>#REF!</v>
      </c>
      <c r="J33" s="49" t="e">
        <f>VLOOKUP($A33,'Data Vlaue (Cr)'!$C:$FB,102)*100</f>
        <v>#REF!</v>
      </c>
    </row>
    <row r="34" spans="1:10" x14ac:dyDescent="0.25">
      <c r="A34" s="101" t="e">
        <f>'NIFTY GRP'!#REF!</f>
        <v>#REF!</v>
      </c>
      <c r="B34" s="140" t="e">
        <f>VLOOKUP($A34,'Data shares'!$C:$FA,7)</f>
        <v>#REF!</v>
      </c>
      <c r="C34" s="140" t="e">
        <f>VLOOKUP($A34,'Data shares'!$C:$FA,3)</f>
        <v>#REF!</v>
      </c>
      <c r="D34" s="50" t="e">
        <f>VLOOKUP($A34,'Data shares'!$C:$FA,6)*100</f>
        <v>#REF!</v>
      </c>
      <c r="E34" s="51" t="e">
        <f>VLOOKUP($A34,'Data shares'!$C:$FA,98)</f>
        <v>#REF!</v>
      </c>
      <c r="F34" s="51" t="e">
        <f>VLOOKUP($A34,'Data shares'!$C:$FA,99)</f>
        <v>#REF!</v>
      </c>
      <c r="G34" s="50" t="e">
        <f>VLOOKUP($A34,'Data shares'!$C:$FA,101)*100</f>
        <v>#REF!</v>
      </c>
      <c r="H34" s="49" t="e">
        <f>VLOOKUP($A34,'Data Vlaue (Cr)'!$C:$FB,99)</f>
        <v>#REF!</v>
      </c>
      <c r="I34" s="49" t="e">
        <f>VLOOKUP($A34,'Data Vlaue (Cr)'!$C:$FB,100)</f>
        <v>#REF!</v>
      </c>
      <c r="J34" s="49" t="e">
        <f>VLOOKUP($A34,'Data Vlaue (Cr)'!$C:$FB,102)*100</f>
        <v>#REF!</v>
      </c>
    </row>
    <row r="35" spans="1:10" x14ac:dyDescent="0.25">
      <c r="A35" s="101" t="e">
        <f>'NIFTY GRP'!#REF!</f>
        <v>#REF!</v>
      </c>
      <c r="B35" s="140" t="e">
        <f>VLOOKUP($A35,'Data shares'!$C:$FA,7)</f>
        <v>#REF!</v>
      </c>
      <c r="C35" s="140" t="e">
        <f>VLOOKUP($A35,'Data shares'!$C:$FA,3)</f>
        <v>#REF!</v>
      </c>
      <c r="D35" s="50" t="e">
        <f>VLOOKUP($A35,'Data shares'!$C:$FA,6)*100</f>
        <v>#REF!</v>
      </c>
      <c r="E35" s="51" t="e">
        <f>VLOOKUP($A35,'Data shares'!$C:$FA,98)</f>
        <v>#REF!</v>
      </c>
      <c r="F35" s="51" t="e">
        <f>VLOOKUP($A35,'Data shares'!$C:$FA,99)</f>
        <v>#REF!</v>
      </c>
      <c r="G35" s="50" t="e">
        <f>VLOOKUP($A35,'Data shares'!$C:$FA,101)*100</f>
        <v>#REF!</v>
      </c>
      <c r="H35" s="49" t="e">
        <f>VLOOKUP($A35,'Data Vlaue (Cr)'!$C:$FB,99)</f>
        <v>#REF!</v>
      </c>
      <c r="I35" s="49" t="e">
        <f>VLOOKUP($A35,'Data Vlaue (Cr)'!$C:$FB,100)</f>
        <v>#REF!</v>
      </c>
      <c r="J35" s="49" t="e">
        <f>VLOOKUP($A35,'Data Vlaue (Cr)'!$C:$FB,102)*100</f>
        <v>#REF!</v>
      </c>
    </row>
    <row r="36" spans="1:10" x14ac:dyDescent="0.25">
      <c r="A36" s="101" t="e">
        <f>'NIFTY GRP'!#REF!</f>
        <v>#REF!</v>
      </c>
      <c r="B36" s="140" t="e">
        <f>VLOOKUP($A36,'Data shares'!$C:$FA,7)</f>
        <v>#REF!</v>
      </c>
      <c r="C36" s="140" t="e">
        <f>VLOOKUP($A36,'Data shares'!$C:$FA,3)</f>
        <v>#REF!</v>
      </c>
      <c r="D36" s="50" t="e">
        <f>VLOOKUP($A36,'Data shares'!$C:$FA,6)*100</f>
        <v>#REF!</v>
      </c>
      <c r="E36" s="51" t="e">
        <f>VLOOKUP($A36,'Data shares'!$C:$FA,98)</f>
        <v>#REF!</v>
      </c>
      <c r="F36" s="51" t="e">
        <f>VLOOKUP($A36,'Data shares'!$C:$FA,99)</f>
        <v>#REF!</v>
      </c>
      <c r="G36" s="50" t="e">
        <f>VLOOKUP($A36,'Data shares'!$C:$FA,101)*100</f>
        <v>#REF!</v>
      </c>
      <c r="H36" s="49" t="e">
        <f>VLOOKUP($A36,'Data Vlaue (Cr)'!$C:$FB,99)</f>
        <v>#REF!</v>
      </c>
      <c r="I36" s="49" t="e">
        <f>VLOOKUP($A36,'Data Vlaue (Cr)'!$C:$FB,100)</f>
        <v>#REF!</v>
      </c>
      <c r="J36" s="49" t="e">
        <f>VLOOKUP($A36,'Data Vlaue (Cr)'!$C:$FB,102)*100</f>
        <v>#REF!</v>
      </c>
    </row>
    <row r="37" spans="1:10" x14ac:dyDescent="0.25">
      <c r="A37" s="101" t="e">
        <f>'NIFTY GRP'!#REF!</f>
        <v>#REF!</v>
      </c>
      <c r="B37" s="140" t="e">
        <f>VLOOKUP($A37,'Data shares'!$C:$FA,7)</f>
        <v>#REF!</v>
      </c>
      <c r="C37" s="140" t="e">
        <f>VLOOKUP($A37,'Data shares'!$C:$FA,3)</f>
        <v>#REF!</v>
      </c>
      <c r="D37" s="50" t="e">
        <f>VLOOKUP($A37,'Data shares'!$C:$FA,6)*100</f>
        <v>#REF!</v>
      </c>
      <c r="E37" s="51" t="e">
        <f>VLOOKUP($A37,'Data shares'!$C:$FA,98)</f>
        <v>#REF!</v>
      </c>
      <c r="F37" s="51" t="e">
        <f>VLOOKUP($A37,'Data shares'!$C:$FA,99)</f>
        <v>#REF!</v>
      </c>
      <c r="G37" s="50" t="e">
        <f>VLOOKUP($A37,'Data shares'!$C:$FA,101)*100</f>
        <v>#REF!</v>
      </c>
      <c r="H37" s="49" t="e">
        <f>VLOOKUP($A37,'Data Vlaue (Cr)'!$C:$FB,99)</f>
        <v>#REF!</v>
      </c>
      <c r="I37" s="49" t="e">
        <f>VLOOKUP($A37,'Data Vlaue (Cr)'!$C:$FB,100)</f>
        <v>#REF!</v>
      </c>
      <c r="J37" s="49" t="e">
        <f>VLOOKUP($A37,'Data Vlaue (Cr)'!$C:$FB,102)*100</f>
        <v>#REF!</v>
      </c>
    </row>
    <row r="38" spans="1:10" x14ac:dyDescent="0.25">
      <c r="A38" s="101" t="e">
        <f>'NIFTY GRP'!#REF!</f>
        <v>#REF!</v>
      </c>
      <c r="B38" s="140" t="e">
        <f>VLOOKUP($A38,'Data shares'!$C:$FA,7)</f>
        <v>#REF!</v>
      </c>
      <c r="C38" s="140" t="e">
        <f>VLOOKUP($A38,'Data shares'!$C:$FA,3)</f>
        <v>#REF!</v>
      </c>
      <c r="D38" s="50" t="e">
        <f>VLOOKUP($A38,'Data shares'!$C:$FA,6)*100</f>
        <v>#REF!</v>
      </c>
      <c r="E38" s="51" t="e">
        <f>VLOOKUP($A38,'Data shares'!$C:$FA,98)</f>
        <v>#REF!</v>
      </c>
      <c r="F38" s="51" t="e">
        <f>VLOOKUP($A38,'Data shares'!$C:$FA,99)</f>
        <v>#REF!</v>
      </c>
      <c r="G38" s="50" t="e">
        <f>VLOOKUP($A38,'Data shares'!$C:$FA,101)*100</f>
        <v>#REF!</v>
      </c>
      <c r="H38" s="49" t="e">
        <f>VLOOKUP($A38,'Data Vlaue (Cr)'!$C:$FB,99)</f>
        <v>#REF!</v>
      </c>
      <c r="I38" s="49" t="e">
        <f>VLOOKUP($A38,'Data Vlaue (Cr)'!$C:$FB,100)</f>
        <v>#REF!</v>
      </c>
      <c r="J38" s="49" t="e">
        <f>VLOOKUP($A38,'Data Vlaue (Cr)'!$C:$FB,102)*100</f>
        <v>#REF!</v>
      </c>
    </row>
    <row r="39" spans="1:10" x14ac:dyDescent="0.25">
      <c r="A39" s="101" t="e">
        <f>'NIFTY GRP'!#REF!</f>
        <v>#REF!</v>
      </c>
      <c r="B39" s="140" t="e">
        <f>VLOOKUP($A39,'Data shares'!$C:$FA,7)</f>
        <v>#REF!</v>
      </c>
      <c r="C39" s="140" t="e">
        <f>VLOOKUP($A39,'Data shares'!$C:$FA,3)</f>
        <v>#REF!</v>
      </c>
      <c r="D39" s="50" t="e">
        <f>VLOOKUP($A39,'Data shares'!$C:$FA,6)*100</f>
        <v>#REF!</v>
      </c>
      <c r="E39" s="51" t="e">
        <f>VLOOKUP($A39,'Data shares'!$C:$FA,98)</f>
        <v>#REF!</v>
      </c>
      <c r="F39" s="51" t="e">
        <f>VLOOKUP($A39,'Data shares'!$C:$FA,99)</f>
        <v>#REF!</v>
      </c>
      <c r="G39" s="50" t="e">
        <f>VLOOKUP($A39,'Data shares'!$C:$FA,101)*100</f>
        <v>#REF!</v>
      </c>
      <c r="H39" s="49" t="e">
        <f>VLOOKUP($A39,'Data Vlaue (Cr)'!$C:$FB,99)</f>
        <v>#REF!</v>
      </c>
      <c r="I39" s="49" t="e">
        <f>VLOOKUP($A39,'Data Vlaue (Cr)'!$C:$FB,100)</f>
        <v>#REF!</v>
      </c>
      <c r="J39" s="49" t="e">
        <f>VLOOKUP($A39,'Data Vlaue (Cr)'!$C:$FB,102)*100</f>
        <v>#REF!</v>
      </c>
    </row>
    <row r="40" spans="1:10" x14ac:dyDescent="0.25">
      <c r="A40" s="101" t="e">
        <f>'NIFTY GRP'!#REF!</f>
        <v>#REF!</v>
      </c>
      <c r="B40" s="140" t="e">
        <f>VLOOKUP($A40,'Data shares'!$C:$FA,7)</f>
        <v>#REF!</v>
      </c>
      <c r="C40" s="140" t="e">
        <f>VLOOKUP($A40,'Data shares'!$C:$FA,3)</f>
        <v>#REF!</v>
      </c>
      <c r="D40" s="50" t="e">
        <f>VLOOKUP($A40,'Data shares'!$C:$FA,6)*100</f>
        <v>#REF!</v>
      </c>
      <c r="E40" s="51" t="e">
        <f>VLOOKUP($A40,'Data shares'!$C:$FA,98)</f>
        <v>#REF!</v>
      </c>
      <c r="F40" s="51" t="e">
        <f>VLOOKUP($A40,'Data shares'!$C:$FA,99)</f>
        <v>#REF!</v>
      </c>
      <c r="G40" s="50" t="e">
        <f>VLOOKUP($A40,'Data shares'!$C:$FA,101)*100</f>
        <v>#REF!</v>
      </c>
      <c r="H40" s="49" t="e">
        <f>VLOOKUP($A40,'Data Vlaue (Cr)'!$C:$FB,99)</f>
        <v>#REF!</v>
      </c>
      <c r="I40" s="49" t="e">
        <f>VLOOKUP($A40,'Data Vlaue (Cr)'!$C:$FB,100)</f>
        <v>#REF!</v>
      </c>
      <c r="J40" s="49" t="e">
        <f>VLOOKUP($A40,'Data Vlaue (Cr)'!$C:$FB,102)*100</f>
        <v>#REF!</v>
      </c>
    </row>
    <row r="41" spans="1:10" x14ac:dyDescent="0.25">
      <c r="A41" s="101" t="e">
        <f>'NIFTY GRP'!#REF!</f>
        <v>#REF!</v>
      </c>
      <c r="B41" s="140" t="e">
        <f>VLOOKUP($A41,'Data shares'!$C:$FA,7)</f>
        <v>#REF!</v>
      </c>
      <c r="C41" s="140" t="e">
        <f>VLOOKUP($A41,'Data shares'!$C:$FA,3)</f>
        <v>#REF!</v>
      </c>
      <c r="D41" s="50" t="e">
        <f>VLOOKUP($A41,'Data shares'!$C:$FA,6)*100</f>
        <v>#REF!</v>
      </c>
      <c r="E41" s="51" t="e">
        <f>VLOOKUP($A41,'Data shares'!$C:$FA,98)</f>
        <v>#REF!</v>
      </c>
      <c r="F41" s="51" t="e">
        <f>VLOOKUP($A41,'Data shares'!$C:$FA,99)</f>
        <v>#REF!</v>
      </c>
      <c r="G41" s="50" t="e">
        <f>VLOOKUP($A41,'Data shares'!$C:$FA,101)*100</f>
        <v>#REF!</v>
      </c>
      <c r="H41" s="49" t="e">
        <f>VLOOKUP($A41,'Data Vlaue (Cr)'!$C:$FB,99)</f>
        <v>#REF!</v>
      </c>
      <c r="I41" s="49" t="e">
        <f>VLOOKUP($A41,'Data Vlaue (Cr)'!$C:$FB,100)</f>
        <v>#REF!</v>
      </c>
      <c r="J41" s="49" t="e">
        <f>VLOOKUP($A41,'Data Vlaue (Cr)'!$C:$FB,102)*100</f>
        <v>#REF!</v>
      </c>
    </row>
    <row r="42" spans="1:10" x14ac:dyDescent="0.25">
      <c r="A42" s="101" t="e">
        <f>'NIFTY GRP'!#REF!</f>
        <v>#REF!</v>
      </c>
      <c r="B42" s="140" t="e">
        <f>VLOOKUP($A42,'Data shares'!$C:$FA,7)</f>
        <v>#REF!</v>
      </c>
      <c r="C42" s="140" t="e">
        <f>VLOOKUP($A42,'Data shares'!$C:$FA,3)</f>
        <v>#REF!</v>
      </c>
      <c r="D42" s="50" t="e">
        <f>VLOOKUP($A42,'Data shares'!$C:$FA,6)*100</f>
        <v>#REF!</v>
      </c>
      <c r="E42" s="51" t="e">
        <f>VLOOKUP($A42,'Data shares'!$C:$FA,98)</f>
        <v>#REF!</v>
      </c>
      <c r="F42" s="51" t="e">
        <f>VLOOKUP($A42,'Data shares'!$C:$FA,99)</f>
        <v>#REF!</v>
      </c>
      <c r="G42" s="50" t="e">
        <f>VLOOKUP($A42,'Data shares'!$C:$FA,101)*100</f>
        <v>#REF!</v>
      </c>
      <c r="H42" s="49" t="e">
        <f>VLOOKUP($A42,'Data Vlaue (Cr)'!$C:$FB,99)</f>
        <v>#REF!</v>
      </c>
      <c r="I42" s="49" t="e">
        <f>VLOOKUP($A42,'Data Vlaue (Cr)'!$C:$FB,100)</f>
        <v>#REF!</v>
      </c>
      <c r="J42" s="49" t="e">
        <f>VLOOKUP($A42,'Data Vlaue (Cr)'!$C:$FB,102)*100</f>
        <v>#REF!</v>
      </c>
    </row>
    <row r="43" spans="1:10" x14ac:dyDescent="0.25">
      <c r="A43" s="101" t="e">
        <f>'NIFTY GRP'!#REF!</f>
        <v>#REF!</v>
      </c>
      <c r="B43" s="140" t="e">
        <f>VLOOKUP($A43,'Data shares'!$C:$FA,7)</f>
        <v>#REF!</v>
      </c>
      <c r="C43" s="140" t="e">
        <f>VLOOKUP($A43,'Data shares'!$C:$FA,3)</f>
        <v>#REF!</v>
      </c>
      <c r="D43" s="50" t="e">
        <f>VLOOKUP($A43,'Data shares'!$C:$FA,6)*100</f>
        <v>#REF!</v>
      </c>
      <c r="E43" s="51" t="e">
        <f>VLOOKUP($A43,'Data shares'!$C:$FA,98)</f>
        <v>#REF!</v>
      </c>
      <c r="F43" s="51" t="e">
        <f>VLOOKUP($A43,'Data shares'!$C:$FA,99)</f>
        <v>#REF!</v>
      </c>
      <c r="G43" s="50" t="e">
        <f>VLOOKUP($A43,'Data shares'!$C:$FA,101)*100</f>
        <v>#REF!</v>
      </c>
      <c r="H43" s="49" t="e">
        <f>VLOOKUP($A43,'Data Vlaue (Cr)'!$C:$FB,99)</f>
        <v>#REF!</v>
      </c>
      <c r="I43" s="49" t="e">
        <f>VLOOKUP($A43,'Data Vlaue (Cr)'!$C:$FB,100)</f>
        <v>#REF!</v>
      </c>
      <c r="J43" s="49" t="e">
        <f>VLOOKUP($A43,'Data Vlaue (Cr)'!$C:$FB,102)*100</f>
        <v>#REF!</v>
      </c>
    </row>
    <row r="44" spans="1:10" x14ac:dyDescent="0.25">
      <c r="A44" s="101" t="e">
        <f>'NIFTY GRP'!#REF!</f>
        <v>#REF!</v>
      </c>
      <c r="B44" s="140" t="e">
        <f>VLOOKUP($A44,'Data shares'!$C:$FA,7)</f>
        <v>#REF!</v>
      </c>
      <c r="C44" s="140" t="e">
        <f>VLOOKUP($A44,'Data shares'!$C:$FA,3)</f>
        <v>#REF!</v>
      </c>
      <c r="D44" s="50" t="e">
        <f>VLOOKUP($A44,'Data shares'!$C:$FA,6)*100</f>
        <v>#REF!</v>
      </c>
      <c r="E44" s="51" t="e">
        <f>VLOOKUP($A44,'Data shares'!$C:$FA,98)</f>
        <v>#REF!</v>
      </c>
      <c r="F44" s="51" t="e">
        <f>VLOOKUP($A44,'Data shares'!$C:$FA,99)</f>
        <v>#REF!</v>
      </c>
      <c r="G44" s="50" t="e">
        <f>VLOOKUP($A44,'Data shares'!$C:$FA,101)*100</f>
        <v>#REF!</v>
      </c>
      <c r="H44" s="49" t="e">
        <f>VLOOKUP($A44,'Data Vlaue (Cr)'!$C:$FB,99)</f>
        <v>#REF!</v>
      </c>
      <c r="I44" s="49" t="e">
        <f>VLOOKUP($A44,'Data Vlaue (Cr)'!$C:$FB,100)</f>
        <v>#REF!</v>
      </c>
      <c r="J44" s="49" t="e">
        <f>VLOOKUP($A44,'Data Vlaue (Cr)'!$C:$FB,102)*100</f>
        <v>#REF!</v>
      </c>
    </row>
    <row r="45" spans="1:10" x14ac:dyDescent="0.25">
      <c r="A45" s="101" t="e">
        <f>'NIFTY GRP'!#REF!</f>
        <v>#REF!</v>
      </c>
      <c r="B45" s="140" t="e">
        <f>VLOOKUP($A45,'Data shares'!$C:$FA,7)</f>
        <v>#REF!</v>
      </c>
      <c r="C45" s="140" t="e">
        <f>VLOOKUP($A45,'Data shares'!$C:$FA,3)</f>
        <v>#REF!</v>
      </c>
      <c r="D45" s="50" t="e">
        <f>VLOOKUP($A45,'Data shares'!$C:$FA,6)*100</f>
        <v>#REF!</v>
      </c>
      <c r="E45" s="51" t="e">
        <f>VLOOKUP($A45,'Data shares'!$C:$FA,98)</f>
        <v>#REF!</v>
      </c>
      <c r="F45" s="51" t="e">
        <f>VLOOKUP($A45,'Data shares'!$C:$FA,99)</f>
        <v>#REF!</v>
      </c>
      <c r="G45" s="50" t="e">
        <f>VLOOKUP($A45,'Data shares'!$C:$FA,101)*100</f>
        <v>#REF!</v>
      </c>
      <c r="H45" s="49" t="e">
        <f>VLOOKUP($A45,'Data Vlaue (Cr)'!$C:$FB,99)</f>
        <v>#REF!</v>
      </c>
      <c r="I45" s="49" t="e">
        <f>VLOOKUP($A45,'Data Vlaue (Cr)'!$C:$FB,100)</f>
        <v>#REF!</v>
      </c>
      <c r="J45" s="49" t="e">
        <f>VLOOKUP($A45,'Data Vlaue (Cr)'!$C:$FB,102)*100</f>
        <v>#REF!</v>
      </c>
    </row>
    <row r="46" spans="1:10" x14ac:dyDescent="0.25">
      <c r="A46" s="101" t="e">
        <f>'NIFTY GRP'!#REF!</f>
        <v>#REF!</v>
      </c>
      <c r="B46" s="140" t="e">
        <f>VLOOKUP($A46,'Data shares'!$C:$FA,7)</f>
        <v>#REF!</v>
      </c>
      <c r="C46" s="140" t="e">
        <f>VLOOKUP($A46,'Data shares'!$C:$FA,3)</f>
        <v>#REF!</v>
      </c>
      <c r="D46" s="50" t="e">
        <f>VLOOKUP($A46,'Data shares'!$C:$FA,6)*100</f>
        <v>#REF!</v>
      </c>
      <c r="E46" s="51" t="e">
        <f>VLOOKUP($A46,'Data shares'!$C:$FA,98)</f>
        <v>#REF!</v>
      </c>
      <c r="F46" s="51" t="e">
        <f>VLOOKUP($A46,'Data shares'!$C:$FA,99)</f>
        <v>#REF!</v>
      </c>
      <c r="G46" s="50" t="e">
        <f>VLOOKUP($A46,'Data shares'!$C:$FA,101)*100</f>
        <v>#REF!</v>
      </c>
      <c r="H46" s="49" t="e">
        <f>VLOOKUP($A46,'Data Vlaue (Cr)'!$C:$FB,99)</f>
        <v>#REF!</v>
      </c>
      <c r="I46" s="49" t="e">
        <f>VLOOKUP($A46,'Data Vlaue (Cr)'!$C:$FB,100)</f>
        <v>#REF!</v>
      </c>
      <c r="J46" s="49" t="e">
        <f>VLOOKUP($A46,'Data Vlaue (Cr)'!$C:$FB,102)*100</f>
        <v>#REF!</v>
      </c>
    </row>
    <row r="47" spans="1:10" x14ac:dyDescent="0.25">
      <c r="A47" s="101" t="e">
        <f>'NIFTY GRP'!#REF!</f>
        <v>#REF!</v>
      </c>
      <c r="B47" s="140" t="e">
        <f>VLOOKUP($A47,'Data shares'!$C:$FA,7)</f>
        <v>#REF!</v>
      </c>
      <c r="C47" s="140" t="e">
        <f>VLOOKUP($A47,'Data shares'!$C:$FA,3)</f>
        <v>#REF!</v>
      </c>
      <c r="D47" s="50" t="e">
        <f>VLOOKUP($A47,'Data shares'!$C:$FA,6)*100</f>
        <v>#REF!</v>
      </c>
      <c r="E47" s="51" t="e">
        <f>VLOOKUP($A47,'Data shares'!$C:$FA,98)</f>
        <v>#REF!</v>
      </c>
      <c r="F47" s="51" t="e">
        <f>VLOOKUP($A47,'Data shares'!$C:$FA,99)</f>
        <v>#REF!</v>
      </c>
      <c r="G47" s="50" t="e">
        <f>VLOOKUP($A47,'Data shares'!$C:$FA,101)*100</f>
        <v>#REF!</v>
      </c>
      <c r="H47" s="49" t="e">
        <f>VLOOKUP($A47,'Data Vlaue (Cr)'!$C:$FB,99)</f>
        <v>#REF!</v>
      </c>
      <c r="I47" s="49" t="e">
        <f>VLOOKUP($A47,'Data Vlaue (Cr)'!$C:$FB,100)</f>
        <v>#REF!</v>
      </c>
      <c r="J47" s="49" t="e">
        <f>VLOOKUP($A47,'Data Vlaue (Cr)'!$C:$FB,102)*100</f>
        <v>#REF!</v>
      </c>
    </row>
    <row r="48" spans="1:10" x14ac:dyDescent="0.25">
      <c r="A48" s="101" t="e">
        <f>'NIFTY GRP'!#REF!</f>
        <v>#REF!</v>
      </c>
      <c r="B48" s="140" t="e">
        <f>VLOOKUP($A48,'Data shares'!$C:$FA,7)</f>
        <v>#REF!</v>
      </c>
      <c r="C48" s="140" t="e">
        <f>VLOOKUP($A48,'Data shares'!$C:$FA,3)</f>
        <v>#REF!</v>
      </c>
      <c r="D48" s="50" t="e">
        <f>VLOOKUP($A48,'Data shares'!$C:$FA,6)*100</f>
        <v>#REF!</v>
      </c>
      <c r="E48" s="51" t="e">
        <f>VLOOKUP($A48,'Data shares'!$C:$FA,98)</f>
        <v>#REF!</v>
      </c>
      <c r="F48" s="51" t="e">
        <f>VLOOKUP($A48,'Data shares'!$C:$FA,99)</f>
        <v>#REF!</v>
      </c>
      <c r="G48" s="50" t="e">
        <f>VLOOKUP($A48,'Data shares'!$C:$FA,101)*100</f>
        <v>#REF!</v>
      </c>
      <c r="H48" s="49" t="e">
        <f>VLOOKUP($A48,'Data Vlaue (Cr)'!$C:$FB,99)</f>
        <v>#REF!</v>
      </c>
      <c r="I48" s="49" t="e">
        <f>VLOOKUP($A48,'Data Vlaue (Cr)'!$C:$FB,100)</f>
        <v>#REF!</v>
      </c>
      <c r="J48" s="49" t="e">
        <f>VLOOKUP($A48,'Data Vlaue (Cr)'!$C:$FB,102)*100</f>
        <v>#REF!</v>
      </c>
    </row>
    <row r="49" spans="1:10" x14ac:dyDescent="0.25">
      <c r="A49" s="101" t="e">
        <f>'NIFTY GRP'!#REF!</f>
        <v>#REF!</v>
      </c>
      <c r="B49" s="140" t="e">
        <f>VLOOKUP($A49,'Data shares'!$C:$FA,7)</f>
        <v>#REF!</v>
      </c>
      <c r="C49" s="140" t="e">
        <f>VLOOKUP($A49,'Data shares'!$C:$FA,3)</f>
        <v>#REF!</v>
      </c>
      <c r="D49" s="50" t="e">
        <f>VLOOKUP($A49,'Data shares'!$C:$FA,6)*100</f>
        <v>#REF!</v>
      </c>
      <c r="E49" s="51" t="e">
        <f>VLOOKUP($A49,'Data shares'!$C:$FA,98)</f>
        <v>#REF!</v>
      </c>
      <c r="F49" s="51" t="e">
        <f>VLOOKUP($A49,'Data shares'!$C:$FA,99)</f>
        <v>#REF!</v>
      </c>
      <c r="G49" s="50" t="e">
        <f>VLOOKUP($A49,'Data shares'!$C:$FA,101)*100</f>
        <v>#REF!</v>
      </c>
      <c r="H49" s="49" t="e">
        <f>VLOOKUP($A49,'Data Vlaue (Cr)'!$C:$FB,99)</f>
        <v>#REF!</v>
      </c>
      <c r="I49" s="49" t="e">
        <f>VLOOKUP($A49,'Data Vlaue (Cr)'!$C:$FB,100)</f>
        <v>#REF!</v>
      </c>
      <c r="J49" s="49" t="e">
        <f>VLOOKUP($A49,'Data Vlaue (Cr)'!$C:$FB,102)*100</f>
        <v>#REF!</v>
      </c>
    </row>
    <row r="50" spans="1:10" x14ac:dyDescent="0.25">
      <c r="A50" s="101" t="e">
        <f>'NIFTY GRP'!#REF!</f>
        <v>#REF!</v>
      </c>
      <c r="B50" s="140" t="e">
        <f>VLOOKUP($A50,'Data shares'!$C:$FA,7)</f>
        <v>#REF!</v>
      </c>
      <c r="C50" s="140" t="e">
        <f>VLOOKUP($A50,'Data shares'!$C:$FA,3)</f>
        <v>#REF!</v>
      </c>
      <c r="D50" s="50" t="e">
        <f>VLOOKUP($A50,'Data shares'!$C:$FA,6)*100</f>
        <v>#REF!</v>
      </c>
      <c r="E50" s="51" t="e">
        <f>VLOOKUP($A50,'Data shares'!$C:$FA,98)</f>
        <v>#REF!</v>
      </c>
      <c r="F50" s="51" t="e">
        <f>VLOOKUP($A50,'Data shares'!$C:$FA,99)</f>
        <v>#REF!</v>
      </c>
      <c r="G50" s="50" t="e">
        <f>VLOOKUP($A50,'Data shares'!$C:$FA,101)*100</f>
        <v>#REF!</v>
      </c>
      <c r="H50" s="49" t="e">
        <f>VLOOKUP($A50,'Data Vlaue (Cr)'!$C:$FB,99)</f>
        <v>#REF!</v>
      </c>
      <c r="I50" s="49" t="e">
        <f>VLOOKUP($A50,'Data Vlaue (Cr)'!$C:$FB,100)</f>
        <v>#REF!</v>
      </c>
      <c r="J50" s="49" t="e">
        <f>VLOOKUP($A50,'Data Vlaue (Cr)'!$C:$FB,102)*100</f>
        <v>#REF!</v>
      </c>
    </row>
    <row r="51" spans="1:10" x14ac:dyDescent="0.25">
      <c r="A51" s="101" t="e">
        <f>'NIFTY GRP'!#REF!</f>
        <v>#REF!</v>
      </c>
      <c r="B51" s="140" t="e">
        <f>VLOOKUP($A51,'Data shares'!$C:$FA,7)</f>
        <v>#REF!</v>
      </c>
      <c r="C51" s="140" t="e">
        <f>VLOOKUP($A51,'Data shares'!$C:$FA,3)</f>
        <v>#REF!</v>
      </c>
      <c r="D51" s="50" t="e">
        <f>VLOOKUP($A51,'Data shares'!$C:$FA,6)*100</f>
        <v>#REF!</v>
      </c>
      <c r="E51" s="51" t="e">
        <f>VLOOKUP($A51,'Data shares'!$C:$FA,98)</f>
        <v>#REF!</v>
      </c>
      <c r="F51" s="51" t="e">
        <f>VLOOKUP($A51,'Data shares'!$C:$FA,99)</f>
        <v>#REF!</v>
      </c>
      <c r="G51" s="50" t="e">
        <f>VLOOKUP($A51,'Data shares'!$C:$FA,101)*100</f>
        <v>#REF!</v>
      </c>
      <c r="H51" s="49" t="e">
        <f>VLOOKUP($A51,'Data Vlaue (Cr)'!$C:$FB,99)</f>
        <v>#REF!</v>
      </c>
      <c r="I51" s="49" t="e">
        <f>VLOOKUP($A51,'Data Vlaue (Cr)'!$C:$FB,100)</f>
        <v>#REF!</v>
      </c>
      <c r="J51" s="49" t="e">
        <f>VLOOKUP($A51,'Data Vlaue (Cr)'!$C:$FB,102)*100</f>
        <v>#REF!</v>
      </c>
    </row>
    <row r="52" spans="1:10" x14ac:dyDescent="0.25">
      <c r="A52" s="101" t="e">
        <f>'NIFTY GRP'!#REF!</f>
        <v>#REF!</v>
      </c>
      <c r="B52" s="140" t="e">
        <f>VLOOKUP($A52,'Data shares'!$C:$FA,7)</f>
        <v>#REF!</v>
      </c>
      <c r="C52" s="140" t="e">
        <f>VLOOKUP($A52,'Data shares'!$C:$FA,3)</f>
        <v>#REF!</v>
      </c>
      <c r="D52" s="50" t="e">
        <f>VLOOKUP($A52,'Data shares'!$C:$FA,6)*100</f>
        <v>#REF!</v>
      </c>
      <c r="E52" s="51" t="e">
        <f>VLOOKUP($A52,'Data shares'!$C:$FA,98)</f>
        <v>#REF!</v>
      </c>
      <c r="F52" s="51" t="e">
        <f>VLOOKUP($A52,'Data shares'!$C:$FA,99)</f>
        <v>#REF!</v>
      </c>
      <c r="G52" s="50" t="e">
        <f>VLOOKUP($A52,'Data shares'!$C:$FA,101)*100</f>
        <v>#REF!</v>
      </c>
      <c r="H52" s="49" t="e">
        <f>VLOOKUP($A52,'Data Vlaue (Cr)'!$C:$FB,99)</f>
        <v>#REF!</v>
      </c>
      <c r="I52" s="49" t="e">
        <f>VLOOKUP($A52,'Data Vlaue (Cr)'!$C:$FB,100)</f>
        <v>#REF!</v>
      </c>
      <c r="J52" s="49" t="e">
        <f>VLOOKUP($A52,'Data Vlaue (Cr)'!$C:$FB,102)*100</f>
        <v>#REF!</v>
      </c>
    </row>
    <row r="53" spans="1:10" x14ac:dyDescent="0.25">
      <c r="A53" s="101" t="e">
        <f>'NIFTY GRP'!#REF!</f>
        <v>#REF!</v>
      </c>
      <c r="B53" s="140" t="e">
        <f>VLOOKUP($A53,'Data shares'!$C:$FA,7)</f>
        <v>#REF!</v>
      </c>
      <c r="C53" s="140" t="e">
        <f>VLOOKUP($A53,'Data shares'!$C:$FA,3)</f>
        <v>#REF!</v>
      </c>
      <c r="D53" s="50" t="e">
        <f>VLOOKUP($A53,'Data shares'!$C:$FA,6)*100</f>
        <v>#REF!</v>
      </c>
      <c r="E53" s="51" t="e">
        <f>VLOOKUP($A53,'Data shares'!$C:$FA,98)</f>
        <v>#REF!</v>
      </c>
      <c r="F53" s="51" t="e">
        <f>VLOOKUP($A53,'Data shares'!$C:$FA,99)</f>
        <v>#REF!</v>
      </c>
      <c r="G53" s="50" t="e">
        <f>VLOOKUP($A53,'Data shares'!$C:$FA,101)*100</f>
        <v>#REF!</v>
      </c>
      <c r="H53" s="49" t="e">
        <f>VLOOKUP($A53,'Data Vlaue (Cr)'!$C:$FB,99)</f>
        <v>#REF!</v>
      </c>
      <c r="I53" s="49" t="e">
        <f>VLOOKUP($A53,'Data Vlaue (Cr)'!$C:$FB,100)</f>
        <v>#REF!</v>
      </c>
      <c r="J53" s="49" t="e">
        <f>VLOOKUP($A53,'Data Vlaue (Cr)'!$C:$FB,102)*100</f>
        <v>#REF!</v>
      </c>
    </row>
    <row r="54" spans="1:10" x14ac:dyDescent="0.25">
      <c r="A54" s="101" t="e">
        <f>'NIFTY GRP'!#REF!</f>
        <v>#REF!</v>
      </c>
      <c r="B54" s="140" t="e">
        <f>VLOOKUP($A54,'Data shares'!$C:$FA,7)</f>
        <v>#REF!</v>
      </c>
      <c r="C54" s="140" t="e">
        <f>VLOOKUP($A54,'Data shares'!$C:$FA,3)</f>
        <v>#REF!</v>
      </c>
      <c r="D54" s="50" t="e">
        <f>VLOOKUP($A54,'Data shares'!$C:$FA,6)*100</f>
        <v>#REF!</v>
      </c>
      <c r="E54" s="51" t="e">
        <f>VLOOKUP($A54,'Data shares'!$C:$FA,98)</f>
        <v>#REF!</v>
      </c>
      <c r="F54" s="51" t="e">
        <f>VLOOKUP($A54,'Data shares'!$C:$FA,99)</f>
        <v>#REF!</v>
      </c>
      <c r="G54" s="50" t="e">
        <f>VLOOKUP($A54,'Data shares'!$C:$FA,101)*100</f>
        <v>#REF!</v>
      </c>
      <c r="H54" s="49" t="e">
        <f>VLOOKUP($A54,'Data Vlaue (Cr)'!$C:$FB,99)</f>
        <v>#REF!</v>
      </c>
      <c r="I54" s="49" t="e">
        <f>VLOOKUP($A54,'Data Vlaue (Cr)'!$C:$FB,100)</f>
        <v>#REF!</v>
      </c>
      <c r="J54" s="49" t="e">
        <f>VLOOKUP($A54,'Data Vlaue (Cr)'!$C:$FB,102)*100</f>
        <v>#REF!</v>
      </c>
    </row>
    <row r="55" spans="1:10" x14ac:dyDescent="0.25">
      <c r="A55" s="101" t="e">
        <f>'NIFTY GRP'!#REF!</f>
        <v>#REF!</v>
      </c>
      <c r="B55" s="140" t="e">
        <f>VLOOKUP($A55,'Data shares'!$C:$FA,7)</f>
        <v>#REF!</v>
      </c>
      <c r="C55" s="140" t="e">
        <f>VLOOKUP($A55,'Data shares'!$C:$FA,3)</f>
        <v>#REF!</v>
      </c>
      <c r="D55" s="50" t="e">
        <f>VLOOKUP($A55,'Data shares'!$C:$FA,6)*100</f>
        <v>#REF!</v>
      </c>
      <c r="E55" s="51" t="e">
        <f>VLOOKUP($A55,'Data shares'!$C:$FA,98)</f>
        <v>#REF!</v>
      </c>
      <c r="F55" s="51" t="e">
        <f>VLOOKUP($A55,'Data shares'!$C:$FA,99)</f>
        <v>#REF!</v>
      </c>
      <c r="G55" s="50" t="e">
        <f>VLOOKUP($A55,'Data shares'!$C:$FA,101)*100</f>
        <v>#REF!</v>
      </c>
      <c r="H55" s="49" t="e">
        <f>VLOOKUP($A55,'Data Vlaue (Cr)'!$C:$FB,99)</f>
        <v>#REF!</v>
      </c>
      <c r="I55" s="49" t="e">
        <f>VLOOKUP($A55,'Data Vlaue (Cr)'!$C:$FB,100)</f>
        <v>#REF!</v>
      </c>
      <c r="J55" s="49" t="e">
        <f>VLOOKUP($A55,'Data Vlaue (Cr)'!$C:$FB,102)*100</f>
        <v>#REF!</v>
      </c>
    </row>
    <row r="56" spans="1:10" x14ac:dyDescent="0.25">
      <c r="A56" s="101">
        <f>'NIFTY GRP'!C2</f>
        <v>0</v>
      </c>
      <c r="B56" s="140" t="e">
        <f>VLOOKUP($A56,'Data shares'!$C:$FA,7)</f>
        <v>#N/A</v>
      </c>
      <c r="C56" s="140" t="e">
        <f>VLOOKUP($A56,'Data shares'!$C:$FA,3)</f>
        <v>#N/A</v>
      </c>
      <c r="D56" s="50" t="e">
        <f>VLOOKUP($A56,'Data shares'!$C:$FA,6)*100</f>
        <v>#N/A</v>
      </c>
      <c r="E56" s="51" t="e">
        <f>VLOOKUP($A56,'Data shares'!$C:$FA,98)</f>
        <v>#N/A</v>
      </c>
      <c r="F56" s="51" t="e">
        <f>VLOOKUP($A56,'Data shares'!$C:$FA,99)</f>
        <v>#N/A</v>
      </c>
      <c r="G56" s="50" t="e">
        <f>VLOOKUP($A56,'Data shares'!$C:$FA,101)*100</f>
        <v>#N/A</v>
      </c>
      <c r="H56" s="49" t="e">
        <f>VLOOKUP($A56,'Data Vlaue (Cr)'!$C:$FB,99)</f>
        <v>#N/A</v>
      </c>
      <c r="I56" s="49" t="e">
        <f>VLOOKUP($A56,'Data Vlaue (Cr)'!$C:$FB,100)</f>
        <v>#N/A</v>
      </c>
      <c r="J56" s="49" t="e">
        <f>VLOOKUP($A56,'Data Vlaue (Cr)'!$C:$FB,102)*100</f>
        <v>#N/A</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1"/>
      <c r="B62" s="140"/>
      <c r="C62" s="140"/>
      <c r="D62" s="50"/>
      <c r="E62" s="51"/>
      <c r="F62" s="51"/>
      <c r="G62" s="50"/>
      <c r="H62" s="49"/>
      <c r="I62" s="49"/>
      <c r="J62" s="49"/>
    </row>
    <row r="63" spans="1:10" x14ac:dyDescent="0.25">
      <c r="A63" s="101"/>
      <c r="B63" s="140"/>
      <c r="C63" s="140"/>
      <c r="D63" s="50"/>
      <c r="E63" s="51"/>
      <c r="F63" s="51"/>
      <c r="G63" s="50"/>
      <c r="H63" s="49"/>
      <c r="I63" s="49"/>
      <c r="J63" s="49"/>
    </row>
    <row r="64" spans="1:10" x14ac:dyDescent="0.25">
      <c r="A64" s="101"/>
      <c r="B64" s="140"/>
      <c r="C64" s="140"/>
      <c r="D64" s="50"/>
      <c r="E64" s="51"/>
      <c r="F64" s="51"/>
      <c r="G64" s="50"/>
      <c r="H64" s="49"/>
      <c r="I64" s="49"/>
      <c r="J64" s="49"/>
    </row>
    <row r="65" spans="1:10" x14ac:dyDescent="0.25">
      <c r="A65" s="101"/>
      <c r="B65" s="140"/>
      <c r="C65" s="140"/>
      <c r="D65" s="50"/>
      <c r="E65" s="51"/>
      <c r="F65" s="51"/>
      <c r="G65" s="50"/>
      <c r="H65" s="49"/>
      <c r="I65" s="49"/>
      <c r="J65" s="49"/>
    </row>
    <row r="66" spans="1:10" x14ac:dyDescent="0.25">
      <c r="A66" s="101"/>
      <c r="B66" s="140"/>
      <c r="C66" s="140"/>
      <c r="D66" s="50"/>
      <c r="E66" s="51"/>
      <c r="F66" s="51"/>
      <c r="G66" s="50"/>
      <c r="H66" s="49"/>
      <c r="I66" s="49"/>
      <c r="J66" s="49"/>
    </row>
    <row r="67" spans="1:10" x14ac:dyDescent="0.25">
      <c r="A67" s="101"/>
      <c r="B67" s="140"/>
      <c r="C67" s="140"/>
      <c r="D67" s="50"/>
      <c r="E67" s="51"/>
      <c r="F67" s="51"/>
      <c r="G67" s="50"/>
      <c r="H67" s="49"/>
      <c r="I67" s="49"/>
      <c r="J67" s="49"/>
    </row>
    <row r="68" spans="1:10" x14ac:dyDescent="0.25">
      <c r="A68" s="101"/>
      <c r="B68" s="140"/>
      <c r="C68" s="140"/>
      <c r="D68" s="50"/>
      <c r="E68" s="51"/>
      <c r="F68" s="51"/>
      <c r="G68" s="50"/>
      <c r="H68" s="49"/>
      <c r="I68" s="49"/>
      <c r="J68" s="49"/>
    </row>
    <row r="69" spans="1:10" x14ac:dyDescent="0.25">
      <c r="A69" s="101"/>
      <c r="B69" s="140"/>
      <c r="C69" s="140"/>
      <c r="D69" s="50"/>
      <c r="E69" s="51"/>
      <c r="F69" s="51"/>
      <c r="G69" s="50"/>
      <c r="H69" s="49"/>
      <c r="I69" s="49"/>
      <c r="J69" s="49"/>
    </row>
    <row r="70" spans="1:10" x14ac:dyDescent="0.25">
      <c r="A70" s="101"/>
      <c r="B70" s="140"/>
      <c r="C70" s="140"/>
      <c r="D70" s="50"/>
      <c r="E70" s="51"/>
      <c r="F70" s="51"/>
      <c r="G70" s="50"/>
      <c r="H70" s="49"/>
      <c r="I70" s="49"/>
      <c r="J70" s="49"/>
    </row>
    <row r="71" spans="1:10" x14ac:dyDescent="0.25">
      <c r="A71" s="101"/>
      <c r="B71" s="140"/>
      <c r="C71" s="140"/>
      <c r="D71" s="50"/>
      <c r="E71" s="51"/>
      <c r="F71" s="51"/>
      <c r="G71" s="50"/>
      <c r="H71" s="49"/>
      <c r="I71" s="49"/>
      <c r="J71" s="49"/>
    </row>
    <row r="72" spans="1:10" x14ac:dyDescent="0.25">
      <c r="A72" s="101"/>
      <c r="B72" s="140"/>
      <c r="C72" s="140"/>
      <c r="D72" s="50"/>
      <c r="E72" s="51"/>
      <c r="F72" s="51"/>
      <c r="G72" s="50"/>
      <c r="H72" s="49"/>
      <c r="I72" s="49"/>
      <c r="J72" s="49"/>
    </row>
    <row r="73" spans="1:10" x14ac:dyDescent="0.25">
      <c r="A73" s="101"/>
      <c r="B73" s="140"/>
      <c r="C73" s="140"/>
      <c r="D73" s="50"/>
      <c r="E73" s="51"/>
      <c r="F73" s="51"/>
      <c r="G73" s="50"/>
      <c r="H73" s="49"/>
      <c r="I73" s="49"/>
      <c r="J73" s="49"/>
    </row>
    <row r="74" spans="1:10" x14ac:dyDescent="0.25">
      <c r="A74" s="101"/>
      <c r="B74" s="140"/>
      <c r="C74" s="140"/>
      <c r="D74" s="50"/>
      <c r="E74" s="51"/>
      <c r="F74" s="51"/>
      <c r="G74" s="50"/>
      <c r="H74" s="49"/>
      <c r="I74" s="49"/>
      <c r="J74" s="49"/>
    </row>
    <row r="75" spans="1:10" x14ac:dyDescent="0.25">
      <c r="A75" s="101"/>
      <c r="B75" s="140"/>
      <c r="C75" s="140"/>
      <c r="D75" s="50"/>
      <c r="E75" s="51"/>
      <c r="F75" s="51"/>
      <c r="G75" s="50"/>
      <c r="H75" s="49"/>
      <c r="I75" s="49"/>
      <c r="J75" s="49"/>
    </row>
    <row r="76" spans="1:10" x14ac:dyDescent="0.25">
      <c r="A76" s="101"/>
      <c r="B76" s="140"/>
      <c r="C76" s="140"/>
      <c r="D76" s="50"/>
      <c r="E76" s="51"/>
      <c r="F76" s="51"/>
      <c r="G76" s="50"/>
      <c r="H76" s="49"/>
      <c r="I76" s="49"/>
      <c r="J76" s="49"/>
    </row>
    <row r="77" spans="1:10" x14ac:dyDescent="0.25">
      <c r="A77" s="101"/>
      <c r="B77" s="140"/>
      <c r="C77" s="140"/>
      <c r="D77" s="50"/>
      <c r="E77" s="51"/>
      <c r="F77" s="51"/>
      <c r="G77" s="50"/>
      <c r="H77" s="49"/>
      <c r="I77" s="49"/>
      <c r="J77" s="49"/>
    </row>
    <row r="78" spans="1:10" x14ac:dyDescent="0.25">
      <c r="A78" s="101"/>
      <c r="B78" s="140"/>
      <c r="C78" s="140"/>
      <c r="D78" s="50"/>
      <c r="E78" s="51"/>
      <c r="F78" s="51"/>
      <c r="G78" s="50"/>
      <c r="H78" s="49"/>
      <c r="I78" s="49"/>
      <c r="J78" s="49"/>
    </row>
    <row r="79" spans="1:10" x14ac:dyDescent="0.25">
      <c r="A79" s="101"/>
      <c r="B79" s="140"/>
      <c r="C79" s="140"/>
      <c r="D79" s="50"/>
      <c r="E79" s="51"/>
      <c r="F79" s="51"/>
      <c r="G79" s="50"/>
      <c r="H79" s="49"/>
      <c r="I79" s="49"/>
      <c r="J79" s="49"/>
    </row>
    <row r="80" spans="1:10" x14ac:dyDescent="0.25">
      <c r="A80" s="101"/>
      <c r="B80" s="140"/>
      <c r="C80" s="140"/>
      <c r="D80" s="50"/>
      <c r="E80" s="51"/>
      <c r="F80" s="51"/>
      <c r="G80" s="50"/>
      <c r="H80" s="49"/>
      <c r="I80" s="49"/>
      <c r="J80" s="49"/>
    </row>
    <row r="81" spans="1:10" x14ac:dyDescent="0.25">
      <c r="A81" s="101"/>
      <c r="B81" s="140"/>
      <c r="C81" s="140"/>
      <c r="D81" s="50"/>
      <c r="E81" s="51"/>
      <c r="F81" s="51"/>
      <c r="G81" s="50"/>
      <c r="H81" s="49"/>
      <c r="I81" s="49"/>
      <c r="J81" s="49"/>
    </row>
    <row r="82" spans="1:10" x14ac:dyDescent="0.25">
      <c r="A82" s="101"/>
      <c r="B82" s="140"/>
      <c r="C82" s="140"/>
      <c r="D82" s="50"/>
      <c r="E82" s="51"/>
      <c r="F82" s="51"/>
      <c r="G82" s="50"/>
      <c r="H82" s="49"/>
      <c r="I82" s="49"/>
      <c r="J82" s="49"/>
    </row>
    <row r="83" spans="1:10" x14ac:dyDescent="0.25">
      <c r="A83" s="101"/>
      <c r="B83" s="140"/>
      <c r="C83" s="140"/>
      <c r="D83" s="50"/>
      <c r="E83" s="51"/>
      <c r="F83" s="51"/>
      <c r="G83" s="50"/>
      <c r="H83" s="49"/>
      <c r="I83" s="49"/>
      <c r="J83" s="49"/>
    </row>
    <row r="84" spans="1:10" x14ac:dyDescent="0.25">
      <c r="A84" s="101"/>
      <c r="B84" s="140"/>
      <c r="C84" s="140"/>
      <c r="D84" s="50"/>
      <c r="E84" s="51"/>
      <c r="F84" s="51"/>
      <c r="G84" s="50"/>
      <c r="H84" s="49"/>
      <c r="I84" s="49"/>
      <c r="J84" s="49"/>
    </row>
    <row r="85" spans="1:10" x14ac:dyDescent="0.25">
      <c r="A85" s="101"/>
      <c r="B85" s="140"/>
      <c r="C85" s="140"/>
      <c r="D85" s="50"/>
      <c r="E85" s="51"/>
      <c r="F85" s="51"/>
      <c r="G85" s="50"/>
      <c r="H85" s="49"/>
      <c r="I85" s="49"/>
      <c r="J85" s="49"/>
    </row>
    <row r="86" spans="1:10" x14ac:dyDescent="0.25">
      <c r="A86" s="101"/>
      <c r="B86" s="140"/>
      <c r="C86" s="140"/>
      <c r="D86" s="50"/>
      <c r="E86" s="51"/>
      <c r="F86" s="51"/>
      <c r="G86" s="50"/>
      <c r="H86" s="49"/>
      <c r="I86" s="49"/>
      <c r="J86" s="49"/>
    </row>
    <row r="87" spans="1:10" x14ac:dyDescent="0.25">
      <c r="A87" s="101"/>
      <c r="B87" s="140"/>
      <c r="C87" s="140"/>
      <c r="D87" s="50"/>
      <c r="E87" s="51"/>
      <c r="F87" s="51"/>
      <c r="G87" s="50"/>
      <c r="H87" s="49"/>
      <c r="I87" s="49"/>
      <c r="J87" s="49"/>
    </row>
    <row r="88" spans="1:10" x14ac:dyDescent="0.25">
      <c r="A88" s="101"/>
      <c r="B88" s="140"/>
      <c r="C88" s="140"/>
      <c r="D88" s="50"/>
      <c r="E88" s="51"/>
      <c r="F88" s="51"/>
      <c r="G88" s="50"/>
      <c r="H88" s="49"/>
      <c r="I88" s="49"/>
      <c r="J88" s="49"/>
    </row>
    <row r="89" spans="1:10" x14ac:dyDescent="0.25">
      <c r="A89" s="101"/>
      <c r="B89" s="140"/>
      <c r="C89" s="140"/>
      <c r="D89" s="50"/>
      <c r="E89" s="51"/>
      <c r="F89" s="51"/>
      <c r="G89" s="50"/>
      <c r="H89" s="49"/>
      <c r="I89" s="49"/>
      <c r="J89" s="49"/>
    </row>
    <row r="90" spans="1:10" x14ac:dyDescent="0.25">
      <c r="A90" s="102"/>
      <c r="B90" s="17"/>
      <c r="C90" s="17"/>
      <c r="D90" s="17"/>
      <c r="E90" s="17"/>
      <c r="F90" s="17"/>
      <c r="G90" s="17"/>
      <c r="H90" s="17"/>
      <c r="I90" s="17"/>
      <c r="J90" s="17"/>
    </row>
    <row r="91" spans="1:10" x14ac:dyDescent="0.25">
      <c r="A91" s="102"/>
      <c r="B91" s="17"/>
      <c r="C91" s="17"/>
      <c r="D91" s="17"/>
      <c r="E91" s="17"/>
      <c r="F91" s="17"/>
      <c r="G91" s="17"/>
      <c r="H91" s="17"/>
      <c r="I91" s="17"/>
      <c r="J91" s="17"/>
    </row>
    <row r="92" spans="1:10" x14ac:dyDescent="0.25">
      <c r="A92" s="102"/>
      <c r="B92" s="17"/>
      <c r="C92" s="17"/>
      <c r="D92" s="17"/>
      <c r="E92" s="17"/>
      <c r="F92" s="17"/>
      <c r="G92" s="17"/>
      <c r="H92" s="17"/>
      <c r="I92" s="17"/>
      <c r="J92" s="17"/>
    </row>
    <row r="93" spans="1:10" x14ac:dyDescent="0.25">
      <c r="A93" s="102"/>
      <c r="B93" s="17"/>
      <c r="C93" s="17"/>
      <c r="D93" s="17"/>
      <c r="E93" s="17"/>
      <c r="F93" s="17"/>
      <c r="G93" s="17"/>
      <c r="H93" s="17"/>
      <c r="I93" s="17"/>
      <c r="J93" s="17"/>
    </row>
    <row r="94" spans="1:10" s="88" customFormat="1" ht="13.5" customHeight="1" x14ac:dyDescent="0.25">
      <c r="A94" s="126" t="s">
        <v>391</v>
      </c>
      <c r="B94" s="122"/>
      <c r="C94" s="122"/>
      <c r="D94" s="122"/>
      <c r="E94" s="127" t="e">
        <f>SUM(E7:E93)</f>
        <v>#REF!</v>
      </c>
      <c r="F94" s="127" t="e">
        <f>SUM(F7:F93)</f>
        <v>#REF!</v>
      </c>
      <c r="G94" s="128" t="e">
        <f>(E94-F94)/F94</f>
        <v>#REF!</v>
      </c>
      <c r="H94" s="127" t="e">
        <f>SUM(H7:H93)</f>
        <v>#REF!</v>
      </c>
      <c r="I94" s="127" t="e">
        <f>SUM(I7:I93)</f>
        <v>#REF!</v>
      </c>
      <c r="J94" s="128" t="e">
        <f>(H94-I94)/I94</f>
        <v>#REF!</v>
      </c>
    </row>
    <row r="95" spans="1:10" s="88" customFormat="1" ht="13.5" customHeight="1" x14ac:dyDescent="0.25">
      <c r="A95" s="126" t="s">
        <v>398</v>
      </c>
      <c r="B95" s="122"/>
      <c r="C95" s="122"/>
      <c r="D95" s="122"/>
      <c r="E95" s="125" t="e">
        <f>E94/10000000</f>
        <v>#REF!</v>
      </c>
      <c r="F95" s="125" t="e">
        <f>F94/10000000</f>
        <v>#REF!</v>
      </c>
      <c r="G95" s="128" t="e">
        <f>(E95-F95)/F95</f>
        <v>#REF!</v>
      </c>
      <c r="H95" s="129" t="e">
        <f>H94/10000000</f>
        <v>#REF!</v>
      </c>
      <c r="I95" s="129" t="e">
        <f>I94/10000000</f>
        <v>#REF!</v>
      </c>
      <c r="J95" s="128" t="e">
        <f>(H95-I95)/I95</f>
        <v>#REF!</v>
      </c>
    </row>
    <row r="100" spans="1:3" x14ac:dyDescent="0.25">
      <c r="A100" s="43"/>
      <c r="B100" s="43"/>
      <c r="C100" s="44"/>
    </row>
    <row r="101" spans="1:3" ht="34.5" x14ac:dyDescent="0.25">
      <c r="A101" s="95" t="s">
        <v>411</v>
      </c>
      <c r="B101" s="45"/>
      <c r="C101" s="45" t="s">
        <v>385</v>
      </c>
    </row>
    <row r="102" spans="1:3" x14ac:dyDescent="0.25">
      <c r="A102" s="22" t="s">
        <v>412</v>
      </c>
      <c r="B102" s="22" t="s">
        <v>413</v>
      </c>
      <c r="C102" s="22" t="s">
        <v>414</v>
      </c>
    </row>
    <row r="103" spans="1:3" x14ac:dyDescent="0.25">
      <c r="A103" s="38" t="e">
        <f>H94</f>
        <v>#REF!</v>
      </c>
      <c r="B103" s="38" t="e">
        <f>I94</f>
        <v>#REF!</v>
      </c>
      <c r="C103" s="42" t="e">
        <f>J94</f>
        <v>#REF!</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2"/>
  <sheetViews>
    <sheetView workbookViewId="0">
      <pane ySplit="6" topLeftCell="A7" activePane="bottomLeft" state="frozen"/>
      <selection pane="bottomLeft" activeCell="Q9" sqref="Q9"/>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7" t="s">
        <v>356</v>
      </c>
      <c r="B3" s="298"/>
      <c r="C3" s="298"/>
      <c r="D3" s="298"/>
      <c r="E3" s="298"/>
      <c r="F3" s="298"/>
      <c r="G3" s="298"/>
      <c r="H3" s="298"/>
      <c r="I3" s="298"/>
      <c r="J3" s="298"/>
      <c r="K3" s="298"/>
      <c r="L3" s="298"/>
      <c r="M3" s="298"/>
      <c r="N3" s="298"/>
      <c r="O3" s="299"/>
    </row>
    <row r="4" spans="1:15" s="93" customFormat="1" x14ac:dyDescent="0.25">
      <c r="A4" s="284" t="s">
        <v>330</v>
      </c>
      <c r="B4" s="286" t="s">
        <v>308</v>
      </c>
      <c r="C4" s="288"/>
      <c r="D4" s="286" t="s">
        <v>357</v>
      </c>
      <c r="E4" s="287"/>
      <c r="F4" s="287"/>
      <c r="G4" s="287"/>
      <c r="H4" s="287"/>
      <c r="I4" s="287"/>
      <c r="J4" s="287"/>
      <c r="K4" s="287"/>
      <c r="L4" s="287"/>
      <c r="M4" s="287"/>
      <c r="N4" s="287"/>
      <c r="O4" s="288"/>
    </row>
    <row r="5" spans="1:15" s="93" customFormat="1" x14ac:dyDescent="0.25">
      <c r="A5" s="285"/>
      <c r="B5" s="300" t="s">
        <v>312</v>
      </c>
      <c r="C5" s="290"/>
      <c r="D5" s="300" t="s">
        <v>357</v>
      </c>
      <c r="E5" s="289"/>
      <c r="F5" s="290"/>
      <c r="G5" s="300" t="s">
        <v>358</v>
      </c>
      <c r="H5" s="289"/>
      <c r="I5" s="290"/>
      <c r="J5" s="300" t="s">
        <v>359</v>
      </c>
      <c r="K5" s="289"/>
      <c r="L5" s="290"/>
      <c r="M5" s="300" t="s">
        <v>360</v>
      </c>
      <c r="N5" s="289"/>
      <c r="O5" s="290"/>
    </row>
    <row r="6" spans="1:15" s="93" customFormat="1" x14ac:dyDescent="0.25">
      <c r="A6" s="76" t="s">
        <v>318</v>
      </c>
      <c r="B6" s="3">
        <f>'Nifty Baskets'!B6</f>
        <v>46023</v>
      </c>
      <c r="C6" s="76" t="s">
        <v>328</v>
      </c>
      <c r="D6" s="3">
        <f>B6</f>
        <v>46023</v>
      </c>
      <c r="E6" s="76" t="s">
        <v>322</v>
      </c>
      <c r="F6" s="76" t="s">
        <v>328</v>
      </c>
      <c r="G6" s="3">
        <f>D6</f>
        <v>46023</v>
      </c>
      <c r="H6" s="76" t="s">
        <v>322</v>
      </c>
      <c r="I6" s="76" t="s">
        <v>328</v>
      </c>
      <c r="J6" s="3">
        <f>D6</f>
        <v>46023</v>
      </c>
      <c r="K6" s="76" t="s">
        <v>322</v>
      </c>
      <c r="L6" s="76" t="s">
        <v>328</v>
      </c>
      <c r="M6" s="3">
        <f>D6</f>
        <v>46023</v>
      </c>
      <c r="N6" s="76" t="s">
        <v>322</v>
      </c>
      <c r="O6" s="76" t="s">
        <v>328</v>
      </c>
    </row>
    <row r="7" spans="1:15" x14ac:dyDescent="0.25">
      <c r="A7" s="101" t="str">
        <f>'Data Vlaue (Cr)'!C2</f>
        <v>360ONE</v>
      </c>
      <c r="B7" s="50">
        <f>VLOOKUP($A7,'Data Vlaue (Cr)'!$C:$FB,8)</f>
        <v>1179.7</v>
      </c>
      <c r="C7" s="50">
        <f>VLOOKUP($A7,'Data Vlaue (Cr)'!$C:$FB,11)*100</f>
        <v>-0.86999999999999988</v>
      </c>
      <c r="D7" s="50">
        <f>VLOOKUP($A7,'Data Vlaue (Cr)'!$C:$FB,143)</f>
        <v>53.82</v>
      </c>
      <c r="E7" s="50">
        <f>VLOOKUP($A7,'Data Vlaue (Cr)'!$C:$FB,144)</f>
        <v>152.38</v>
      </c>
      <c r="F7" s="50">
        <f>VLOOKUP($A7,'Data Vlaue (Cr)'!$C:$FB,146)*100</f>
        <v>-64.680000000000007</v>
      </c>
      <c r="G7" s="49">
        <f>VLOOKUP($A7,'Data Vlaue (Cr)'!$C:$FB,43)</f>
        <v>23</v>
      </c>
      <c r="H7" s="49">
        <f>VLOOKUP($A7,'Data Vlaue (Cr)'!$C:$FB,44)</f>
        <v>53</v>
      </c>
      <c r="I7" s="49">
        <f>VLOOKUP($A7,'Data Vlaue (Cr)'!$C:$FB,46)*100</f>
        <v>-57.4</v>
      </c>
      <c r="J7" s="51">
        <f>VLOOKUP($A7,'Data Vlaue (Cr)'!$C:$FB,59)</f>
        <v>26</v>
      </c>
      <c r="K7" s="51">
        <f>VLOOKUP($A7,'Data Vlaue (Cr)'!$C:$FB,60)</f>
        <v>83</v>
      </c>
      <c r="L7" s="51">
        <f>VLOOKUP($A7,'Data Vlaue (Cr)'!$C:$FB,62)*100</f>
        <v>-69.010000000000005</v>
      </c>
      <c r="M7" s="51">
        <f>VLOOKUP($A7,'Data Vlaue (Cr)'!$C:$FB,63)</f>
        <v>4</v>
      </c>
      <c r="N7" s="51">
        <f>VLOOKUP($A7,'Data Vlaue (Cr)'!$C:$FB,64)</f>
        <v>12</v>
      </c>
      <c r="O7" s="51">
        <f>VLOOKUP($A7,'Data Vlaue (Cr)'!$C:$FB,66)*100</f>
        <v>-64.73</v>
      </c>
    </row>
    <row r="8" spans="1:15" x14ac:dyDescent="0.25">
      <c r="A8" s="101" t="str">
        <f>'Data Vlaue (Cr)'!C3</f>
        <v>ABB</v>
      </c>
      <c r="B8" s="50">
        <f>VLOOKUP($A8,'Data Vlaue (Cr)'!$C:$FB,8)</f>
        <v>5176.5</v>
      </c>
      <c r="C8" s="50">
        <f>VLOOKUP($A8,'Data Vlaue (Cr)'!$C:$FB,11)*100</f>
        <v>0.13</v>
      </c>
      <c r="D8" s="50">
        <f>VLOOKUP($A8,'Data Vlaue (Cr)'!$C:$FB,143)</f>
        <v>243.68</v>
      </c>
      <c r="E8" s="50">
        <f>VLOOKUP($A8,'Data Vlaue (Cr)'!$C:$FB,144)</f>
        <v>378.19</v>
      </c>
      <c r="F8" s="50">
        <f>VLOOKUP($A8,'Data Vlaue (Cr)'!$C:$FB,146)*100</f>
        <v>-35.57</v>
      </c>
      <c r="G8" s="49">
        <f>VLOOKUP($A8,'Data Vlaue (Cr)'!$C:$FB,43)</f>
        <v>68</v>
      </c>
      <c r="H8" s="49">
        <f>VLOOKUP($A8,'Data Vlaue (Cr)'!$C:$FB,44)</f>
        <v>91</v>
      </c>
      <c r="I8" s="49">
        <f>VLOOKUP($A8,'Data Vlaue (Cr)'!$C:$FB,46)*100</f>
        <v>-24.77</v>
      </c>
      <c r="J8" s="51">
        <f>VLOOKUP($A8,'Data Vlaue (Cr)'!$C:$FB,59)</f>
        <v>128</v>
      </c>
      <c r="K8" s="51">
        <f>VLOOKUP($A8,'Data Vlaue (Cr)'!$C:$FB,60)</f>
        <v>183</v>
      </c>
      <c r="L8" s="51">
        <f>VLOOKUP($A8,'Data Vlaue (Cr)'!$C:$FB,62)*100</f>
        <v>-30.12</v>
      </c>
      <c r="M8" s="51">
        <f>VLOOKUP($A8,'Data Vlaue (Cr)'!$C:$FB,63)</f>
        <v>44</v>
      </c>
      <c r="N8" s="51">
        <f>VLOOKUP($A8,'Data Vlaue (Cr)'!$C:$FB,64)</f>
        <v>99</v>
      </c>
      <c r="O8" s="51">
        <f>VLOOKUP($A8,'Data Vlaue (Cr)'!$C:$FB,66)*100</f>
        <v>-55.15</v>
      </c>
    </row>
    <row r="9" spans="1:15" x14ac:dyDescent="0.25">
      <c r="A9" s="101" t="str">
        <f>'Data Vlaue (Cr)'!C4</f>
        <v>ABCAPITAL</v>
      </c>
      <c r="B9" s="50">
        <f>VLOOKUP($A9,'Data Vlaue (Cr)'!$C:$FB,8)</f>
        <v>361.95</v>
      </c>
      <c r="C9" s="50">
        <f>VLOOKUP($A9,'Data Vlaue (Cr)'!$C:$FB,11)*100</f>
        <v>1.1900000000000002</v>
      </c>
      <c r="D9" s="50">
        <f>VLOOKUP($A9,'Data Vlaue (Cr)'!$C:$FB,143)</f>
        <v>2423.38</v>
      </c>
      <c r="E9" s="50">
        <f>VLOOKUP($A9,'Data Vlaue (Cr)'!$C:$FB,144)</f>
        <v>2534.9</v>
      </c>
      <c r="F9" s="50">
        <f>VLOOKUP($A9,'Data Vlaue (Cr)'!$C:$FB,146)*100</f>
        <v>-4.3999999999999995</v>
      </c>
      <c r="G9" s="49">
        <f>VLOOKUP($A9,'Data Vlaue (Cr)'!$C:$FB,43)</f>
        <v>316</v>
      </c>
      <c r="H9" s="49">
        <f>VLOOKUP($A9,'Data Vlaue (Cr)'!$C:$FB,44)</f>
        <v>583</v>
      </c>
      <c r="I9" s="49">
        <f>VLOOKUP($A9,'Data Vlaue (Cr)'!$C:$FB,46)*100</f>
        <v>-45.739999999999995</v>
      </c>
      <c r="J9" s="51">
        <f>VLOOKUP($A9,'Data Vlaue (Cr)'!$C:$FB,59)</f>
        <v>1590</v>
      </c>
      <c r="K9" s="51">
        <f>VLOOKUP($A9,'Data Vlaue (Cr)'!$C:$FB,60)</f>
        <v>1350</v>
      </c>
      <c r="L9" s="51">
        <f>VLOOKUP($A9,'Data Vlaue (Cr)'!$C:$FB,62)*100</f>
        <v>17.810000000000002</v>
      </c>
      <c r="M9" s="51">
        <f>VLOOKUP($A9,'Data Vlaue (Cr)'!$C:$FB,63)</f>
        <v>471</v>
      </c>
      <c r="N9" s="51">
        <f>VLOOKUP($A9,'Data Vlaue (Cr)'!$C:$FB,64)</f>
        <v>598</v>
      </c>
      <c r="O9" s="51">
        <f>VLOOKUP($A9,'Data Vlaue (Cr)'!$C:$FB,66)*100</f>
        <v>-21.25</v>
      </c>
    </row>
    <row r="10" spans="1:15" x14ac:dyDescent="0.25">
      <c r="A10" s="101" t="str">
        <f>'Data Vlaue (Cr)'!C5</f>
        <v>ADANIENSOL</v>
      </c>
      <c r="B10" s="50">
        <f>VLOOKUP($A10,'Data Vlaue (Cr)'!$C:$FB,8)</f>
        <v>1046.4000000000001</v>
      </c>
      <c r="C10" s="50">
        <f>VLOOKUP($A10,'Data Vlaue (Cr)'!$C:$FB,11)*100</f>
        <v>1.8499999999999999</v>
      </c>
      <c r="D10" s="50">
        <f>VLOOKUP($A10,'Data Vlaue (Cr)'!$C:$FB,143)</f>
        <v>2643.82</v>
      </c>
      <c r="E10" s="50">
        <f>VLOOKUP($A10,'Data Vlaue (Cr)'!$C:$FB,144)</f>
        <v>491.56</v>
      </c>
      <c r="F10" s="50">
        <f>VLOOKUP($A10,'Data Vlaue (Cr)'!$C:$FB,146)*100</f>
        <v>437.84000000000003</v>
      </c>
      <c r="G10" s="49">
        <f>VLOOKUP($A10,'Data Vlaue (Cr)'!$C:$FB,43)</f>
        <v>375</v>
      </c>
      <c r="H10" s="49">
        <f>VLOOKUP($A10,'Data Vlaue (Cr)'!$C:$FB,44)</f>
        <v>142</v>
      </c>
      <c r="I10" s="49">
        <f>VLOOKUP($A10,'Data Vlaue (Cr)'!$C:$FB,46)*100</f>
        <v>165.33</v>
      </c>
      <c r="J10" s="51">
        <f>VLOOKUP($A10,'Data Vlaue (Cr)'!$C:$FB,59)</f>
        <v>1770</v>
      </c>
      <c r="K10" s="51">
        <f>VLOOKUP($A10,'Data Vlaue (Cr)'!$C:$FB,60)</f>
        <v>252</v>
      </c>
      <c r="L10" s="51">
        <f>VLOOKUP($A10,'Data Vlaue (Cr)'!$C:$FB,62)*100</f>
        <v>603.55999999999995</v>
      </c>
      <c r="M10" s="51">
        <f>VLOOKUP($A10,'Data Vlaue (Cr)'!$C:$FB,63)</f>
        <v>414</v>
      </c>
      <c r="N10" s="51">
        <f>VLOOKUP($A10,'Data Vlaue (Cr)'!$C:$FB,64)</f>
        <v>101</v>
      </c>
      <c r="O10" s="51">
        <f>VLOOKUP($A10,'Data Vlaue (Cr)'!$C:$FB,66)*100</f>
        <v>309.22000000000003</v>
      </c>
    </row>
    <row r="11" spans="1:15" x14ac:dyDescent="0.25">
      <c r="A11" s="101" t="str">
        <f>'Data Vlaue (Cr)'!C6</f>
        <v>ADANIENT</v>
      </c>
      <c r="B11" s="50">
        <f>VLOOKUP($A11,'Data Vlaue (Cr)'!$C:$FB,8)</f>
        <v>2260</v>
      </c>
      <c r="C11" s="50">
        <f>VLOOKUP($A11,'Data Vlaue (Cr)'!$C:$FB,11)*100</f>
        <v>0.91</v>
      </c>
      <c r="D11" s="50">
        <f>VLOOKUP($A11,'Data Vlaue (Cr)'!$C:$FB,143)</f>
        <v>4030.14</v>
      </c>
      <c r="E11" s="50">
        <f>VLOOKUP($A11,'Data Vlaue (Cr)'!$C:$FB,144)</f>
        <v>2291.98</v>
      </c>
      <c r="F11" s="50">
        <f>VLOOKUP($A11,'Data Vlaue (Cr)'!$C:$FB,146)*100</f>
        <v>75.84</v>
      </c>
      <c r="G11" s="49">
        <f>VLOOKUP($A11,'Data Vlaue (Cr)'!$C:$FB,43)</f>
        <v>600</v>
      </c>
      <c r="H11" s="49">
        <f>VLOOKUP($A11,'Data Vlaue (Cr)'!$C:$FB,44)</f>
        <v>447</v>
      </c>
      <c r="I11" s="49">
        <f>VLOOKUP($A11,'Data Vlaue (Cr)'!$C:$FB,46)*100</f>
        <v>34.229999999999997</v>
      </c>
      <c r="J11" s="51">
        <f>VLOOKUP($A11,'Data Vlaue (Cr)'!$C:$FB,59)</f>
        <v>2562</v>
      </c>
      <c r="K11" s="51">
        <f>VLOOKUP($A11,'Data Vlaue (Cr)'!$C:$FB,60)</f>
        <v>1199</v>
      </c>
      <c r="L11" s="51">
        <f>VLOOKUP($A11,'Data Vlaue (Cr)'!$C:$FB,62)*100</f>
        <v>113.62</v>
      </c>
      <c r="M11" s="51">
        <f>VLOOKUP($A11,'Data Vlaue (Cr)'!$C:$FB,63)</f>
        <v>766</v>
      </c>
      <c r="N11" s="51">
        <f>VLOOKUP($A11,'Data Vlaue (Cr)'!$C:$FB,64)</f>
        <v>628</v>
      </c>
      <c r="O11" s="51">
        <f>VLOOKUP($A11,'Data Vlaue (Cr)'!$C:$FB,66)*100</f>
        <v>21.87</v>
      </c>
    </row>
    <row r="12" spans="1:15" x14ac:dyDescent="0.25">
      <c r="A12" s="101" t="str">
        <f>'Data Vlaue (Cr)'!C7</f>
        <v>ADANIGREEN</v>
      </c>
      <c r="B12" s="50">
        <f>VLOOKUP($A12,'Data Vlaue (Cr)'!$C:$FB,8)</f>
        <v>1025.9000000000001</v>
      </c>
      <c r="C12" s="50">
        <f>VLOOKUP($A12,'Data Vlaue (Cr)'!$C:$FB,11)*100</f>
        <v>1.06</v>
      </c>
      <c r="D12" s="50">
        <f>VLOOKUP($A12,'Data Vlaue (Cr)'!$C:$FB,143)</f>
        <v>2421.91</v>
      </c>
      <c r="E12" s="50">
        <f>VLOOKUP($A12,'Data Vlaue (Cr)'!$C:$FB,144)</f>
        <v>622.42999999999995</v>
      </c>
      <c r="F12" s="50">
        <f>VLOOKUP($A12,'Data Vlaue (Cr)'!$C:$FB,146)*100</f>
        <v>289.10000000000002</v>
      </c>
      <c r="G12" s="49">
        <f>VLOOKUP($A12,'Data Vlaue (Cr)'!$C:$FB,43)</f>
        <v>343</v>
      </c>
      <c r="H12" s="49">
        <f>VLOOKUP($A12,'Data Vlaue (Cr)'!$C:$FB,44)</f>
        <v>143</v>
      </c>
      <c r="I12" s="49">
        <f>VLOOKUP($A12,'Data Vlaue (Cr)'!$C:$FB,46)*100</f>
        <v>139.52000000000001</v>
      </c>
      <c r="J12" s="51">
        <f>VLOOKUP($A12,'Data Vlaue (Cr)'!$C:$FB,59)</f>
        <v>1668</v>
      </c>
      <c r="K12" s="51">
        <f>VLOOKUP($A12,'Data Vlaue (Cr)'!$C:$FB,60)</f>
        <v>327</v>
      </c>
      <c r="L12" s="51">
        <f>VLOOKUP($A12,'Data Vlaue (Cr)'!$C:$FB,62)*100</f>
        <v>409.83</v>
      </c>
      <c r="M12" s="51">
        <f>VLOOKUP($A12,'Data Vlaue (Cr)'!$C:$FB,63)</f>
        <v>306</v>
      </c>
      <c r="N12" s="51">
        <f>VLOOKUP($A12,'Data Vlaue (Cr)'!$C:$FB,64)</f>
        <v>140</v>
      </c>
      <c r="O12" s="51">
        <f>VLOOKUP($A12,'Data Vlaue (Cr)'!$C:$FB,66)*100</f>
        <v>118.11</v>
      </c>
    </row>
    <row r="13" spans="1:15" x14ac:dyDescent="0.25">
      <c r="A13" s="101" t="str">
        <f>'Data Vlaue (Cr)'!C8</f>
        <v>ADANIPORTS</v>
      </c>
      <c r="B13" s="50">
        <f>VLOOKUP($A13,'Data Vlaue (Cr)'!$C:$FB,8)</f>
        <v>1481.1</v>
      </c>
      <c r="C13" s="50">
        <f>VLOOKUP($A13,'Data Vlaue (Cr)'!$C:$FB,11)*100</f>
        <v>0.77</v>
      </c>
      <c r="D13" s="50">
        <f>VLOOKUP($A13,'Data Vlaue (Cr)'!$C:$FB,143)</f>
        <v>1815.01</v>
      </c>
      <c r="E13" s="50">
        <f>VLOOKUP($A13,'Data Vlaue (Cr)'!$C:$FB,144)</f>
        <v>1622.51</v>
      </c>
      <c r="F13" s="50">
        <f>VLOOKUP($A13,'Data Vlaue (Cr)'!$C:$FB,146)*100</f>
        <v>11.86</v>
      </c>
      <c r="G13" s="49">
        <f>VLOOKUP($A13,'Data Vlaue (Cr)'!$C:$FB,43)</f>
        <v>250</v>
      </c>
      <c r="H13" s="49">
        <f>VLOOKUP($A13,'Data Vlaue (Cr)'!$C:$FB,44)</f>
        <v>240</v>
      </c>
      <c r="I13" s="49">
        <f>VLOOKUP($A13,'Data Vlaue (Cr)'!$C:$FB,46)*100</f>
        <v>4.1900000000000004</v>
      </c>
      <c r="J13" s="51">
        <f>VLOOKUP($A13,'Data Vlaue (Cr)'!$C:$FB,59)</f>
        <v>1109</v>
      </c>
      <c r="K13" s="51">
        <f>VLOOKUP($A13,'Data Vlaue (Cr)'!$C:$FB,60)</f>
        <v>894</v>
      </c>
      <c r="L13" s="51">
        <f>VLOOKUP($A13,'Data Vlaue (Cr)'!$C:$FB,62)*100</f>
        <v>23.990000000000002</v>
      </c>
      <c r="M13" s="51">
        <f>VLOOKUP($A13,'Data Vlaue (Cr)'!$C:$FB,63)</f>
        <v>415</v>
      </c>
      <c r="N13" s="51">
        <f>VLOOKUP($A13,'Data Vlaue (Cr)'!$C:$FB,64)</f>
        <v>469</v>
      </c>
      <c r="O13" s="51">
        <f>VLOOKUP($A13,'Data Vlaue (Cr)'!$C:$FB,66)*100</f>
        <v>-11.55</v>
      </c>
    </row>
    <row r="14" spans="1:15" x14ac:dyDescent="0.25">
      <c r="A14" s="101" t="str">
        <f>'Data Vlaue (Cr)'!C9</f>
        <v>ALKEM</v>
      </c>
      <c r="B14" s="50">
        <f>VLOOKUP($A14,'Data Vlaue (Cr)'!$C:$FB,8)</f>
        <v>5463.5</v>
      </c>
      <c r="C14" s="50">
        <f>VLOOKUP($A14,'Data Vlaue (Cr)'!$C:$FB,11)*100</f>
        <v>-0.77999999999999992</v>
      </c>
      <c r="D14" s="50">
        <f>VLOOKUP($A14,'Data Vlaue (Cr)'!$C:$FB,143)</f>
        <v>339.15</v>
      </c>
      <c r="E14" s="50">
        <f>VLOOKUP($A14,'Data Vlaue (Cr)'!$C:$FB,144)</f>
        <v>134.49</v>
      </c>
      <c r="F14" s="50">
        <f>VLOOKUP($A14,'Data Vlaue (Cr)'!$C:$FB,146)*100</f>
        <v>152.18</v>
      </c>
      <c r="G14" s="49">
        <f>VLOOKUP($A14,'Data Vlaue (Cr)'!$C:$FB,43)</f>
        <v>76</v>
      </c>
      <c r="H14" s="49">
        <f>VLOOKUP($A14,'Data Vlaue (Cr)'!$C:$FB,44)</f>
        <v>55</v>
      </c>
      <c r="I14" s="49">
        <f>VLOOKUP($A14,'Data Vlaue (Cr)'!$C:$FB,46)*100</f>
        <v>38.36</v>
      </c>
      <c r="J14" s="51">
        <f>VLOOKUP($A14,'Data Vlaue (Cr)'!$C:$FB,59)</f>
        <v>86</v>
      </c>
      <c r="K14" s="51">
        <f>VLOOKUP($A14,'Data Vlaue (Cr)'!$C:$FB,60)</f>
        <v>45</v>
      </c>
      <c r="L14" s="51">
        <f>VLOOKUP($A14,'Data Vlaue (Cr)'!$C:$FB,62)*100</f>
        <v>91.64</v>
      </c>
      <c r="M14" s="51">
        <f>VLOOKUP($A14,'Data Vlaue (Cr)'!$C:$FB,63)</f>
        <v>178</v>
      </c>
      <c r="N14" s="51">
        <f>VLOOKUP($A14,'Data Vlaue (Cr)'!$C:$FB,64)</f>
        <v>33</v>
      </c>
      <c r="O14" s="51">
        <f>VLOOKUP($A14,'Data Vlaue (Cr)'!$C:$FB,66)*100</f>
        <v>433.26000000000005</v>
      </c>
    </row>
    <row r="15" spans="1:15" x14ac:dyDescent="0.25">
      <c r="A15" s="101" t="str">
        <f>'Data Vlaue (Cr)'!C10</f>
        <v>AMBER</v>
      </c>
      <c r="B15" s="50">
        <f>VLOOKUP($A15,'Data Vlaue (Cr)'!$C:$FB,8)</f>
        <v>6447.5</v>
      </c>
      <c r="C15" s="50">
        <f>VLOOKUP($A15,'Data Vlaue (Cr)'!$C:$FB,11)*100</f>
        <v>0.95</v>
      </c>
      <c r="D15" s="50">
        <f>VLOOKUP($A15,'Data Vlaue (Cr)'!$C:$FB,143)</f>
        <v>324.86</v>
      </c>
      <c r="E15" s="50">
        <f>VLOOKUP($A15,'Data Vlaue (Cr)'!$C:$FB,144)</f>
        <v>777.59</v>
      </c>
      <c r="F15" s="50">
        <f>VLOOKUP($A15,'Data Vlaue (Cr)'!$C:$FB,146)*100</f>
        <v>-58.220000000000006</v>
      </c>
      <c r="G15" s="49">
        <f>VLOOKUP($A15,'Data Vlaue (Cr)'!$C:$FB,43)</f>
        <v>71</v>
      </c>
      <c r="H15" s="49">
        <f>VLOOKUP($A15,'Data Vlaue (Cr)'!$C:$FB,44)</f>
        <v>154</v>
      </c>
      <c r="I15" s="49">
        <f>VLOOKUP($A15,'Data Vlaue (Cr)'!$C:$FB,46)*100</f>
        <v>-54.279999999999994</v>
      </c>
      <c r="J15" s="51">
        <f>VLOOKUP($A15,'Data Vlaue (Cr)'!$C:$FB,59)</f>
        <v>168</v>
      </c>
      <c r="K15" s="51">
        <f>VLOOKUP($A15,'Data Vlaue (Cr)'!$C:$FB,60)</f>
        <v>377</v>
      </c>
      <c r="L15" s="51">
        <f>VLOOKUP($A15,'Data Vlaue (Cr)'!$C:$FB,62)*100</f>
        <v>-55.500000000000007</v>
      </c>
      <c r="M15" s="51">
        <f>VLOOKUP($A15,'Data Vlaue (Cr)'!$C:$FB,63)</f>
        <v>80</v>
      </c>
      <c r="N15" s="51">
        <f>VLOOKUP($A15,'Data Vlaue (Cr)'!$C:$FB,64)</f>
        <v>240</v>
      </c>
      <c r="O15" s="51">
        <f>VLOOKUP($A15,'Data Vlaue (Cr)'!$C:$FB,66)*100</f>
        <v>-66.539999999999992</v>
      </c>
    </row>
    <row r="16" spans="1:15" x14ac:dyDescent="0.25">
      <c r="A16" s="101" t="str">
        <f>'Data Vlaue (Cr)'!C11</f>
        <v>AMBUJACEM</v>
      </c>
      <c r="B16" s="50">
        <f>VLOOKUP($A16,'Data Vlaue (Cr)'!$C:$FB,8)</f>
        <v>559.65</v>
      </c>
      <c r="C16" s="50">
        <f>VLOOKUP($A16,'Data Vlaue (Cr)'!$C:$FB,11)*100</f>
        <v>0.59</v>
      </c>
      <c r="D16" s="50">
        <f>VLOOKUP($A16,'Data Vlaue (Cr)'!$C:$FB,143)</f>
        <v>898.4</v>
      </c>
      <c r="E16" s="50">
        <f>VLOOKUP($A16,'Data Vlaue (Cr)'!$C:$FB,144)</f>
        <v>722.86</v>
      </c>
      <c r="F16" s="50">
        <f>VLOOKUP($A16,'Data Vlaue (Cr)'!$C:$FB,146)*100</f>
        <v>24.279999999999998</v>
      </c>
      <c r="G16" s="49">
        <f>VLOOKUP($A16,'Data Vlaue (Cr)'!$C:$FB,43)</f>
        <v>184</v>
      </c>
      <c r="H16" s="49">
        <f>VLOOKUP($A16,'Data Vlaue (Cr)'!$C:$FB,44)</f>
        <v>172</v>
      </c>
      <c r="I16" s="49">
        <f>VLOOKUP($A16,'Data Vlaue (Cr)'!$C:$FB,46)*100</f>
        <v>6.9099999999999993</v>
      </c>
      <c r="J16" s="51">
        <f>VLOOKUP($A16,'Data Vlaue (Cr)'!$C:$FB,59)</f>
        <v>533</v>
      </c>
      <c r="K16" s="51">
        <f>VLOOKUP($A16,'Data Vlaue (Cr)'!$C:$FB,60)</f>
        <v>343</v>
      </c>
      <c r="L16" s="51">
        <f>VLOOKUP($A16,'Data Vlaue (Cr)'!$C:$FB,62)*100</f>
        <v>55.179999999999993</v>
      </c>
      <c r="M16" s="51">
        <f>VLOOKUP($A16,'Data Vlaue (Cr)'!$C:$FB,63)</f>
        <v>170</v>
      </c>
      <c r="N16" s="51">
        <f>VLOOKUP($A16,'Data Vlaue (Cr)'!$C:$FB,64)</f>
        <v>205</v>
      </c>
      <c r="O16" s="51">
        <f>VLOOKUP($A16,'Data Vlaue (Cr)'!$C:$FB,66)*100</f>
        <v>-17.22</v>
      </c>
    </row>
    <row r="17" spans="1:15" x14ac:dyDescent="0.25">
      <c r="A17" s="101" t="str">
        <f>'Data Vlaue (Cr)'!C12</f>
        <v>ANGELONE</v>
      </c>
      <c r="B17" s="50">
        <f>VLOOKUP($A17,'Data Vlaue (Cr)'!$C:$FB,8)</f>
        <v>2362.8000000000002</v>
      </c>
      <c r="C17" s="50">
        <f>VLOOKUP($A17,'Data Vlaue (Cr)'!$C:$FB,11)*100</f>
        <v>0.8</v>
      </c>
      <c r="D17" s="50">
        <f>VLOOKUP($A17,'Data Vlaue (Cr)'!$C:$FB,143)</f>
        <v>939.7</v>
      </c>
      <c r="E17" s="50">
        <f>VLOOKUP($A17,'Data Vlaue (Cr)'!$C:$FB,144)</f>
        <v>1479.56</v>
      </c>
      <c r="F17" s="50">
        <f>VLOOKUP($A17,'Data Vlaue (Cr)'!$C:$FB,146)*100</f>
        <v>-36.49</v>
      </c>
      <c r="G17" s="49">
        <f>VLOOKUP($A17,'Data Vlaue (Cr)'!$C:$FB,43)</f>
        <v>161</v>
      </c>
      <c r="H17" s="49">
        <f>VLOOKUP($A17,'Data Vlaue (Cr)'!$C:$FB,44)</f>
        <v>260</v>
      </c>
      <c r="I17" s="49">
        <f>VLOOKUP($A17,'Data Vlaue (Cr)'!$C:$FB,46)*100</f>
        <v>-38.14</v>
      </c>
      <c r="J17" s="51">
        <f>VLOOKUP($A17,'Data Vlaue (Cr)'!$C:$FB,59)</f>
        <v>490</v>
      </c>
      <c r="K17" s="51">
        <f>VLOOKUP($A17,'Data Vlaue (Cr)'!$C:$FB,60)</f>
        <v>831</v>
      </c>
      <c r="L17" s="51">
        <f>VLOOKUP($A17,'Data Vlaue (Cr)'!$C:$FB,62)*100</f>
        <v>-41.06</v>
      </c>
      <c r="M17" s="51">
        <f>VLOOKUP($A17,'Data Vlaue (Cr)'!$C:$FB,63)</f>
        <v>261</v>
      </c>
      <c r="N17" s="51">
        <f>VLOOKUP($A17,'Data Vlaue (Cr)'!$C:$FB,64)</f>
        <v>332</v>
      </c>
      <c r="O17" s="51">
        <f>VLOOKUP($A17,'Data Vlaue (Cr)'!$C:$FB,66)*100</f>
        <v>-21.29</v>
      </c>
    </row>
    <row r="18" spans="1:15" x14ac:dyDescent="0.25">
      <c r="A18" s="101" t="str">
        <f>'Data Vlaue (Cr)'!C13</f>
        <v>APLAPOLLO</v>
      </c>
      <c r="B18" s="50">
        <f>VLOOKUP($A18,'Data Vlaue (Cr)'!$C:$FB,8)</f>
        <v>1970</v>
      </c>
      <c r="C18" s="50">
        <f>VLOOKUP($A18,'Data Vlaue (Cr)'!$C:$FB,11)*100</f>
        <v>2.93</v>
      </c>
      <c r="D18" s="50">
        <f>VLOOKUP($A18,'Data Vlaue (Cr)'!$C:$FB,143)</f>
        <v>2424.06</v>
      </c>
      <c r="E18" s="50">
        <f>VLOOKUP($A18,'Data Vlaue (Cr)'!$C:$FB,144)</f>
        <v>532.11</v>
      </c>
      <c r="F18" s="50">
        <f>VLOOKUP($A18,'Data Vlaue (Cr)'!$C:$FB,146)*100</f>
        <v>355.56</v>
      </c>
      <c r="G18" s="49">
        <f>VLOOKUP($A18,'Data Vlaue (Cr)'!$C:$FB,43)</f>
        <v>572</v>
      </c>
      <c r="H18" s="49">
        <f>VLOOKUP($A18,'Data Vlaue (Cr)'!$C:$FB,44)</f>
        <v>198</v>
      </c>
      <c r="I18" s="49">
        <f>VLOOKUP($A18,'Data Vlaue (Cr)'!$C:$FB,46)*100</f>
        <v>189.46</v>
      </c>
      <c r="J18" s="51">
        <f>VLOOKUP($A18,'Data Vlaue (Cr)'!$C:$FB,59)</f>
        <v>1399</v>
      </c>
      <c r="K18" s="51">
        <f>VLOOKUP($A18,'Data Vlaue (Cr)'!$C:$FB,60)</f>
        <v>258</v>
      </c>
      <c r="L18" s="51">
        <f>VLOOKUP($A18,'Data Vlaue (Cr)'!$C:$FB,62)*100</f>
        <v>441.76</v>
      </c>
      <c r="M18" s="51">
        <f>VLOOKUP($A18,'Data Vlaue (Cr)'!$C:$FB,63)</f>
        <v>422</v>
      </c>
      <c r="N18" s="51">
        <f>VLOOKUP($A18,'Data Vlaue (Cr)'!$C:$FB,64)</f>
        <v>84</v>
      </c>
      <c r="O18" s="51">
        <f>VLOOKUP($A18,'Data Vlaue (Cr)'!$C:$FB,66)*100</f>
        <v>402.39000000000004</v>
      </c>
    </row>
    <row r="19" spans="1:15" x14ac:dyDescent="0.25">
      <c r="A19" s="101" t="str">
        <f>'Data Vlaue (Cr)'!C14</f>
        <v>APOLLOHOSP</v>
      </c>
      <c r="B19" s="50">
        <f>VLOOKUP($A19,'Data Vlaue (Cr)'!$C:$FB,8)</f>
        <v>7111.5</v>
      </c>
      <c r="C19" s="50">
        <f>VLOOKUP($A19,'Data Vlaue (Cr)'!$C:$FB,11)*100</f>
        <v>0.98</v>
      </c>
      <c r="D19" s="50">
        <f>VLOOKUP($A19,'Data Vlaue (Cr)'!$C:$FB,143)</f>
        <v>1339.57</v>
      </c>
      <c r="E19" s="50">
        <f>VLOOKUP($A19,'Data Vlaue (Cr)'!$C:$FB,144)</f>
        <v>1686.16</v>
      </c>
      <c r="F19" s="50">
        <f>VLOOKUP($A19,'Data Vlaue (Cr)'!$C:$FB,146)*100</f>
        <v>-20.560000000000002</v>
      </c>
      <c r="G19" s="49">
        <f>VLOOKUP($A19,'Data Vlaue (Cr)'!$C:$FB,43)</f>
        <v>140</v>
      </c>
      <c r="H19" s="49">
        <f>VLOOKUP($A19,'Data Vlaue (Cr)'!$C:$FB,44)</f>
        <v>193</v>
      </c>
      <c r="I19" s="49">
        <f>VLOOKUP($A19,'Data Vlaue (Cr)'!$C:$FB,46)*100</f>
        <v>-27.38</v>
      </c>
      <c r="J19" s="51">
        <f>VLOOKUP($A19,'Data Vlaue (Cr)'!$C:$FB,59)</f>
        <v>766</v>
      </c>
      <c r="K19" s="51">
        <f>VLOOKUP($A19,'Data Vlaue (Cr)'!$C:$FB,60)</f>
        <v>1093</v>
      </c>
      <c r="L19" s="51">
        <f>VLOOKUP($A19,'Data Vlaue (Cr)'!$C:$FB,62)*100</f>
        <v>-29.9</v>
      </c>
      <c r="M19" s="51">
        <f>VLOOKUP($A19,'Data Vlaue (Cr)'!$C:$FB,63)</f>
        <v>430</v>
      </c>
      <c r="N19" s="51">
        <f>VLOOKUP($A19,'Data Vlaue (Cr)'!$C:$FB,64)</f>
        <v>386</v>
      </c>
      <c r="O19" s="51">
        <f>VLOOKUP($A19,'Data Vlaue (Cr)'!$C:$FB,66)*100</f>
        <v>11.44</v>
      </c>
    </row>
    <row r="20" spans="1:15" x14ac:dyDescent="0.25">
      <c r="A20" s="101" t="str">
        <f>'Data Vlaue (Cr)'!C15</f>
        <v>ASHOKLEY</v>
      </c>
      <c r="B20" s="50">
        <f>VLOOKUP($A20,'Data Vlaue (Cr)'!$C:$FB,8)</f>
        <v>184.88</v>
      </c>
      <c r="C20" s="50">
        <f>VLOOKUP($A20,'Data Vlaue (Cr)'!$C:$FB,11)*100</f>
        <v>3.18</v>
      </c>
      <c r="D20" s="50">
        <f>VLOOKUP($A20,'Data Vlaue (Cr)'!$C:$FB,143)</f>
        <v>6808.87</v>
      </c>
      <c r="E20" s="50">
        <f>VLOOKUP($A20,'Data Vlaue (Cr)'!$C:$FB,144)</f>
        <v>2021.61</v>
      </c>
      <c r="F20" s="50">
        <f>VLOOKUP($A20,'Data Vlaue (Cr)'!$C:$FB,146)*100</f>
        <v>236.79999999999998</v>
      </c>
      <c r="G20" s="49">
        <f>VLOOKUP($A20,'Data Vlaue (Cr)'!$C:$FB,43)</f>
        <v>732</v>
      </c>
      <c r="H20" s="49">
        <f>VLOOKUP($A20,'Data Vlaue (Cr)'!$C:$FB,44)</f>
        <v>397</v>
      </c>
      <c r="I20" s="49">
        <f>VLOOKUP($A20,'Data Vlaue (Cr)'!$C:$FB,46)*100</f>
        <v>84.55</v>
      </c>
      <c r="J20" s="51">
        <f>VLOOKUP($A20,'Data Vlaue (Cr)'!$C:$FB,59)</f>
        <v>4760</v>
      </c>
      <c r="K20" s="51">
        <f>VLOOKUP($A20,'Data Vlaue (Cr)'!$C:$FB,60)</f>
        <v>1228</v>
      </c>
      <c r="L20" s="51">
        <f>VLOOKUP($A20,'Data Vlaue (Cr)'!$C:$FB,62)*100</f>
        <v>287.73</v>
      </c>
      <c r="M20" s="51">
        <f>VLOOKUP($A20,'Data Vlaue (Cr)'!$C:$FB,63)</f>
        <v>1148</v>
      </c>
      <c r="N20" s="51">
        <f>VLOOKUP($A20,'Data Vlaue (Cr)'!$C:$FB,64)</f>
        <v>407</v>
      </c>
      <c r="O20" s="51">
        <f>VLOOKUP($A20,'Data Vlaue (Cr)'!$C:$FB,66)*100</f>
        <v>181.73</v>
      </c>
    </row>
    <row r="21" spans="1:15" x14ac:dyDescent="0.25">
      <c r="A21" s="101" t="str">
        <f>'Data Vlaue (Cr)'!C16</f>
        <v>ASIANPAINT</v>
      </c>
      <c r="B21" s="50">
        <f>VLOOKUP($A21,'Data Vlaue (Cr)'!$C:$FB,8)</f>
        <v>2752</v>
      </c>
      <c r="C21" s="50">
        <f>VLOOKUP($A21,'Data Vlaue (Cr)'!$C:$FB,11)*100</f>
        <v>-0.63</v>
      </c>
      <c r="D21" s="50">
        <f>VLOOKUP($A21,'Data Vlaue (Cr)'!$C:$FB,143)</f>
        <v>1203.4000000000001</v>
      </c>
      <c r="E21" s="50">
        <f>VLOOKUP($A21,'Data Vlaue (Cr)'!$C:$FB,144)</f>
        <v>2326.89</v>
      </c>
      <c r="F21" s="50">
        <f>VLOOKUP($A21,'Data Vlaue (Cr)'!$C:$FB,146)*100</f>
        <v>-48.28</v>
      </c>
      <c r="G21" s="49">
        <f>VLOOKUP($A21,'Data Vlaue (Cr)'!$C:$FB,43)</f>
        <v>96</v>
      </c>
      <c r="H21" s="49">
        <f>VLOOKUP($A21,'Data Vlaue (Cr)'!$C:$FB,44)</f>
        <v>329</v>
      </c>
      <c r="I21" s="49">
        <f>VLOOKUP($A21,'Data Vlaue (Cr)'!$C:$FB,46)*100</f>
        <v>-70.679999999999993</v>
      </c>
      <c r="J21" s="51">
        <f>VLOOKUP($A21,'Data Vlaue (Cr)'!$C:$FB,59)</f>
        <v>667</v>
      </c>
      <c r="K21" s="51">
        <f>VLOOKUP($A21,'Data Vlaue (Cr)'!$C:$FB,60)</f>
        <v>1210</v>
      </c>
      <c r="L21" s="51">
        <f>VLOOKUP($A21,'Data Vlaue (Cr)'!$C:$FB,62)*100</f>
        <v>-44.9</v>
      </c>
      <c r="M21" s="51">
        <f>VLOOKUP($A21,'Data Vlaue (Cr)'!$C:$FB,63)</f>
        <v>416</v>
      </c>
      <c r="N21" s="51">
        <f>VLOOKUP($A21,'Data Vlaue (Cr)'!$C:$FB,64)</f>
        <v>738</v>
      </c>
      <c r="O21" s="51">
        <f>VLOOKUP($A21,'Data Vlaue (Cr)'!$C:$FB,66)*100</f>
        <v>-43.72</v>
      </c>
    </row>
    <row r="22" spans="1:15" x14ac:dyDescent="0.25">
      <c r="A22" s="101" t="str">
        <f>'Data Vlaue (Cr)'!C17</f>
        <v>ASTRAL</v>
      </c>
      <c r="B22" s="50">
        <f>VLOOKUP($A22,'Data Vlaue (Cr)'!$C:$FB,8)</f>
        <v>1434.9</v>
      </c>
      <c r="C22" s="50">
        <f>VLOOKUP($A22,'Data Vlaue (Cr)'!$C:$FB,11)*100</f>
        <v>3.34</v>
      </c>
      <c r="D22" s="50">
        <f>VLOOKUP($A22,'Data Vlaue (Cr)'!$C:$FB,143)</f>
        <v>1453.5</v>
      </c>
      <c r="E22" s="50">
        <f>VLOOKUP($A22,'Data Vlaue (Cr)'!$C:$FB,144)</f>
        <v>813.82</v>
      </c>
      <c r="F22" s="50">
        <f>VLOOKUP($A22,'Data Vlaue (Cr)'!$C:$FB,146)*100</f>
        <v>78.600000000000009</v>
      </c>
      <c r="G22" s="49">
        <f>VLOOKUP($A22,'Data Vlaue (Cr)'!$C:$FB,43)</f>
        <v>307</v>
      </c>
      <c r="H22" s="49">
        <f>VLOOKUP($A22,'Data Vlaue (Cr)'!$C:$FB,44)</f>
        <v>232</v>
      </c>
      <c r="I22" s="49">
        <f>VLOOKUP($A22,'Data Vlaue (Cr)'!$C:$FB,46)*100</f>
        <v>32.409999999999997</v>
      </c>
      <c r="J22" s="51">
        <f>VLOOKUP($A22,'Data Vlaue (Cr)'!$C:$FB,59)</f>
        <v>809</v>
      </c>
      <c r="K22" s="51">
        <f>VLOOKUP($A22,'Data Vlaue (Cr)'!$C:$FB,60)</f>
        <v>424</v>
      </c>
      <c r="L22" s="51">
        <f>VLOOKUP($A22,'Data Vlaue (Cr)'!$C:$FB,62)*100</f>
        <v>90.97</v>
      </c>
      <c r="M22" s="51">
        <f>VLOOKUP($A22,'Data Vlaue (Cr)'!$C:$FB,63)</f>
        <v>333</v>
      </c>
      <c r="N22" s="51">
        <f>VLOOKUP($A22,'Data Vlaue (Cr)'!$C:$FB,64)</f>
        <v>178</v>
      </c>
      <c r="O22" s="51">
        <f>VLOOKUP($A22,'Data Vlaue (Cr)'!$C:$FB,66)*100</f>
        <v>86.98</v>
      </c>
    </row>
    <row r="23" spans="1:15" x14ac:dyDescent="0.25">
      <c r="A23" s="101" t="str">
        <f>'Data Vlaue (Cr)'!C18</f>
        <v>AUBANK</v>
      </c>
      <c r="B23" s="50">
        <f>VLOOKUP($A23,'Data Vlaue (Cr)'!$C:$FB,8)</f>
        <v>999.45</v>
      </c>
      <c r="C23" s="50">
        <f>VLOOKUP($A23,'Data Vlaue (Cr)'!$C:$FB,11)*100</f>
        <v>0.5</v>
      </c>
      <c r="D23" s="50">
        <f>VLOOKUP($A23,'Data Vlaue (Cr)'!$C:$FB,143)</f>
        <v>598.16</v>
      </c>
      <c r="E23" s="50">
        <f>VLOOKUP($A23,'Data Vlaue (Cr)'!$C:$FB,144)</f>
        <v>1251.3699999999999</v>
      </c>
      <c r="F23" s="50">
        <f>VLOOKUP($A23,'Data Vlaue (Cr)'!$C:$FB,146)*100</f>
        <v>-52.2</v>
      </c>
      <c r="G23" s="49">
        <f>VLOOKUP($A23,'Data Vlaue (Cr)'!$C:$FB,43)</f>
        <v>183</v>
      </c>
      <c r="H23" s="49">
        <f>VLOOKUP($A23,'Data Vlaue (Cr)'!$C:$FB,44)</f>
        <v>350</v>
      </c>
      <c r="I23" s="49">
        <f>VLOOKUP($A23,'Data Vlaue (Cr)'!$C:$FB,46)*100</f>
        <v>-47.71</v>
      </c>
      <c r="J23" s="51">
        <f>VLOOKUP($A23,'Data Vlaue (Cr)'!$C:$FB,59)</f>
        <v>273</v>
      </c>
      <c r="K23" s="51">
        <f>VLOOKUP($A23,'Data Vlaue (Cr)'!$C:$FB,60)</f>
        <v>568</v>
      </c>
      <c r="L23" s="51">
        <f>VLOOKUP($A23,'Data Vlaue (Cr)'!$C:$FB,62)*100</f>
        <v>-52.01</v>
      </c>
      <c r="M23" s="51">
        <f>VLOOKUP($A23,'Data Vlaue (Cr)'!$C:$FB,63)</f>
        <v>130</v>
      </c>
      <c r="N23" s="51">
        <f>VLOOKUP($A23,'Data Vlaue (Cr)'!$C:$FB,64)</f>
        <v>313</v>
      </c>
      <c r="O23" s="51">
        <f>VLOOKUP($A23,'Data Vlaue (Cr)'!$C:$FB,66)*100</f>
        <v>-58.57</v>
      </c>
    </row>
    <row r="24" spans="1:15" x14ac:dyDescent="0.25">
      <c r="A24" s="101" t="str">
        <f>'Data Vlaue (Cr)'!C19</f>
        <v>AUROPHARMA</v>
      </c>
      <c r="B24" s="50">
        <f>VLOOKUP($A24,'Data Vlaue (Cr)'!$C:$FB,8)</f>
        <v>1193</v>
      </c>
      <c r="C24" s="50">
        <f>VLOOKUP($A24,'Data Vlaue (Cr)'!$C:$FB,11)*100</f>
        <v>0.85000000000000009</v>
      </c>
      <c r="D24" s="50">
        <f>VLOOKUP($A24,'Data Vlaue (Cr)'!$C:$FB,143)</f>
        <v>745.56</v>
      </c>
      <c r="E24" s="50">
        <f>VLOOKUP($A24,'Data Vlaue (Cr)'!$C:$FB,144)</f>
        <v>879.31</v>
      </c>
      <c r="F24" s="50">
        <f>VLOOKUP($A24,'Data Vlaue (Cr)'!$C:$FB,146)*100</f>
        <v>-15.21</v>
      </c>
      <c r="G24" s="49">
        <f>VLOOKUP($A24,'Data Vlaue (Cr)'!$C:$FB,43)</f>
        <v>162</v>
      </c>
      <c r="H24" s="49">
        <f>VLOOKUP($A24,'Data Vlaue (Cr)'!$C:$FB,44)</f>
        <v>277</v>
      </c>
      <c r="I24" s="49">
        <f>VLOOKUP($A24,'Data Vlaue (Cr)'!$C:$FB,46)*100</f>
        <v>-41.58</v>
      </c>
      <c r="J24" s="51">
        <f>VLOOKUP($A24,'Data Vlaue (Cr)'!$C:$FB,59)</f>
        <v>416</v>
      </c>
      <c r="K24" s="51">
        <f>VLOOKUP($A24,'Data Vlaue (Cr)'!$C:$FB,60)</f>
        <v>380</v>
      </c>
      <c r="L24" s="51">
        <f>VLOOKUP($A24,'Data Vlaue (Cr)'!$C:$FB,62)*100</f>
        <v>9.43</v>
      </c>
      <c r="M24" s="51">
        <f>VLOOKUP($A24,'Data Vlaue (Cr)'!$C:$FB,63)</f>
        <v>156</v>
      </c>
      <c r="N24" s="51">
        <f>VLOOKUP($A24,'Data Vlaue (Cr)'!$C:$FB,64)</f>
        <v>212</v>
      </c>
      <c r="O24" s="51">
        <f>VLOOKUP($A24,'Data Vlaue (Cr)'!$C:$FB,66)*100</f>
        <v>-26.19</v>
      </c>
    </row>
    <row r="25" spans="1:15" x14ac:dyDescent="0.25">
      <c r="A25" s="101" t="str">
        <f>'Data Vlaue (Cr)'!C20</f>
        <v>AXISBANK</v>
      </c>
      <c r="B25" s="50">
        <f>VLOOKUP($A25,'Data Vlaue (Cr)'!$C:$FB,8)</f>
        <v>1274.4000000000001</v>
      </c>
      <c r="C25" s="50">
        <f>VLOOKUP($A25,'Data Vlaue (Cr)'!$C:$FB,11)*100</f>
        <v>0.38999999999999996</v>
      </c>
      <c r="D25" s="50">
        <f>VLOOKUP($A25,'Data Vlaue (Cr)'!$C:$FB,143)</f>
        <v>3034.69</v>
      </c>
      <c r="E25" s="50">
        <f>VLOOKUP($A25,'Data Vlaue (Cr)'!$C:$FB,144)</f>
        <v>6539.31</v>
      </c>
      <c r="F25" s="50">
        <f>VLOOKUP($A25,'Data Vlaue (Cr)'!$C:$FB,146)*100</f>
        <v>-53.59</v>
      </c>
      <c r="G25" s="49">
        <f>VLOOKUP($A25,'Data Vlaue (Cr)'!$C:$FB,43)</f>
        <v>549</v>
      </c>
      <c r="H25" s="49">
        <f>VLOOKUP($A25,'Data Vlaue (Cr)'!$C:$FB,44)</f>
        <v>1226</v>
      </c>
      <c r="I25" s="49">
        <f>VLOOKUP($A25,'Data Vlaue (Cr)'!$C:$FB,46)*100</f>
        <v>-55.21</v>
      </c>
      <c r="J25" s="51">
        <f>VLOOKUP($A25,'Data Vlaue (Cr)'!$C:$FB,59)</f>
        <v>1366</v>
      </c>
      <c r="K25" s="51">
        <f>VLOOKUP($A25,'Data Vlaue (Cr)'!$C:$FB,60)</f>
        <v>3257</v>
      </c>
      <c r="L25" s="51">
        <f>VLOOKUP($A25,'Data Vlaue (Cr)'!$C:$FB,62)*100</f>
        <v>-58.06</v>
      </c>
      <c r="M25" s="51">
        <f>VLOOKUP($A25,'Data Vlaue (Cr)'!$C:$FB,63)</f>
        <v>1105</v>
      </c>
      <c r="N25" s="51">
        <f>VLOOKUP($A25,'Data Vlaue (Cr)'!$C:$FB,64)</f>
        <v>2035</v>
      </c>
      <c r="O25" s="51">
        <f>VLOOKUP($A25,'Data Vlaue (Cr)'!$C:$FB,66)*100</f>
        <v>-45.68</v>
      </c>
    </row>
    <row r="26" spans="1:15" x14ac:dyDescent="0.25">
      <c r="A26" s="101" t="str">
        <f>'Data Vlaue (Cr)'!C21</f>
        <v>BAJAJ-AUTO</v>
      </c>
      <c r="B26" s="50">
        <f>VLOOKUP($A26,'Data Vlaue (Cr)'!$C:$FB,8)</f>
        <v>9558</v>
      </c>
      <c r="C26" s="50">
        <f>VLOOKUP($A26,'Data Vlaue (Cr)'!$C:$FB,11)*100</f>
        <v>2.2999999999999998</v>
      </c>
      <c r="D26" s="50">
        <f>VLOOKUP($A26,'Data Vlaue (Cr)'!$C:$FB,143)</f>
        <v>6674.47</v>
      </c>
      <c r="E26" s="50">
        <f>VLOOKUP($A26,'Data Vlaue (Cr)'!$C:$FB,144)</f>
        <v>5153.9399999999996</v>
      </c>
      <c r="F26" s="50">
        <f>VLOOKUP($A26,'Data Vlaue (Cr)'!$C:$FB,146)*100</f>
        <v>29.5</v>
      </c>
      <c r="G26" s="49">
        <f>VLOOKUP($A26,'Data Vlaue (Cr)'!$C:$FB,43)</f>
        <v>627</v>
      </c>
      <c r="H26" s="49">
        <f>VLOOKUP($A26,'Data Vlaue (Cr)'!$C:$FB,44)</f>
        <v>546</v>
      </c>
      <c r="I26" s="49">
        <f>VLOOKUP($A26,'Data Vlaue (Cr)'!$C:$FB,46)*100</f>
        <v>14.790000000000001</v>
      </c>
      <c r="J26" s="51">
        <f>VLOOKUP($A26,'Data Vlaue (Cr)'!$C:$FB,59)</f>
        <v>4366</v>
      </c>
      <c r="K26" s="51">
        <f>VLOOKUP($A26,'Data Vlaue (Cr)'!$C:$FB,60)</f>
        <v>3413</v>
      </c>
      <c r="L26" s="51">
        <f>VLOOKUP($A26,'Data Vlaue (Cr)'!$C:$FB,62)*100</f>
        <v>27.92</v>
      </c>
      <c r="M26" s="51">
        <f>VLOOKUP($A26,'Data Vlaue (Cr)'!$C:$FB,63)</f>
        <v>1615</v>
      </c>
      <c r="N26" s="51">
        <f>VLOOKUP($A26,'Data Vlaue (Cr)'!$C:$FB,64)</f>
        <v>1189</v>
      </c>
      <c r="O26" s="51">
        <f>VLOOKUP($A26,'Data Vlaue (Cr)'!$C:$FB,66)*100</f>
        <v>35.89</v>
      </c>
    </row>
    <row r="27" spans="1:15" x14ac:dyDescent="0.25">
      <c r="A27" s="101" t="str">
        <f>'Data Vlaue (Cr)'!C22</f>
        <v>BAJAJFINSV</v>
      </c>
      <c r="B27" s="50">
        <f>VLOOKUP($A27,'Data Vlaue (Cr)'!$C:$FB,8)</f>
        <v>2037</v>
      </c>
      <c r="C27" s="50">
        <f>VLOOKUP($A27,'Data Vlaue (Cr)'!$C:$FB,11)*100</f>
        <v>-0.13999999999999999</v>
      </c>
      <c r="D27" s="50">
        <f>VLOOKUP($A27,'Data Vlaue (Cr)'!$C:$FB,143)</f>
        <v>721.24</v>
      </c>
      <c r="E27" s="50">
        <f>VLOOKUP($A27,'Data Vlaue (Cr)'!$C:$FB,144)</f>
        <v>1492.03</v>
      </c>
      <c r="F27" s="50">
        <f>VLOOKUP($A27,'Data Vlaue (Cr)'!$C:$FB,146)*100</f>
        <v>-51.66</v>
      </c>
      <c r="G27" s="49">
        <f>VLOOKUP($A27,'Data Vlaue (Cr)'!$C:$FB,43)</f>
        <v>117</v>
      </c>
      <c r="H27" s="49">
        <f>VLOOKUP($A27,'Data Vlaue (Cr)'!$C:$FB,44)</f>
        <v>273</v>
      </c>
      <c r="I27" s="49">
        <f>VLOOKUP($A27,'Data Vlaue (Cr)'!$C:$FB,46)*100</f>
        <v>-57.04</v>
      </c>
      <c r="J27" s="51">
        <f>VLOOKUP($A27,'Data Vlaue (Cr)'!$C:$FB,59)</f>
        <v>377</v>
      </c>
      <c r="K27" s="51">
        <f>VLOOKUP($A27,'Data Vlaue (Cr)'!$C:$FB,60)</f>
        <v>802</v>
      </c>
      <c r="L27" s="51">
        <f>VLOOKUP($A27,'Data Vlaue (Cr)'!$C:$FB,62)*100</f>
        <v>-52.94</v>
      </c>
      <c r="M27" s="51">
        <f>VLOOKUP($A27,'Data Vlaue (Cr)'!$C:$FB,63)</f>
        <v>216</v>
      </c>
      <c r="N27" s="51">
        <f>VLOOKUP($A27,'Data Vlaue (Cr)'!$C:$FB,64)</f>
        <v>398</v>
      </c>
      <c r="O27" s="51">
        <f>VLOOKUP($A27,'Data Vlaue (Cr)'!$C:$FB,66)*100</f>
        <v>-45.79</v>
      </c>
    </row>
    <row r="28" spans="1:15" x14ac:dyDescent="0.25">
      <c r="A28" s="101" t="str">
        <f>'Data Vlaue (Cr)'!C23</f>
        <v>BAJAJHLDNG</v>
      </c>
      <c r="B28" s="50">
        <f>VLOOKUP($A28,'Data Vlaue (Cr)'!$C:$FB,8)</f>
        <v>11342</v>
      </c>
      <c r="C28" s="50">
        <f>VLOOKUP($A28,'Data Vlaue (Cr)'!$C:$FB,11)*100</f>
        <v>0.12</v>
      </c>
      <c r="D28" s="50">
        <f>VLOOKUP($A28,'Data Vlaue (Cr)'!$C:$FB,143)</f>
        <v>119.72</v>
      </c>
      <c r="E28" s="50">
        <f>VLOOKUP($A28,'Data Vlaue (Cr)'!$C:$FB,144)</f>
        <v>294.93</v>
      </c>
      <c r="F28" s="50">
        <f>VLOOKUP($A28,'Data Vlaue (Cr)'!$C:$FB,146)*100</f>
        <v>-59.41</v>
      </c>
      <c r="G28" s="49">
        <f>VLOOKUP($A28,'Data Vlaue (Cr)'!$C:$FB,43)</f>
        <v>35</v>
      </c>
      <c r="H28" s="49">
        <f>VLOOKUP($A28,'Data Vlaue (Cr)'!$C:$FB,44)</f>
        <v>93</v>
      </c>
      <c r="I28" s="49">
        <f>VLOOKUP($A28,'Data Vlaue (Cr)'!$C:$FB,46)*100</f>
        <v>-62.419999999999995</v>
      </c>
      <c r="J28" s="51">
        <f>VLOOKUP($A28,'Data Vlaue (Cr)'!$C:$FB,59)</f>
        <v>69</v>
      </c>
      <c r="K28" s="51">
        <f>VLOOKUP($A28,'Data Vlaue (Cr)'!$C:$FB,60)</f>
        <v>183</v>
      </c>
      <c r="L28" s="51">
        <f>VLOOKUP($A28,'Data Vlaue (Cr)'!$C:$FB,62)*100</f>
        <v>-62.160000000000004</v>
      </c>
      <c r="M28" s="51">
        <f>VLOOKUP($A28,'Data Vlaue (Cr)'!$C:$FB,63)</f>
        <v>13</v>
      </c>
      <c r="N28" s="51">
        <f>VLOOKUP($A28,'Data Vlaue (Cr)'!$C:$FB,64)</f>
        <v>11</v>
      </c>
      <c r="O28" s="51">
        <f>VLOOKUP($A28,'Data Vlaue (Cr)'!$C:$FB,66)*100</f>
        <v>18.04</v>
      </c>
    </row>
    <row r="29" spans="1:15" x14ac:dyDescent="0.25">
      <c r="A29" s="101" t="str">
        <f>'Data Vlaue (Cr)'!C24</f>
        <v>BAJFINANCE</v>
      </c>
      <c r="B29" s="50">
        <f>VLOOKUP($A29,'Data Vlaue (Cr)'!$C:$FB,8)</f>
        <v>973.1</v>
      </c>
      <c r="C29" s="50">
        <f>VLOOKUP($A29,'Data Vlaue (Cr)'!$C:$FB,11)*100</f>
        <v>-1.39</v>
      </c>
      <c r="D29" s="50">
        <f>VLOOKUP($A29,'Data Vlaue (Cr)'!$C:$FB,143)</f>
        <v>3786.86</v>
      </c>
      <c r="E29" s="50">
        <f>VLOOKUP($A29,'Data Vlaue (Cr)'!$C:$FB,144)</f>
        <v>5437.04</v>
      </c>
      <c r="F29" s="50">
        <f>VLOOKUP($A29,'Data Vlaue (Cr)'!$C:$FB,146)*100</f>
        <v>-30.349999999999998</v>
      </c>
      <c r="G29" s="49">
        <f>VLOOKUP($A29,'Data Vlaue (Cr)'!$C:$FB,43)</f>
        <v>879</v>
      </c>
      <c r="H29" s="49">
        <f>VLOOKUP($A29,'Data Vlaue (Cr)'!$C:$FB,44)</f>
        <v>1060</v>
      </c>
      <c r="I29" s="49">
        <f>VLOOKUP($A29,'Data Vlaue (Cr)'!$C:$FB,46)*100</f>
        <v>-17.059999999999999</v>
      </c>
      <c r="J29" s="51">
        <f>VLOOKUP($A29,'Data Vlaue (Cr)'!$C:$FB,59)</f>
        <v>1800</v>
      </c>
      <c r="K29" s="51">
        <f>VLOOKUP($A29,'Data Vlaue (Cr)'!$C:$FB,60)</f>
        <v>2826</v>
      </c>
      <c r="L29" s="51">
        <f>VLOOKUP($A29,'Data Vlaue (Cr)'!$C:$FB,62)*100</f>
        <v>-36.29</v>
      </c>
      <c r="M29" s="51">
        <f>VLOOKUP($A29,'Data Vlaue (Cr)'!$C:$FB,63)</f>
        <v>1021</v>
      </c>
      <c r="N29" s="51">
        <f>VLOOKUP($A29,'Data Vlaue (Cr)'!$C:$FB,64)</f>
        <v>1360</v>
      </c>
      <c r="O29" s="51">
        <f>VLOOKUP($A29,'Data Vlaue (Cr)'!$C:$FB,66)*100</f>
        <v>-24.93</v>
      </c>
    </row>
    <row r="30" spans="1:15" x14ac:dyDescent="0.25">
      <c r="A30" s="101" t="str">
        <f>'Data Vlaue (Cr)'!C25</f>
        <v>BANDHANBNK</v>
      </c>
      <c r="B30" s="50">
        <f>VLOOKUP($A30,'Data Vlaue (Cr)'!$C:$FB,8)</f>
        <v>144.18</v>
      </c>
      <c r="C30" s="50">
        <f>VLOOKUP($A30,'Data Vlaue (Cr)'!$C:$FB,11)*100</f>
        <v>-1.1199999999999999</v>
      </c>
      <c r="D30" s="50">
        <f>VLOOKUP($A30,'Data Vlaue (Cr)'!$C:$FB,143)</f>
        <v>412</v>
      </c>
      <c r="E30" s="50">
        <f>VLOOKUP($A30,'Data Vlaue (Cr)'!$C:$FB,144)</f>
        <v>487.83</v>
      </c>
      <c r="F30" s="50">
        <f>VLOOKUP($A30,'Data Vlaue (Cr)'!$C:$FB,146)*100</f>
        <v>-15.55</v>
      </c>
      <c r="G30" s="49">
        <f>VLOOKUP($A30,'Data Vlaue (Cr)'!$C:$FB,43)</f>
        <v>117</v>
      </c>
      <c r="H30" s="49">
        <f>VLOOKUP($A30,'Data Vlaue (Cr)'!$C:$FB,44)</f>
        <v>149</v>
      </c>
      <c r="I30" s="49">
        <f>VLOOKUP($A30,'Data Vlaue (Cr)'!$C:$FB,46)*100</f>
        <v>-21.81</v>
      </c>
      <c r="J30" s="51">
        <f>VLOOKUP($A30,'Data Vlaue (Cr)'!$C:$FB,59)</f>
        <v>198</v>
      </c>
      <c r="K30" s="51">
        <f>VLOOKUP($A30,'Data Vlaue (Cr)'!$C:$FB,60)</f>
        <v>215</v>
      </c>
      <c r="L30" s="51">
        <f>VLOOKUP($A30,'Data Vlaue (Cr)'!$C:$FB,62)*100</f>
        <v>-7.9699999999999989</v>
      </c>
      <c r="M30" s="51">
        <f>VLOOKUP($A30,'Data Vlaue (Cr)'!$C:$FB,63)</f>
        <v>83</v>
      </c>
      <c r="N30" s="51">
        <f>VLOOKUP($A30,'Data Vlaue (Cr)'!$C:$FB,64)</f>
        <v>106</v>
      </c>
      <c r="O30" s="51">
        <f>VLOOKUP($A30,'Data Vlaue (Cr)'!$C:$FB,66)*100</f>
        <v>-21.759999999999998</v>
      </c>
    </row>
    <row r="31" spans="1:15" x14ac:dyDescent="0.25">
      <c r="A31" s="101" t="str">
        <f>'Data Vlaue (Cr)'!C26</f>
        <v>BANKBARODA</v>
      </c>
      <c r="B31" s="50">
        <f>VLOOKUP($A31,'Data Vlaue (Cr)'!$C:$FB,8)</f>
        <v>300.75</v>
      </c>
      <c r="C31" s="50">
        <f>VLOOKUP($A31,'Data Vlaue (Cr)'!$C:$FB,11)*100</f>
        <v>1.6400000000000001</v>
      </c>
      <c r="D31" s="50">
        <f>VLOOKUP($A31,'Data Vlaue (Cr)'!$C:$FB,143)</f>
        <v>3709.81</v>
      </c>
      <c r="E31" s="50">
        <f>VLOOKUP($A31,'Data Vlaue (Cr)'!$C:$FB,144)</f>
        <v>3167.91</v>
      </c>
      <c r="F31" s="50">
        <f>VLOOKUP($A31,'Data Vlaue (Cr)'!$C:$FB,146)*100</f>
        <v>17.11</v>
      </c>
      <c r="G31" s="49">
        <f>VLOOKUP($A31,'Data Vlaue (Cr)'!$C:$FB,43)</f>
        <v>565</v>
      </c>
      <c r="H31" s="49">
        <f>VLOOKUP($A31,'Data Vlaue (Cr)'!$C:$FB,44)</f>
        <v>708</v>
      </c>
      <c r="I31" s="49">
        <f>VLOOKUP($A31,'Data Vlaue (Cr)'!$C:$FB,46)*100</f>
        <v>-20.190000000000001</v>
      </c>
      <c r="J31" s="51">
        <f>VLOOKUP($A31,'Data Vlaue (Cr)'!$C:$FB,59)</f>
        <v>2081</v>
      </c>
      <c r="K31" s="51">
        <f>VLOOKUP($A31,'Data Vlaue (Cr)'!$C:$FB,60)</f>
        <v>1550</v>
      </c>
      <c r="L31" s="51">
        <f>VLOOKUP($A31,'Data Vlaue (Cr)'!$C:$FB,62)*100</f>
        <v>34.239999999999995</v>
      </c>
      <c r="M31" s="51">
        <f>VLOOKUP($A31,'Data Vlaue (Cr)'!$C:$FB,63)</f>
        <v>1010</v>
      </c>
      <c r="N31" s="51">
        <f>VLOOKUP($A31,'Data Vlaue (Cr)'!$C:$FB,64)</f>
        <v>923</v>
      </c>
      <c r="O31" s="51">
        <f>VLOOKUP($A31,'Data Vlaue (Cr)'!$C:$FB,66)*100</f>
        <v>9.42</v>
      </c>
    </row>
    <row r="32" spans="1:15" x14ac:dyDescent="0.25">
      <c r="A32" s="101" t="str">
        <f>'Data Vlaue (Cr)'!C27</f>
        <v>BANKINDIA</v>
      </c>
      <c r="B32" s="50">
        <f>VLOOKUP($A32,'Data Vlaue (Cr)'!$C:$FB,8)</f>
        <v>146.99</v>
      </c>
      <c r="C32" s="50">
        <f>VLOOKUP($A32,'Data Vlaue (Cr)'!$C:$FB,11)*100</f>
        <v>2.1800000000000002</v>
      </c>
      <c r="D32" s="50">
        <f>VLOOKUP($A32,'Data Vlaue (Cr)'!$C:$FB,143)</f>
        <v>479.91</v>
      </c>
      <c r="E32" s="50">
        <f>VLOOKUP($A32,'Data Vlaue (Cr)'!$C:$FB,144)</f>
        <v>555.97</v>
      </c>
      <c r="F32" s="50">
        <f>VLOOKUP($A32,'Data Vlaue (Cr)'!$C:$FB,146)*100</f>
        <v>-13.68</v>
      </c>
      <c r="G32" s="49">
        <f>VLOOKUP($A32,'Data Vlaue (Cr)'!$C:$FB,43)</f>
        <v>155</v>
      </c>
      <c r="H32" s="49">
        <f>VLOOKUP($A32,'Data Vlaue (Cr)'!$C:$FB,44)</f>
        <v>212</v>
      </c>
      <c r="I32" s="49">
        <f>VLOOKUP($A32,'Data Vlaue (Cr)'!$C:$FB,46)*100</f>
        <v>-26.93</v>
      </c>
      <c r="J32" s="51">
        <f>VLOOKUP($A32,'Data Vlaue (Cr)'!$C:$FB,59)</f>
        <v>210</v>
      </c>
      <c r="K32" s="51">
        <f>VLOOKUP($A32,'Data Vlaue (Cr)'!$C:$FB,60)</f>
        <v>236</v>
      </c>
      <c r="L32" s="51">
        <f>VLOOKUP($A32,'Data Vlaue (Cr)'!$C:$FB,62)*100</f>
        <v>-10.979999999999999</v>
      </c>
      <c r="M32" s="51">
        <f>VLOOKUP($A32,'Data Vlaue (Cr)'!$C:$FB,63)</f>
        <v>115</v>
      </c>
      <c r="N32" s="51">
        <f>VLOOKUP($A32,'Data Vlaue (Cr)'!$C:$FB,64)</f>
        <v>115</v>
      </c>
      <c r="O32" s="51">
        <f>VLOOKUP($A32,'Data Vlaue (Cr)'!$C:$FB,66)*100</f>
        <v>-0.27</v>
      </c>
    </row>
    <row r="33" spans="1:15" x14ac:dyDescent="0.25">
      <c r="A33" s="101" t="str">
        <f>'Data Vlaue (Cr)'!C28</f>
        <v>BANKNIFTY</v>
      </c>
      <c r="B33" s="50">
        <f>VLOOKUP($A33,'Data Vlaue (Cr)'!$C:$FB,8)</f>
        <v>59711.55</v>
      </c>
      <c r="C33" s="50">
        <f>VLOOKUP($A33,'Data Vlaue (Cr)'!$C:$FB,11)*100</f>
        <v>0.22</v>
      </c>
      <c r="D33" s="50">
        <f>VLOOKUP($A33,'Data Vlaue (Cr)'!$C:$FB,143)</f>
        <v>192912.09</v>
      </c>
      <c r="E33" s="50">
        <f>VLOOKUP($A33,'Data Vlaue (Cr)'!$C:$FB,144)</f>
        <v>364248.37</v>
      </c>
      <c r="F33" s="50">
        <f>VLOOKUP($A33,'Data Vlaue (Cr)'!$C:$FB,146)*100</f>
        <v>-47.04</v>
      </c>
      <c r="G33" s="49">
        <f>VLOOKUP($A33,'Data Vlaue (Cr)'!$C:$FB,43)</f>
        <v>2241</v>
      </c>
      <c r="H33" s="49">
        <f>VLOOKUP($A33,'Data Vlaue (Cr)'!$C:$FB,44)</f>
        <v>5600</v>
      </c>
      <c r="I33" s="49">
        <f>VLOOKUP($A33,'Data Vlaue (Cr)'!$C:$FB,46)*100</f>
        <v>-59.99</v>
      </c>
      <c r="J33" s="51">
        <f>VLOOKUP($A33,'Data Vlaue (Cr)'!$C:$FB,59)</f>
        <v>99383</v>
      </c>
      <c r="K33" s="51">
        <f>VLOOKUP($A33,'Data Vlaue (Cr)'!$C:$FB,60)</f>
        <v>190275</v>
      </c>
      <c r="L33" s="51">
        <f>VLOOKUP($A33,'Data Vlaue (Cr)'!$C:$FB,62)*100</f>
        <v>-47.77</v>
      </c>
      <c r="M33" s="51">
        <f>VLOOKUP($A33,'Data Vlaue (Cr)'!$C:$FB,63)</f>
        <v>90369</v>
      </c>
      <c r="N33" s="51">
        <f>VLOOKUP($A33,'Data Vlaue (Cr)'!$C:$FB,64)</f>
        <v>167008</v>
      </c>
      <c r="O33" s="51">
        <f>VLOOKUP($A33,'Data Vlaue (Cr)'!$C:$FB,66)*100</f>
        <v>-45.89</v>
      </c>
    </row>
    <row r="34" spans="1:15" x14ac:dyDescent="0.25">
      <c r="A34" s="101" t="str">
        <f>'Data Vlaue (Cr)'!C29</f>
        <v>BDL</v>
      </c>
      <c r="B34" s="50">
        <f>VLOOKUP($A34,'Data Vlaue (Cr)'!$C:$FB,8)</f>
        <v>1481.5</v>
      </c>
      <c r="C34" s="50">
        <f>VLOOKUP($A34,'Data Vlaue (Cr)'!$C:$FB,11)*100</f>
        <v>1.02</v>
      </c>
      <c r="D34" s="50">
        <f>VLOOKUP($A34,'Data Vlaue (Cr)'!$C:$FB,143)</f>
        <v>842.7</v>
      </c>
      <c r="E34" s="50">
        <f>VLOOKUP($A34,'Data Vlaue (Cr)'!$C:$FB,144)</f>
        <v>761.65</v>
      </c>
      <c r="F34" s="50">
        <f>VLOOKUP($A34,'Data Vlaue (Cr)'!$C:$FB,146)*100</f>
        <v>10.639999999999999</v>
      </c>
      <c r="G34" s="49">
        <f>VLOOKUP($A34,'Data Vlaue (Cr)'!$C:$FB,43)</f>
        <v>139</v>
      </c>
      <c r="H34" s="49">
        <f>VLOOKUP($A34,'Data Vlaue (Cr)'!$C:$FB,44)</f>
        <v>129</v>
      </c>
      <c r="I34" s="49">
        <f>VLOOKUP($A34,'Data Vlaue (Cr)'!$C:$FB,46)*100</f>
        <v>7.84</v>
      </c>
      <c r="J34" s="51">
        <f>VLOOKUP($A34,'Data Vlaue (Cr)'!$C:$FB,59)</f>
        <v>439</v>
      </c>
      <c r="K34" s="51">
        <f>VLOOKUP($A34,'Data Vlaue (Cr)'!$C:$FB,60)</f>
        <v>422</v>
      </c>
      <c r="L34" s="51">
        <f>VLOOKUP($A34,'Data Vlaue (Cr)'!$C:$FB,62)*100</f>
        <v>4.07</v>
      </c>
      <c r="M34" s="51">
        <f>VLOOKUP($A34,'Data Vlaue (Cr)'!$C:$FB,63)</f>
        <v>251</v>
      </c>
      <c r="N34" s="51">
        <f>VLOOKUP($A34,'Data Vlaue (Cr)'!$C:$FB,64)</f>
        <v>198</v>
      </c>
      <c r="O34" s="51">
        <f>VLOOKUP($A34,'Data Vlaue (Cr)'!$C:$FB,66)*100</f>
        <v>27.01</v>
      </c>
    </row>
    <row r="35" spans="1:15" x14ac:dyDescent="0.25">
      <c r="A35" s="101" t="str">
        <f>'Data Vlaue (Cr)'!C30</f>
        <v>BEL</v>
      </c>
      <c r="B35" s="50">
        <f>VLOOKUP($A35,'Data Vlaue (Cr)'!$C:$FB,8)</f>
        <v>397.7</v>
      </c>
      <c r="C35" s="50">
        <f>VLOOKUP($A35,'Data Vlaue (Cr)'!$C:$FB,11)*100</f>
        <v>-0.48</v>
      </c>
      <c r="D35" s="50">
        <f>VLOOKUP($A35,'Data Vlaue (Cr)'!$C:$FB,143)</f>
        <v>2269.9699999999998</v>
      </c>
      <c r="E35" s="50">
        <f>VLOOKUP($A35,'Data Vlaue (Cr)'!$C:$FB,144)</f>
        <v>3604.62</v>
      </c>
      <c r="F35" s="50">
        <f>VLOOKUP($A35,'Data Vlaue (Cr)'!$C:$FB,146)*100</f>
        <v>-37.03</v>
      </c>
      <c r="G35" s="49">
        <f>VLOOKUP($A35,'Data Vlaue (Cr)'!$C:$FB,43)</f>
        <v>336</v>
      </c>
      <c r="H35" s="49">
        <f>VLOOKUP($A35,'Data Vlaue (Cr)'!$C:$FB,44)</f>
        <v>522</v>
      </c>
      <c r="I35" s="49">
        <f>VLOOKUP($A35,'Data Vlaue (Cr)'!$C:$FB,46)*100</f>
        <v>-35.57</v>
      </c>
      <c r="J35" s="51">
        <f>VLOOKUP($A35,'Data Vlaue (Cr)'!$C:$FB,59)</f>
        <v>1315</v>
      </c>
      <c r="K35" s="51">
        <f>VLOOKUP($A35,'Data Vlaue (Cr)'!$C:$FB,60)</f>
        <v>2102</v>
      </c>
      <c r="L35" s="51">
        <f>VLOOKUP($A35,'Data Vlaue (Cr)'!$C:$FB,62)*100</f>
        <v>-37.450000000000003</v>
      </c>
      <c r="M35" s="51">
        <f>VLOOKUP($A35,'Data Vlaue (Cr)'!$C:$FB,63)</f>
        <v>562</v>
      </c>
      <c r="N35" s="51">
        <f>VLOOKUP($A35,'Data Vlaue (Cr)'!$C:$FB,64)</f>
        <v>886</v>
      </c>
      <c r="O35" s="51">
        <f>VLOOKUP($A35,'Data Vlaue (Cr)'!$C:$FB,66)*100</f>
        <v>-36.549999999999997</v>
      </c>
    </row>
    <row r="36" spans="1:15" x14ac:dyDescent="0.25">
      <c r="A36" s="101" t="str">
        <f>'Data Vlaue (Cr)'!C31</f>
        <v>BHARATFORG</v>
      </c>
      <c r="B36" s="50">
        <f>VLOOKUP($A36,'Data Vlaue (Cr)'!$C:$FB,8)</f>
        <v>1464.4</v>
      </c>
      <c r="C36" s="50">
        <f>VLOOKUP($A36,'Data Vlaue (Cr)'!$C:$FB,11)*100</f>
        <v>-0.41000000000000003</v>
      </c>
      <c r="D36" s="50">
        <f>VLOOKUP($A36,'Data Vlaue (Cr)'!$C:$FB,143)</f>
        <v>918.47</v>
      </c>
      <c r="E36" s="50">
        <f>VLOOKUP($A36,'Data Vlaue (Cr)'!$C:$FB,144)</f>
        <v>2826.69</v>
      </c>
      <c r="F36" s="50">
        <f>VLOOKUP($A36,'Data Vlaue (Cr)'!$C:$FB,146)*100</f>
        <v>-67.510000000000005</v>
      </c>
      <c r="G36" s="49">
        <f>VLOOKUP($A36,'Data Vlaue (Cr)'!$C:$FB,43)</f>
        <v>178</v>
      </c>
      <c r="H36" s="49">
        <f>VLOOKUP($A36,'Data Vlaue (Cr)'!$C:$FB,44)</f>
        <v>415</v>
      </c>
      <c r="I36" s="49">
        <f>VLOOKUP($A36,'Data Vlaue (Cr)'!$C:$FB,46)*100</f>
        <v>-57.07</v>
      </c>
      <c r="J36" s="51">
        <f>VLOOKUP($A36,'Data Vlaue (Cr)'!$C:$FB,59)</f>
        <v>487</v>
      </c>
      <c r="K36" s="51">
        <f>VLOOKUP($A36,'Data Vlaue (Cr)'!$C:$FB,60)</f>
        <v>1884</v>
      </c>
      <c r="L36" s="51">
        <f>VLOOKUP($A36,'Data Vlaue (Cr)'!$C:$FB,62)*100</f>
        <v>-74.14</v>
      </c>
      <c r="M36" s="51">
        <f>VLOOKUP($A36,'Data Vlaue (Cr)'!$C:$FB,63)</f>
        <v>233</v>
      </c>
      <c r="N36" s="51">
        <f>VLOOKUP($A36,'Data Vlaue (Cr)'!$C:$FB,64)</f>
        <v>447</v>
      </c>
      <c r="O36" s="51">
        <f>VLOOKUP($A36,'Data Vlaue (Cr)'!$C:$FB,66)*100</f>
        <v>-47.85</v>
      </c>
    </row>
    <row r="37" spans="1:15" x14ac:dyDescent="0.25">
      <c r="A37" s="101" t="str">
        <f>'Data Vlaue (Cr)'!C32</f>
        <v>BHARTIARTL</v>
      </c>
      <c r="B37" s="50">
        <f>VLOOKUP($A37,'Data Vlaue (Cr)'!$C:$FB,8)</f>
        <v>2110.4</v>
      </c>
      <c r="C37" s="50">
        <f>VLOOKUP($A37,'Data Vlaue (Cr)'!$C:$FB,11)*100</f>
        <v>0.22999999999999998</v>
      </c>
      <c r="D37" s="50">
        <f>VLOOKUP($A37,'Data Vlaue (Cr)'!$C:$FB,143)</f>
        <v>3525.27</v>
      </c>
      <c r="E37" s="50">
        <f>VLOOKUP($A37,'Data Vlaue (Cr)'!$C:$FB,144)</f>
        <v>6725.31</v>
      </c>
      <c r="F37" s="50">
        <f>VLOOKUP($A37,'Data Vlaue (Cr)'!$C:$FB,146)*100</f>
        <v>-47.58</v>
      </c>
      <c r="G37" s="49">
        <f>VLOOKUP($A37,'Data Vlaue (Cr)'!$C:$FB,43)</f>
        <v>516</v>
      </c>
      <c r="H37" s="49">
        <f>VLOOKUP($A37,'Data Vlaue (Cr)'!$C:$FB,44)</f>
        <v>882</v>
      </c>
      <c r="I37" s="49">
        <f>VLOOKUP($A37,'Data Vlaue (Cr)'!$C:$FB,46)*100</f>
        <v>-41.53</v>
      </c>
      <c r="J37" s="51">
        <f>VLOOKUP($A37,'Data Vlaue (Cr)'!$C:$FB,59)</f>
        <v>2023</v>
      </c>
      <c r="K37" s="51">
        <f>VLOOKUP($A37,'Data Vlaue (Cr)'!$C:$FB,60)</f>
        <v>3861</v>
      </c>
      <c r="L37" s="51">
        <f>VLOOKUP($A37,'Data Vlaue (Cr)'!$C:$FB,62)*100</f>
        <v>-47.589999999999996</v>
      </c>
      <c r="M37" s="51">
        <f>VLOOKUP($A37,'Data Vlaue (Cr)'!$C:$FB,63)</f>
        <v>943</v>
      </c>
      <c r="N37" s="51">
        <f>VLOOKUP($A37,'Data Vlaue (Cr)'!$C:$FB,64)</f>
        <v>1925</v>
      </c>
      <c r="O37" s="51">
        <f>VLOOKUP($A37,'Data Vlaue (Cr)'!$C:$FB,66)*100</f>
        <v>-51.019999999999996</v>
      </c>
    </row>
    <row r="38" spans="1:15" x14ac:dyDescent="0.25">
      <c r="A38" s="101" t="str">
        <f>'Data Vlaue (Cr)'!C33</f>
        <v>BHEL</v>
      </c>
      <c r="B38" s="50">
        <f>VLOOKUP($A38,'Data Vlaue (Cr)'!$C:$FB,8)</f>
        <v>291.45</v>
      </c>
      <c r="C38" s="50">
        <f>VLOOKUP($A38,'Data Vlaue (Cr)'!$C:$FB,11)*100</f>
        <v>1.39</v>
      </c>
      <c r="D38" s="50">
        <f>VLOOKUP($A38,'Data Vlaue (Cr)'!$C:$FB,143)</f>
        <v>2703.79</v>
      </c>
      <c r="E38" s="50">
        <f>VLOOKUP($A38,'Data Vlaue (Cr)'!$C:$FB,144)</f>
        <v>3432.52</v>
      </c>
      <c r="F38" s="50">
        <f>VLOOKUP($A38,'Data Vlaue (Cr)'!$C:$FB,146)*100</f>
        <v>-21.23</v>
      </c>
      <c r="G38" s="49">
        <f>VLOOKUP($A38,'Data Vlaue (Cr)'!$C:$FB,43)</f>
        <v>472</v>
      </c>
      <c r="H38" s="49">
        <f>VLOOKUP($A38,'Data Vlaue (Cr)'!$C:$FB,44)</f>
        <v>737</v>
      </c>
      <c r="I38" s="49">
        <f>VLOOKUP($A38,'Data Vlaue (Cr)'!$C:$FB,46)*100</f>
        <v>-35.870000000000005</v>
      </c>
      <c r="J38" s="51">
        <f>VLOOKUP($A38,'Data Vlaue (Cr)'!$C:$FB,59)</f>
        <v>1667</v>
      </c>
      <c r="K38" s="51">
        <f>VLOOKUP($A38,'Data Vlaue (Cr)'!$C:$FB,60)</f>
        <v>1959</v>
      </c>
      <c r="L38" s="51">
        <f>VLOOKUP($A38,'Data Vlaue (Cr)'!$C:$FB,62)*100</f>
        <v>-14.899999999999999</v>
      </c>
      <c r="M38" s="51">
        <f>VLOOKUP($A38,'Data Vlaue (Cr)'!$C:$FB,63)</f>
        <v>502</v>
      </c>
      <c r="N38" s="51">
        <f>VLOOKUP($A38,'Data Vlaue (Cr)'!$C:$FB,64)</f>
        <v>703</v>
      </c>
      <c r="O38" s="51">
        <f>VLOOKUP($A38,'Data Vlaue (Cr)'!$C:$FB,66)*100</f>
        <v>-28.57</v>
      </c>
    </row>
    <row r="39" spans="1:15" x14ac:dyDescent="0.25">
      <c r="A39" s="101" t="str">
        <f>'Data Vlaue (Cr)'!C34</f>
        <v>BIOCON</v>
      </c>
      <c r="B39" s="50">
        <f>VLOOKUP($A39,'Data Vlaue (Cr)'!$C:$FB,8)</f>
        <v>387.75</v>
      </c>
      <c r="C39" s="50">
        <f>VLOOKUP($A39,'Data Vlaue (Cr)'!$C:$FB,11)*100</f>
        <v>-1.5599999999999998</v>
      </c>
      <c r="D39" s="50">
        <f>VLOOKUP($A39,'Data Vlaue (Cr)'!$C:$FB,143)</f>
        <v>815.85</v>
      </c>
      <c r="E39" s="50">
        <f>VLOOKUP($A39,'Data Vlaue (Cr)'!$C:$FB,144)</f>
        <v>851.17</v>
      </c>
      <c r="F39" s="50">
        <f>VLOOKUP($A39,'Data Vlaue (Cr)'!$C:$FB,146)*100</f>
        <v>-4.1500000000000004</v>
      </c>
      <c r="G39" s="49">
        <f>VLOOKUP($A39,'Data Vlaue (Cr)'!$C:$FB,43)</f>
        <v>169</v>
      </c>
      <c r="H39" s="49">
        <f>VLOOKUP($A39,'Data Vlaue (Cr)'!$C:$FB,44)</f>
        <v>152</v>
      </c>
      <c r="I39" s="49">
        <f>VLOOKUP($A39,'Data Vlaue (Cr)'!$C:$FB,46)*100</f>
        <v>10.979999999999999</v>
      </c>
      <c r="J39" s="51">
        <f>VLOOKUP($A39,'Data Vlaue (Cr)'!$C:$FB,59)</f>
        <v>406</v>
      </c>
      <c r="K39" s="51">
        <f>VLOOKUP($A39,'Data Vlaue (Cr)'!$C:$FB,60)</f>
        <v>455</v>
      </c>
      <c r="L39" s="51">
        <f>VLOOKUP($A39,'Data Vlaue (Cr)'!$C:$FB,62)*100</f>
        <v>-10.68</v>
      </c>
      <c r="M39" s="51">
        <f>VLOOKUP($A39,'Data Vlaue (Cr)'!$C:$FB,63)</f>
        <v>221</v>
      </c>
      <c r="N39" s="51">
        <f>VLOOKUP($A39,'Data Vlaue (Cr)'!$C:$FB,64)</f>
        <v>220</v>
      </c>
      <c r="O39" s="51">
        <f>VLOOKUP($A39,'Data Vlaue (Cr)'!$C:$FB,66)*100</f>
        <v>0.4</v>
      </c>
    </row>
    <row r="40" spans="1:15" x14ac:dyDescent="0.25">
      <c r="A40" s="101" t="str">
        <f>'Data Vlaue (Cr)'!C35</f>
        <v>BLUESTARCO</v>
      </c>
      <c r="B40" s="50">
        <f>VLOOKUP($A40,'Data Vlaue (Cr)'!$C:$FB,8)</f>
        <v>1772.2</v>
      </c>
      <c r="C40" s="50">
        <f>VLOOKUP($A40,'Data Vlaue (Cr)'!$C:$FB,11)*100</f>
        <v>2.4</v>
      </c>
      <c r="D40" s="50">
        <f>VLOOKUP($A40,'Data Vlaue (Cr)'!$C:$FB,143)</f>
        <v>322.94</v>
      </c>
      <c r="E40" s="50">
        <f>VLOOKUP($A40,'Data Vlaue (Cr)'!$C:$FB,144)</f>
        <v>221.49</v>
      </c>
      <c r="F40" s="50">
        <f>VLOOKUP($A40,'Data Vlaue (Cr)'!$C:$FB,146)*100</f>
        <v>45.800000000000004</v>
      </c>
      <c r="G40" s="49">
        <f>VLOOKUP($A40,'Data Vlaue (Cr)'!$C:$FB,43)</f>
        <v>80</v>
      </c>
      <c r="H40" s="49">
        <f>VLOOKUP($A40,'Data Vlaue (Cr)'!$C:$FB,44)</f>
        <v>93</v>
      </c>
      <c r="I40" s="49">
        <f>VLOOKUP($A40,'Data Vlaue (Cr)'!$C:$FB,46)*100</f>
        <v>-13.43</v>
      </c>
      <c r="J40" s="51">
        <f>VLOOKUP($A40,'Data Vlaue (Cr)'!$C:$FB,59)</f>
        <v>178</v>
      </c>
      <c r="K40" s="51">
        <f>VLOOKUP($A40,'Data Vlaue (Cr)'!$C:$FB,60)</f>
        <v>95</v>
      </c>
      <c r="L40" s="51">
        <f>VLOOKUP($A40,'Data Vlaue (Cr)'!$C:$FB,62)*100</f>
        <v>87.89</v>
      </c>
      <c r="M40" s="51">
        <f>VLOOKUP($A40,'Data Vlaue (Cr)'!$C:$FB,63)</f>
        <v>61</v>
      </c>
      <c r="N40" s="51">
        <f>VLOOKUP($A40,'Data Vlaue (Cr)'!$C:$FB,64)</f>
        <v>38</v>
      </c>
      <c r="O40" s="51">
        <f>VLOOKUP($A40,'Data Vlaue (Cr)'!$C:$FB,66)*100</f>
        <v>59.79</v>
      </c>
    </row>
    <row r="41" spans="1:15" x14ac:dyDescent="0.25">
      <c r="A41" s="101" t="str">
        <f>'Data Vlaue (Cr)'!C36</f>
        <v>BOSCHLTD</v>
      </c>
      <c r="B41" s="50">
        <f>VLOOKUP($A41,'Data Vlaue (Cr)'!$C:$FB,8)</f>
        <v>36140</v>
      </c>
      <c r="C41" s="50">
        <f>VLOOKUP($A41,'Data Vlaue (Cr)'!$C:$FB,11)*100</f>
        <v>0.27999999999999997</v>
      </c>
      <c r="D41" s="50">
        <f>VLOOKUP($A41,'Data Vlaue (Cr)'!$C:$FB,143)</f>
        <v>261.83999999999997</v>
      </c>
      <c r="E41" s="50">
        <f>VLOOKUP($A41,'Data Vlaue (Cr)'!$C:$FB,144)</f>
        <v>582.9</v>
      </c>
      <c r="F41" s="50">
        <f>VLOOKUP($A41,'Data Vlaue (Cr)'!$C:$FB,146)*100</f>
        <v>-55.08</v>
      </c>
      <c r="G41" s="49">
        <f>VLOOKUP($A41,'Data Vlaue (Cr)'!$C:$FB,43)</f>
        <v>40</v>
      </c>
      <c r="H41" s="49">
        <f>VLOOKUP($A41,'Data Vlaue (Cr)'!$C:$FB,44)</f>
        <v>99</v>
      </c>
      <c r="I41" s="49">
        <f>VLOOKUP($A41,'Data Vlaue (Cr)'!$C:$FB,46)*100</f>
        <v>-60.160000000000004</v>
      </c>
      <c r="J41" s="51">
        <f>VLOOKUP($A41,'Data Vlaue (Cr)'!$C:$FB,59)</f>
        <v>87</v>
      </c>
      <c r="K41" s="51">
        <f>VLOOKUP($A41,'Data Vlaue (Cr)'!$C:$FB,60)</f>
        <v>327</v>
      </c>
      <c r="L41" s="51">
        <f>VLOOKUP($A41,'Data Vlaue (Cr)'!$C:$FB,62)*100</f>
        <v>-73.28</v>
      </c>
      <c r="M41" s="51">
        <f>VLOOKUP($A41,'Data Vlaue (Cr)'!$C:$FB,63)</f>
        <v>137</v>
      </c>
      <c r="N41" s="51">
        <f>VLOOKUP($A41,'Data Vlaue (Cr)'!$C:$FB,64)</f>
        <v>153</v>
      </c>
      <c r="O41" s="51">
        <f>VLOOKUP($A41,'Data Vlaue (Cr)'!$C:$FB,66)*100</f>
        <v>-10.23</v>
      </c>
    </row>
    <row r="42" spans="1:15" x14ac:dyDescent="0.25">
      <c r="A42" s="101" t="str">
        <f>'Data Vlaue (Cr)'!C37</f>
        <v>BPCL</v>
      </c>
      <c r="B42" s="50">
        <f>VLOOKUP($A42,'Data Vlaue (Cr)'!$C:$FB,8)</f>
        <v>381.5</v>
      </c>
      <c r="C42" s="50">
        <f>VLOOKUP($A42,'Data Vlaue (Cr)'!$C:$FB,11)*100</f>
        <v>-0.65</v>
      </c>
      <c r="D42" s="50">
        <f>VLOOKUP($A42,'Data Vlaue (Cr)'!$C:$FB,143)</f>
        <v>1502.66</v>
      </c>
      <c r="E42" s="50">
        <f>VLOOKUP($A42,'Data Vlaue (Cr)'!$C:$FB,144)</f>
        <v>2875.64</v>
      </c>
      <c r="F42" s="50">
        <f>VLOOKUP($A42,'Data Vlaue (Cr)'!$C:$FB,146)*100</f>
        <v>-47.75</v>
      </c>
      <c r="G42" s="49">
        <f>VLOOKUP($A42,'Data Vlaue (Cr)'!$C:$FB,43)</f>
        <v>247</v>
      </c>
      <c r="H42" s="49">
        <f>VLOOKUP($A42,'Data Vlaue (Cr)'!$C:$FB,44)</f>
        <v>485</v>
      </c>
      <c r="I42" s="49">
        <f>VLOOKUP($A42,'Data Vlaue (Cr)'!$C:$FB,46)*100</f>
        <v>-49.09</v>
      </c>
      <c r="J42" s="51">
        <f>VLOOKUP($A42,'Data Vlaue (Cr)'!$C:$FB,59)</f>
        <v>822</v>
      </c>
      <c r="K42" s="51">
        <f>VLOOKUP($A42,'Data Vlaue (Cr)'!$C:$FB,60)</f>
        <v>1731</v>
      </c>
      <c r="L42" s="51">
        <f>VLOOKUP($A42,'Data Vlaue (Cr)'!$C:$FB,62)*100</f>
        <v>-52.52</v>
      </c>
      <c r="M42" s="51">
        <f>VLOOKUP($A42,'Data Vlaue (Cr)'!$C:$FB,63)</f>
        <v>402</v>
      </c>
      <c r="N42" s="51">
        <f>VLOOKUP($A42,'Data Vlaue (Cr)'!$C:$FB,64)</f>
        <v>613</v>
      </c>
      <c r="O42" s="51">
        <f>VLOOKUP($A42,'Data Vlaue (Cr)'!$C:$FB,66)*100</f>
        <v>-34.479999999999997</v>
      </c>
    </row>
    <row r="43" spans="1:15" x14ac:dyDescent="0.25">
      <c r="A43" s="101" t="str">
        <f>'Data Vlaue (Cr)'!C38</f>
        <v>BRITANNIA</v>
      </c>
      <c r="B43" s="50">
        <f>VLOOKUP($A43,'Data Vlaue (Cr)'!$C:$FB,8)</f>
        <v>6009.5</v>
      </c>
      <c r="C43" s="50">
        <f>VLOOKUP($A43,'Data Vlaue (Cr)'!$C:$FB,11)*100</f>
        <v>-0.36</v>
      </c>
      <c r="D43" s="50">
        <f>VLOOKUP($A43,'Data Vlaue (Cr)'!$C:$FB,143)</f>
        <v>574.87</v>
      </c>
      <c r="E43" s="50">
        <f>VLOOKUP($A43,'Data Vlaue (Cr)'!$C:$FB,144)</f>
        <v>524.94000000000005</v>
      </c>
      <c r="F43" s="50">
        <f>VLOOKUP($A43,'Data Vlaue (Cr)'!$C:$FB,146)*100</f>
        <v>9.51</v>
      </c>
      <c r="G43" s="49">
        <f>VLOOKUP($A43,'Data Vlaue (Cr)'!$C:$FB,43)</f>
        <v>110</v>
      </c>
      <c r="H43" s="49">
        <f>VLOOKUP($A43,'Data Vlaue (Cr)'!$C:$FB,44)</f>
        <v>132</v>
      </c>
      <c r="I43" s="49">
        <f>VLOOKUP($A43,'Data Vlaue (Cr)'!$C:$FB,46)*100</f>
        <v>-16.77</v>
      </c>
      <c r="J43" s="51">
        <f>VLOOKUP($A43,'Data Vlaue (Cr)'!$C:$FB,59)</f>
        <v>313</v>
      </c>
      <c r="K43" s="51">
        <f>VLOOKUP($A43,'Data Vlaue (Cr)'!$C:$FB,60)</f>
        <v>277</v>
      </c>
      <c r="L43" s="51">
        <f>VLOOKUP($A43,'Data Vlaue (Cr)'!$C:$FB,62)*100</f>
        <v>13.03</v>
      </c>
      <c r="M43" s="51">
        <f>VLOOKUP($A43,'Data Vlaue (Cr)'!$C:$FB,63)</f>
        <v>142</v>
      </c>
      <c r="N43" s="51">
        <f>VLOOKUP($A43,'Data Vlaue (Cr)'!$C:$FB,64)</f>
        <v>105</v>
      </c>
      <c r="O43" s="51">
        <f>VLOOKUP($A43,'Data Vlaue (Cr)'!$C:$FB,66)*100</f>
        <v>35.89</v>
      </c>
    </row>
    <row r="44" spans="1:15" x14ac:dyDescent="0.25">
      <c r="A44" s="101" t="str">
        <f>'Data Vlaue (Cr)'!C39</f>
        <v>BSE</v>
      </c>
      <c r="B44" s="50">
        <f>VLOOKUP($A44,'Data Vlaue (Cr)'!$C:$FB,8)</f>
        <v>2628</v>
      </c>
      <c r="C44" s="50">
        <f>VLOOKUP($A44,'Data Vlaue (Cr)'!$C:$FB,11)*100</f>
        <v>-0.16</v>
      </c>
      <c r="D44" s="50">
        <f>VLOOKUP($A44,'Data Vlaue (Cr)'!$C:$FB,143)</f>
        <v>2729.83</v>
      </c>
      <c r="E44" s="50">
        <f>VLOOKUP($A44,'Data Vlaue (Cr)'!$C:$FB,144)</f>
        <v>4704.13</v>
      </c>
      <c r="F44" s="50">
        <f>VLOOKUP($A44,'Data Vlaue (Cr)'!$C:$FB,146)*100</f>
        <v>-41.97</v>
      </c>
      <c r="G44" s="49">
        <f>VLOOKUP($A44,'Data Vlaue (Cr)'!$C:$FB,43)</f>
        <v>399</v>
      </c>
      <c r="H44" s="49">
        <f>VLOOKUP($A44,'Data Vlaue (Cr)'!$C:$FB,44)</f>
        <v>586</v>
      </c>
      <c r="I44" s="49">
        <f>VLOOKUP($A44,'Data Vlaue (Cr)'!$C:$FB,46)*100</f>
        <v>-31.96</v>
      </c>
      <c r="J44" s="51">
        <f>VLOOKUP($A44,'Data Vlaue (Cr)'!$C:$FB,59)</f>
        <v>1368</v>
      </c>
      <c r="K44" s="51">
        <f>VLOOKUP($A44,'Data Vlaue (Cr)'!$C:$FB,60)</f>
        <v>2688</v>
      </c>
      <c r="L44" s="51">
        <f>VLOOKUP($A44,'Data Vlaue (Cr)'!$C:$FB,62)*100</f>
        <v>-49.120000000000005</v>
      </c>
      <c r="M44" s="51">
        <f>VLOOKUP($A44,'Data Vlaue (Cr)'!$C:$FB,63)</f>
        <v>884</v>
      </c>
      <c r="N44" s="51">
        <f>VLOOKUP($A44,'Data Vlaue (Cr)'!$C:$FB,64)</f>
        <v>1267</v>
      </c>
      <c r="O44" s="51">
        <f>VLOOKUP($A44,'Data Vlaue (Cr)'!$C:$FB,66)*100</f>
        <v>-30.19</v>
      </c>
    </row>
    <row r="45" spans="1:15" x14ac:dyDescent="0.25">
      <c r="A45" s="101" t="str">
        <f>'Data Vlaue (Cr)'!C40</f>
        <v>CAMS</v>
      </c>
      <c r="B45" s="50">
        <f>VLOOKUP($A45,'Data Vlaue (Cr)'!$C:$FB,8)</f>
        <v>735.1</v>
      </c>
      <c r="C45" s="50">
        <f>VLOOKUP($A45,'Data Vlaue (Cr)'!$C:$FB,11)*100</f>
        <v>-0.77999999999999992</v>
      </c>
      <c r="D45" s="50">
        <f>VLOOKUP($A45,'Data Vlaue (Cr)'!$C:$FB,143)</f>
        <v>160.65</v>
      </c>
      <c r="E45" s="50">
        <f>VLOOKUP($A45,'Data Vlaue (Cr)'!$C:$FB,144)</f>
        <v>276.19</v>
      </c>
      <c r="F45" s="50">
        <f>VLOOKUP($A45,'Data Vlaue (Cr)'!$C:$FB,146)*100</f>
        <v>-41.83</v>
      </c>
      <c r="G45" s="49">
        <f>VLOOKUP($A45,'Data Vlaue (Cr)'!$C:$FB,43)</f>
        <v>59</v>
      </c>
      <c r="H45" s="49">
        <f>VLOOKUP($A45,'Data Vlaue (Cr)'!$C:$FB,44)</f>
        <v>89</v>
      </c>
      <c r="I45" s="49">
        <f>VLOOKUP($A45,'Data Vlaue (Cr)'!$C:$FB,46)*100</f>
        <v>-34.489999999999995</v>
      </c>
      <c r="J45" s="51">
        <f>VLOOKUP($A45,'Data Vlaue (Cr)'!$C:$FB,59)</f>
        <v>66</v>
      </c>
      <c r="K45" s="51">
        <f>VLOOKUP($A45,'Data Vlaue (Cr)'!$C:$FB,60)</f>
        <v>119</v>
      </c>
      <c r="L45" s="51">
        <f>VLOOKUP($A45,'Data Vlaue (Cr)'!$C:$FB,62)*100</f>
        <v>-44.51</v>
      </c>
      <c r="M45" s="51">
        <f>VLOOKUP($A45,'Data Vlaue (Cr)'!$C:$FB,63)</f>
        <v>32</v>
      </c>
      <c r="N45" s="51">
        <f>VLOOKUP($A45,'Data Vlaue (Cr)'!$C:$FB,64)</f>
        <v>61</v>
      </c>
      <c r="O45" s="51">
        <f>VLOOKUP($A45,'Data Vlaue (Cr)'!$C:$FB,66)*100</f>
        <v>-46.94</v>
      </c>
    </row>
    <row r="46" spans="1:15" x14ac:dyDescent="0.25">
      <c r="A46" s="101" t="str">
        <f>'Data Vlaue (Cr)'!C41</f>
        <v>CANBK</v>
      </c>
      <c r="B46" s="50">
        <f>VLOOKUP($A46,'Data Vlaue (Cr)'!$C:$FB,8)</f>
        <v>154.24</v>
      </c>
      <c r="C46" s="50">
        <f>VLOOKUP($A46,'Data Vlaue (Cr)'!$C:$FB,11)*100</f>
        <v>-0.43</v>
      </c>
      <c r="D46" s="50">
        <f>VLOOKUP($A46,'Data Vlaue (Cr)'!$C:$FB,143)</f>
        <v>2533.89</v>
      </c>
      <c r="E46" s="50">
        <f>VLOOKUP($A46,'Data Vlaue (Cr)'!$C:$FB,144)</f>
        <v>5024.6000000000004</v>
      </c>
      <c r="F46" s="50">
        <f>VLOOKUP($A46,'Data Vlaue (Cr)'!$C:$FB,146)*100</f>
        <v>-49.57</v>
      </c>
      <c r="G46" s="49">
        <f>VLOOKUP($A46,'Data Vlaue (Cr)'!$C:$FB,43)</f>
        <v>660</v>
      </c>
      <c r="H46" s="49">
        <f>VLOOKUP($A46,'Data Vlaue (Cr)'!$C:$FB,44)</f>
        <v>1035</v>
      </c>
      <c r="I46" s="49">
        <f>VLOOKUP($A46,'Data Vlaue (Cr)'!$C:$FB,46)*100</f>
        <v>-36.270000000000003</v>
      </c>
      <c r="J46" s="51">
        <f>VLOOKUP($A46,'Data Vlaue (Cr)'!$C:$FB,59)</f>
        <v>1182</v>
      </c>
      <c r="K46" s="51">
        <f>VLOOKUP($A46,'Data Vlaue (Cr)'!$C:$FB,60)</f>
        <v>2533</v>
      </c>
      <c r="L46" s="51">
        <f>VLOOKUP($A46,'Data Vlaue (Cr)'!$C:$FB,62)*100</f>
        <v>-53.339999999999996</v>
      </c>
      <c r="M46" s="51">
        <f>VLOOKUP($A46,'Data Vlaue (Cr)'!$C:$FB,63)</f>
        <v>645</v>
      </c>
      <c r="N46" s="51">
        <f>VLOOKUP($A46,'Data Vlaue (Cr)'!$C:$FB,64)</f>
        <v>1348</v>
      </c>
      <c r="O46" s="51">
        <f>VLOOKUP($A46,'Data Vlaue (Cr)'!$C:$FB,66)*100</f>
        <v>-52.15</v>
      </c>
    </row>
    <row r="47" spans="1:15" x14ac:dyDescent="0.25">
      <c r="A47" s="101" t="str">
        <f>'Data Vlaue (Cr)'!C42</f>
        <v>CDSL</v>
      </c>
      <c r="B47" s="50">
        <f>VLOOKUP($A47,'Data Vlaue (Cr)'!$C:$FB,8)</f>
        <v>1446.2</v>
      </c>
      <c r="C47" s="50">
        <f>VLOOKUP($A47,'Data Vlaue (Cr)'!$C:$FB,11)*100</f>
        <v>0.18</v>
      </c>
      <c r="D47" s="50">
        <f>VLOOKUP($A47,'Data Vlaue (Cr)'!$C:$FB,143)</f>
        <v>594.32000000000005</v>
      </c>
      <c r="E47" s="50">
        <f>VLOOKUP($A47,'Data Vlaue (Cr)'!$C:$FB,144)</f>
        <v>1145.0899999999999</v>
      </c>
      <c r="F47" s="50">
        <f>VLOOKUP($A47,'Data Vlaue (Cr)'!$C:$FB,146)*100</f>
        <v>-48.1</v>
      </c>
      <c r="G47" s="49">
        <f>VLOOKUP($A47,'Data Vlaue (Cr)'!$C:$FB,43)</f>
        <v>115</v>
      </c>
      <c r="H47" s="49">
        <f>VLOOKUP($A47,'Data Vlaue (Cr)'!$C:$FB,44)</f>
        <v>220</v>
      </c>
      <c r="I47" s="49">
        <f>VLOOKUP($A47,'Data Vlaue (Cr)'!$C:$FB,46)*100</f>
        <v>-47.699999999999996</v>
      </c>
      <c r="J47" s="51">
        <f>VLOOKUP($A47,'Data Vlaue (Cr)'!$C:$FB,59)</f>
        <v>357</v>
      </c>
      <c r="K47" s="51">
        <f>VLOOKUP($A47,'Data Vlaue (Cr)'!$C:$FB,60)</f>
        <v>614</v>
      </c>
      <c r="L47" s="51">
        <f>VLOOKUP($A47,'Data Vlaue (Cr)'!$C:$FB,62)*100</f>
        <v>-41.949999999999996</v>
      </c>
      <c r="M47" s="51">
        <f>VLOOKUP($A47,'Data Vlaue (Cr)'!$C:$FB,63)</f>
        <v>105</v>
      </c>
      <c r="N47" s="51">
        <f>VLOOKUP($A47,'Data Vlaue (Cr)'!$C:$FB,64)</f>
        <v>282</v>
      </c>
      <c r="O47" s="51">
        <f>VLOOKUP($A47,'Data Vlaue (Cr)'!$C:$FB,66)*100</f>
        <v>-62.79</v>
      </c>
    </row>
    <row r="48" spans="1:15" x14ac:dyDescent="0.25">
      <c r="A48" s="101" t="str">
        <f>'Data Vlaue (Cr)'!C43</f>
        <v>CGPOWER</v>
      </c>
      <c r="B48" s="50">
        <f>VLOOKUP($A48,'Data Vlaue (Cr)'!$C:$FB,8)</f>
        <v>637.9</v>
      </c>
      <c r="C48" s="50">
        <f>VLOOKUP($A48,'Data Vlaue (Cr)'!$C:$FB,11)*100</f>
        <v>-1.54</v>
      </c>
      <c r="D48" s="50">
        <f>VLOOKUP($A48,'Data Vlaue (Cr)'!$C:$FB,143)</f>
        <v>421.32</v>
      </c>
      <c r="E48" s="50">
        <f>VLOOKUP($A48,'Data Vlaue (Cr)'!$C:$FB,144)</f>
        <v>534.67999999999995</v>
      </c>
      <c r="F48" s="50">
        <f>VLOOKUP($A48,'Data Vlaue (Cr)'!$C:$FB,146)*100</f>
        <v>-21.2</v>
      </c>
      <c r="G48" s="49">
        <f>VLOOKUP($A48,'Data Vlaue (Cr)'!$C:$FB,43)</f>
        <v>116</v>
      </c>
      <c r="H48" s="49">
        <f>VLOOKUP($A48,'Data Vlaue (Cr)'!$C:$FB,44)</f>
        <v>147</v>
      </c>
      <c r="I48" s="49">
        <f>VLOOKUP($A48,'Data Vlaue (Cr)'!$C:$FB,46)*100</f>
        <v>-21.38</v>
      </c>
      <c r="J48" s="51">
        <f>VLOOKUP($A48,'Data Vlaue (Cr)'!$C:$FB,59)</f>
        <v>211</v>
      </c>
      <c r="K48" s="51">
        <f>VLOOKUP($A48,'Data Vlaue (Cr)'!$C:$FB,60)</f>
        <v>260</v>
      </c>
      <c r="L48" s="51">
        <f>VLOOKUP($A48,'Data Vlaue (Cr)'!$C:$FB,62)*100</f>
        <v>-18.649999999999999</v>
      </c>
      <c r="M48" s="51">
        <f>VLOOKUP($A48,'Data Vlaue (Cr)'!$C:$FB,63)</f>
        <v>82</v>
      </c>
      <c r="N48" s="51">
        <f>VLOOKUP($A48,'Data Vlaue (Cr)'!$C:$FB,64)</f>
        <v>109</v>
      </c>
      <c r="O48" s="51">
        <f>VLOOKUP($A48,'Data Vlaue (Cr)'!$C:$FB,66)*100</f>
        <v>-25.22</v>
      </c>
    </row>
    <row r="49" spans="1:15" x14ac:dyDescent="0.25">
      <c r="A49" s="101" t="str">
        <f>'Data Vlaue (Cr)'!C44</f>
        <v>CHOLAFIN</v>
      </c>
      <c r="B49" s="50">
        <f>VLOOKUP($A49,'Data Vlaue (Cr)'!$C:$FB,8)</f>
        <v>1724</v>
      </c>
      <c r="C49" s="50">
        <f>VLOOKUP($A49,'Data Vlaue (Cr)'!$C:$FB,11)*100</f>
        <v>1.28</v>
      </c>
      <c r="D49" s="50">
        <f>VLOOKUP($A49,'Data Vlaue (Cr)'!$C:$FB,143)</f>
        <v>1544.71</v>
      </c>
      <c r="E49" s="50">
        <f>VLOOKUP($A49,'Data Vlaue (Cr)'!$C:$FB,144)</f>
        <v>1131.46</v>
      </c>
      <c r="F49" s="50">
        <f>VLOOKUP($A49,'Data Vlaue (Cr)'!$C:$FB,146)*100</f>
        <v>36.520000000000003</v>
      </c>
      <c r="G49" s="49">
        <f>VLOOKUP($A49,'Data Vlaue (Cr)'!$C:$FB,43)</f>
        <v>250</v>
      </c>
      <c r="H49" s="49">
        <f>VLOOKUP($A49,'Data Vlaue (Cr)'!$C:$FB,44)</f>
        <v>282</v>
      </c>
      <c r="I49" s="49">
        <f>VLOOKUP($A49,'Data Vlaue (Cr)'!$C:$FB,46)*100</f>
        <v>-11.17</v>
      </c>
      <c r="J49" s="51">
        <f>VLOOKUP($A49,'Data Vlaue (Cr)'!$C:$FB,59)</f>
        <v>864</v>
      </c>
      <c r="K49" s="51">
        <f>VLOOKUP($A49,'Data Vlaue (Cr)'!$C:$FB,60)</f>
        <v>515</v>
      </c>
      <c r="L49" s="51">
        <f>VLOOKUP($A49,'Data Vlaue (Cr)'!$C:$FB,62)*100</f>
        <v>67.7</v>
      </c>
      <c r="M49" s="51">
        <f>VLOOKUP($A49,'Data Vlaue (Cr)'!$C:$FB,63)</f>
        <v>422</v>
      </c>
      <c r="N49" s="51">
        <f>VLOOKUP($A49,'Data Vlaue (Cr)'!$C:$FB,64)</f>
        <v>343</v>
      </c>
      <c r="O49" s="51">
        <f>VLOOKUP($A49,'Data Vlaue (Cr)'!$C:$FB,66)*100</f>
        <v>22.770000000000003</v>
      </c>
    </row>
    <row r="50" spans="1:15" x14ac:dyDescent="0.25">
      <c r="A50" s="101" t="str">
        <f>'Data Vlaue (Cr)'!C45</f>
        <v>CIPLA</v>
      </c>
      <c r="B50" s="50">
        <f>VLOOKUP($A50,'Data Vlaue (Cr)'!$C:$FB,8)</f>
        <v>1500.9</v>
      </c>
      <c r="C50" s="50">
        <f>VLOOKUP($A50,'Data Vlaue (Cr)'!$C:$FB,11)*100</f>
        <v>-0.69</v>
      </c>
      <c r="D50" s="50">
        <f>VLOOKUP($A50,'Data Vlaue (Cr)'!$C:$FB,143)</f>
        <v>533.1</v>
      </c>
      <c r="E50" s="50">
        <f>VLOOKUP($A50,'Data Vlaue (Cr)'!$C:$FB,144)</f>
        <v>868.12</v>
      </c>
      <c r="F50" s="50">
        <f>VLOOKUP($A50,'Data Vlaue (Cr)'!$C:$FB,146)*100</f>
        <v>-38.590000000000003</v>
      </c>
      <c r="G50" s="49">
        <f>VLOOKUP($A50,'Data Vlaue (Cr)'!$C:$FB,43)</f>
        <v>61</v>
      </c>
      <c r="H50" s="49">
        <f>VLOOKUP($A50,'Data Vlaue (Cr)'!$C:$FB,44)</f>
        <v>170</v>
      </c>
      <c r="I50" s="49">
        <f>VLOOKUP($A50,'Data Vlaue (Cr)'!$C:$FB,46)*100</f>
        <v>-64.11</v>
      </c>
      <c r="J50" s="51">
        <f>VLOOKUP($A50,'Data Vlaue (Cr)'!$C:$FB,59)</f>
        <v>269</v>
      </c>
      <c r="K50" s="51">
        <f>VLOOKUP($A50,'Data Vlaue (Cr)'!$C:$FB,60)</f>
        <v>450</v>
      </c>
      <c r="L50" s="51">
        <f>VLOOKUP($A50,'Data Vlaue (Cr)'!$C:$FB,62)*100</f>
        <v>-40.18</v>
      </c>
      <c r="M50" s="51">
        <f>VLOOKUP($A50,'Data Vlaue (Cr)'!$C:$FB,63)</f>
        <v>196</v>
      </c>
      <c r="N50" s="51">
        <f>VLOOKUP($A50,'Data Vlaue (Cr)'!$C:$FB,64)</f>
        <v>236</v>
      </c>
      <c r="O50" s="51">
        <f>VLOOKUP($A50,'Data Vlaue (Cr)'!$C:$FB,66)*100</f>
        <v>-16.82</v>
      </c>
    </row>
    <row r="51" spans="1:15" x14ac:dyDescent="0.25">
      <c r="A51" s="101" t="str">
        <f>'Data Vlaue (Cr)'!C46</f>
        <v>COALINDIA</v>
      </c>
      <c r="B51" s="50">
        <f>VLOOKUP($A51,'Data Vlaue (Cr)'!$C:$FB,8)</f>
        <v>400.45</v>
      </c>
      <c r="C51" s="50">
        <f>VLOOKUP($A51,'Data Vlaue (Cr)'!$C:$FB,11)*100</f>
        <v>0.36</v>
      </c>
      <c r="D51" s="50">
        <f>VLOOKUP($A51,'Data Vlaue (Cr)'!$C:$FB,143)</f>
        <v>1421.01</v>
      </c>
      <c r="E51" s="50">
        <f>VLOOKUP($A51,'Data Vlaue (Cr)'!$C:$FB,144)</f>
        <v>2674.93</v>
      </c>
      <c r="F51" s="50">
        <f>VLOOKUP($A51,'Data Vlaue (Cr)'!$C:$FB,146)*100</f>
        <v>-46.88</v>
      </c>
      <c r="G51" s="49">
        <f>VLOOKUP($A51,'Data Vlaue (Cr)'!$C:$FB,43)</f>
        <v>296</v>
      </c>
      <c r="H51" s="49">
        <f>VLOOKUP($A51,'Data Vlaue (Cr)'!$C:$FB,44)</f>
        <v>440</v>
      </c>
      <c r="I51" s="49">
        <f>VLOOKUP($A51,'Data Vlaue (Cr)'!$C:$FB,46)*100</f>
        <v>-32.89</v>
      </c>
      <c r="J51" s="51">
        <f>VLOOKUP($A51,'Data Vlaue (Cr)'!$C:$FB,59)</f>
        <v>807</v>
      </c>
      <c r="K51" s="51">
        <f>VLOOKUP($A51,'Data Vlaue (Cr)'!$C:$FB,60)</f>
        <v>1601</v>
      </c>
      <c r="L51" s="51">
        <f>VLOOKUP($A51,'Data Vlaue (Cr)'!$C:$FB,62)*100</f>
        <v>-49.59</v>
      </c>
      <c r="M51" s="51">
        <f>VLOOKUP($A51,'Data Vlaue (Cr)'!$C:$FB,63)</f>
        <v>291</v>
      </c>
      <c r="N51" s="51">
        <f>VLOOKUP($A51,'Data Vlaue (Cr)'!$C:$FB,64)</f>
        <v>573</v>
      </c>
      <c r="O51" s="51">
        <f>VLOOKUP($A51,'Data Vlaue (Cr)'!$C:$FB,66)*100</f>
        <v>-49.220000000000006</v>
      </c>
    </row>
    <row r="52" spans="1:15" x14ac:dyDescent="0.25">
      <c r="A52" s="101" t="str">
        <f>'Data Vlaue (Cr)'!C47</f>
        <v>COFORGE</v>
      </c>
      <c r="B52" s="50">
        <f>VLOOKUP($A52,'Data Vlaue (Cr)'!$C:$FB,8)</f>
        <v>1655.8</v>
      </c>
      <c r="C52" s="50">
        <f>VLOOKUP($A52,'Data Vlaue (Cr)'!$C:$FB,11)*100</f>
        <v>-0.43</v>
      </c>
      <c r="D52" s="50">
        <f>VLOOKUP($A52,'Data Vlaue (Cr)'!$C:$FB,143)</f>
        <v>1304.74</v>
      </c>
      <c r="E52" s="50">
        <f>VLOOKUP($A52,'Data Vlaue (Cr)'!$C:$FB,144)</f>
        <v>2537.27</v>
      </c>
      <c r="F52" s="50">
        <f>VLOOKUP($A52,'Data Vlaue (Cr)'!$C:$FB,146)*100</f>
        <v>-48.58</v>
      </c>
      <c r="G52" s="49">
        <f>VLOOKUP($A52,'Data Vlaue (Cr)'!$C:$FB,43)</f>
        <v>213</v>
      </c>
      <c r="H52" s="49">
        <f>VLOOKUP($A52,'Data Vlaue (Cr)'!$C:$FB,44)</f>
        <v>478</v>
      </c>
      <c r="I52" s="49">
        <f>VLOOKUP($A52,'Data Vlaue (Cr)'!$C:$FB,46)*100</f>
        <v>-55.510000000000005</v>
      </c>
      <c r="J52" s="51">
        <f>VLOOKUP($A52,'Data Vlaue (Cr)'!$C:$FB,59)</f>
        <v>747</v>
      </c>
      <c r="K52" s="51">
        <f>VLOOKUP($A52,'Data Vlaue (Cr)'!$C:$FB,60)</f>
        <v>1359</v>
      </c>
      <c r="L52" s="51">
        <f>VLOOKUP($A52,'Data Vlaue (Cr)'!$C:$FB,62)*100</f>
        <v>-45.08</v>
      </c>
      <c r="M52" s="51">
        <f>VLOOKUP($A52,'Data Vlaue (Cr)'!$C:$FB,63)</f>
        <v>290</v>
      </c>
      <c r="N52" s="51">
        <f>VLOOKUP($A52,'Data Vlaue (Cr)'!$C:$FB,64)</f>
        <v>599</v>
      </c>
      <c r="O52" s="51">
        <f>VLOOKUP($A52,'Data Vlaue (Cr)'!$C:$FB,66)*100</f>
        <v>-51.5</v>
      </c>
    </row>
    <row r="53" spans="1:15" x14ac:dyDescent="0.25">
      <c r="A53" s="101" t="str">
        <f>'Data Vlaue (Cr)'!C48</f>
        <v>COLPAL</v>
      </c>
      <c r="B53" s="50">
        <f>VLOOKUP($A53,'Data Vlaue (Cr)'!$C:$FB,8)</f>
        <v>2093.8000000000002</v>
      </c>
      <c r="C53" s="50">
        <f>VLOOKUP($A53,'Data Vlaue (Cr)'!$C:$FB,11)*100</f>
        <v>0.86999999999999988</v>
      </c>
      <c r="D53" s="50">
        <f>VLOOKUP($A53,'Data Vlaue (Cr)'!$C:$FB,143)</f>
        <v>408.77</v>
      </c>
      <c r="E53" s="50">
        <f>VLOOKUP($A53,'Data Vlaue (Cr)'!$C:$FB,144)</f>
        <v>503.51</v>
      </c>
      <c r="F53" s="50">
        <f>VLOOKUP($A53,'Data Vlaue (Cr)'!$C:$FB,146)*100</f>
        <v>-18.809999999999999</v>
      </c>
      <c r="G53" s="49">
        <f>VLOOKUP($A53,'Data Vlaue (Cr)'!$C:$FB,43)</f>
        <v>100</v>
      </c>
      <c r="H53" s="49">
        <f>VLOOKUP($A53,'Data Vlaue (Cr)'!$C:$FB,44)</f>
        <v>162</v>
      </c>
      <c r="I53" s="49">
        <f>VLOOKUP($A53,'Data Vlaue (Cr)'!$C:$FB,46)*100</f>
        <v>-38.409999999999997</v>
      </c>
      <c r="J53" s="51">
        <f>VLOOKUP($A53,'Data Vlaue (Cr)'!$C:$FB,59)</f>
        <v>209</v>
      </c>
      <c r="K53" s="51">
        <f>VLOOKUP($A53,'Data Vlaue (Cr)'!$C:$FB,60)</f>
        <v>233</v>
      </c>
      <c r="L53" s="51">
        <f>VLOOKUP($A53,'Data Vlaue (Cr)'!$C:$FB,62)*100</f>
        <v>-10.43</v>
      </c>
      <c r="M53" s="51">
        <f>VLOOKUP($A53,'Data Vlaue (Cr)'!$C:$FB,63)</f>
        <v>95</v>
      </c>
      <c r="N53" s="51">
        <f>VLOOKUP($A53,'Data Vlaue (Cr)'!$C:$FB,64)</f>
        <v>106</v>
      </c>
      <c r="O53" s="51">
        <f>VLOOKUP($A53,'Data Vlaue (Cr)'!$C:$FB,66)*100</f>
        <v>-10.220000000000001</v>
      </c>
    </row>
    <row r="54" spans="1:15" x14ac:dyDescent="0.25">
      <c r="A54" s="101" t="str">
        <f>'Data Vlaue (Cr)'!C49</f>
        <v>CONCOR</v>
      </c>
      <c r="B54" s="50">
        <f>VLOOKUP($A54,'Data Vlaue (Cr)'!$C:$FB,8)</f>
        <v>524.25</v>
      </c>
      <c r="C54" s="50">
        <f>VLOOKUP($A54,'Data Vlaue (Cr)'!$C:$FB,11)*100</f>
        <v>-0.13</v>
      </c>
      <c r="D54" s="50">
        <f>VLOOKUP($A54,'Data Vlaue (Cr)'!$C:$FB,143)</f>
        <v>468.82</v>
      </c>
      <c r="E54" s="50">
        <f>VLOOKUP($A54,'Data Vlaue (Cr)'!$C:$FB,144)</f>
        <v>1122.8</v>
      </c>
      <c r="F54" s="50">
        <f>VLOOKUP($A54,'Data Vlaue (Cr)'!$C:$FB,146)*100</f>
        <v>-58.25</v>
      </c>
      <c r="G54" s="49">
        <f>VLOOKUP($A54,'Data Vlaue (Cr)'!$C:$FB,43)</f>
        <v>96</v>
      </c>
      <c r="H54" s="49">
        <f>VLOOKUP($A54,'Data Vlaue (Cr)'!$C:$FB,44)</f>
        <v>215</v>
      </c>
      <c r="I54" s="49">
        <f>VLOOKUP($A54,'Data Vlaue (Cr)'!$C:$FB,46)*100</f>
        <v>-55.120000000000005</v>
      </c>
      <c r="J54" s="51">
        <f>VLOOKUP($A54,'Data Vlaue (Cr)'!$C:$FB,59)</f>
        <v>287</v>
      </c>
      <c r="K54" s="51">
        <f>VLOOKUP($A54,'Data Vlaue (Cr)'!$C:$FB,60)</f>
        <v>712</v>
      </c>
      <c r="L54" s="51">
        <f>VLOOKUP($A54,'Data Vlaue (Cr)'!$C:$FB,62)*100</f>
        <v>-59.730000000000004</v>
      </c>
      <c r="M54" s="51">
        <f>VLOOKUP($A54,'Data Vlaue (Cr)'!$C:$FB,63)</f>
        <v>73</v>
      </c>
      <c r="N54" s="51">
        <f>VLOOKUP($A54,'Data Vlaue (Cr)'!$C:$FB,64)</f>
        <v>169</v>
      </c>
      <c r="O54" s="51">
        <f>VLOOKUP($A54,'Data Vlaue (Cr)'!$C:$FB,66)*100</f>
        <v>-57.08</v>
      </c>
    </row>
    <row r="55" spans="1:15" x14ac:dyDescent="0.25">
      <c r="A55" s="101" t="str">
        <f>'Data Vlaue (Cr)'!C50</f>
        <v>CROMPTON</v>
      </c>
      <c r="B55" s="50">
        <f>VLOOKUP($A55,'Data Vlaue (Cr)'!$C:$FB,8)</f>
        <v>249.25</v>
      </c>
      <c r="C55" s="50">
        <f>VLOOKUP($A55,'Data Vlaue (Cr)'!$C:$FB,11)*100</f>
        <v>-1.1900000000000002</v>
      </c>
      <c r="D55" s="50">
        <f>VLOOKUP($A55,'Data Vlaue (Cr)'!$C:$FB,143)</f>
        <v>224.73</v>
      </c>
      <c r="E55" s="50">
        <f>VLOOKUP($A55,'Data Vlaue (Cr)'!$C:$FB,144)</f>
        <v>713.21</v>
      </c>
      <c r="F55" s="50">
        <f>VLOOKUP($A55,'Data Vlaue (Cr)'!$C:$FB,146)*100</f>
        <v>-68.489999999999995</v>
      </c>
      <c r="G55" s="49">
        <f>VLOOKUP($A55,'Data Vlaue (Cr)'!$C:$FB,43)</f>
        <v>51</v>
      </c>
      <c r="H55" s="49">
        <f>VLOOKUP($A55,'Data Vlaue (Cr)'!$C:$FB,44)</f>
        <v>171</v>
      </c>
      <c r="I55" s="49">
        <f>VLOOKUP($A55,'Data Vlaue (Cr)'!$C:$FB,46)*100</f>
        <v>-70.11</v>
      </c>
      <c r="J55" s="51">
        <f>VLOOKUP($A55,'Data Vlaue (Cr)'!$C:$FB,59)</f>
        <v>128</v>
      </c>
      <c r="K55" s="51">
        <f>VLOOKUP($A55,'Data Vlaue (Cr)'!$C:$FB,60)</f>
        <v>351</v>
      </c>
      <c r="L55" s="51">
        <f>VLOOKUP($A55,'Data Vlaue (Cr)'!$C:$FB,62)*100</f>
        <v>-63.690000000000005</v>
      </c>
      <c r="M55" s="51">
        <f>VLOOKUP($A55,'Data Vlaue (Cr)'!$C:$FB,63)</f>
        <v>37</v>
      </c>
      <c r="N55" s="51">
        <f>VLOOKUP($A55,'Data Vlaue (Cr)'!$C:$FB,64)</f>
        <v>167</v>
      </c>
      <c r="O55" s="51">
        <f>VLOOKUP($A55,'Data Vlaue (Cr)'!$C:$FB,66)*100</f>
        <v>-77.569999999999993</v>
      </c>
    </row>
    <row r="56" spans="1:15" x14ac:dyDescent="0.25">
      <c r="A56" s="101" t="str">
        <f>'Data Vlaue (Cr)'!C51</f>
        <v>CUMMINSIND</v>
      </c>
      <c r="B56" s="50">
        <f>VLOOKUP($A56,'Data Vlaue (Cr)'!$C:$FB,8)</f>
        <v>4470.6000000000004</v>
      </c>
      <c r="C56" s="50">
        <f>VLOOKUP($A56,'Data Vlaue (Cr)'!$C:$FB,11)*100</f>
        <v>0.82000000000000006</v>
      </c>
      <c r="D56" s="50">
        <f>VLOOKUP($A56,'Data Vlaue (Cr)'!$C:$FB,143)</f>
        <v>1022.99</v>
      </c>
      <c r="E56" s="50">
        <f>VLOOKUP($A56,'Data Vlaue (Cr)'!$C:$FB,144)</f>
        <v>1040.04</v>
      </c>
      <c r="F56" s="50">
        <f>VLOOKUP($A56,'Data Vlaue (Cr)'!$C:$FB,146)*100</f>
        <v>-1.6400000000000001</v>
      </c>
      <c r="G56" s="49">
        <f>VLOOKUP($A56,'Data Vlaue (Cr)'!$C:$FB,43)</f>
        <v>188</v>
      </c>
      <c r="H56" s="49">
        <f>VLOOKUP($A56,'Data Vlaue (Cr)'!$C:$FB,44)</f>
        <v>223</v>
      </c>
      <c r="I56" s="49">
        <f>VLOOKUP($A56,'Data Vlaue (Cr)'!$C:$FB,46)*100</f>
        <v>-15.590000000000002</v>
      </c>
      <c r="J56" s="51">
        <f>VLOOKUP($A56,'Data Vlaue (Cr)'!$C:$FB,59)</f>
        <v>596</v>
      </c>
      <c r="K56" s="51">
        <f>VLOOKUP($A56,'Data Vlaue (Cr)'!$C:$FB,60)</f>
        <v>480</v>
      </c>
      <c r="L56" s="51">
        <f>VLOOKUP($A56,'Data Vlaue (Cr)'!$C:$FB,62)*100</f>
        <v>24.11</v>
      </c>
      <c r="M56" s="51">
        <f>VLOOKUP($A56,'Data Vlaue (Cr)'!$C:$FB,63)</f>
        <v>221</v>
      </c>
      <c r="N56" s="51">
        <f>VLOOKUP($A56,'Data Vlaue (Cr)'!$C:$FB,64)</f>
        <v>332</v>
      </c>
      <c r="O56" s="51">
        <f>VLOOKUP($A56,'Data Vlaue (Cr)'!$C:$FB,66)*100</f>
        <v>-33.43</v>
      </c>
    </row>
    <row r="57" spans="1:15" x14ac:dyDescent="0.25">
      <c r="A57" s="101" t="str">
        <f>'Data Vlaue (Cr)'!C52</f>
        <v>DABUR</v>
      </c>
      <c r="B57" s="50">
        <f>VLOOKUP($A57,'Data Vlaue (Cr)'!$C:$FB,8)</f>
        <v>499.95</v>
      </c>
      <c r="C57" s="50">
        <f>VLOOKUP($A57,'Data Vlaue (Cr)'!$C:$FB,11)*100</f>
        <v>-0.72</v>
      </c>
      <c r="D57" s="50">
        <f>VLOOKUP($A57,'Data Vlaue (Cr)'!$C:$FB,143)</f>
        <v>543.85</v>
      </c>
      <c r="E57" s="50">
        <f>VLOOKUP($A57,'Data Vlaue (Cr)'!$C:$FB,144)</f>
        <v>2332.2800000000002</v>
      </c>
      <c r="F57" s="50">
        <f>VLOOKUP($A57,'Data Vlaue (Cr)'!$C:$FB,146)*100</f>
        <v>-76.680000000000007</v>
      </c>
      <c r="G57" s="49">
        <f>VLOOKUP($A57,'Data Vlaue (Cr)'!$C:$FB,43)</f>
        <v>102</v>
      </c>
      <c r="H57" s="49">
        <f>VLOOKUP($A57,'Data Vlaue (Cr)'!$C:$FB,44)</f>
        <v>389</v>
      </c>
      <c r="I57" s="49">
        <f>VLOOKUP($A57,'Data Vlaue (Cr)'!$C:$FB,46)*100</f>
        <v>-73.929999999999993</v>
      </c>
      <c r="J57" s="51">
        <f>VLOOKUP($A57,'Data Vlaue (Cr)'!$C:$FB,59)</f>
        <v>282</v>
      </c>
      <c r="K57" s="51">
        <f>VLOOKUP($A57,'Data Vlaue (Cr)'!$C:$FB,60)</f>
        <v>1303</v>
      </c>
      <c r="L57" s="51">
        <f>VLOOKUP($A57,'Data Vlaue (Cr)'!$C:$FB,62)*100</f>
        <v>-78.36999999999999</v>
      </c>
      <c r="M57" s="51">
        <f>VLOOKUP($A57,'Data Vlaue (Cr)'!$C:$FB,63)</f>
        <v>149</v>
      </c>
      <c r="N57" s="51">
        <f>VLOOKUP($A57,'Data Vlaue (Cr)'!$C:$FB,64)</f>
        <v>582</v>
      </c>
      <c r="O57" s="51">
        <f>VLOOKUP($A57,'Data Vlaue (Cr)'!$C:$FB,66)*100</f>
        <v>-74.39</v>
      </c>
    </row>
    <row r="58" spans="1:15" x14ac:dyDescent="0.25">
      <c r="A58" s="101" t="str">
        <f>'Data Vlaue (Cr)'!C53</f>
        <v>DALBHARAT</v>
      </c>
      <c r="B58" s="50">
        <f>VLOOKUP($A58,'Data Vlaue (Cr)'!$C:$FB,8)</f>
        <v>2136.1999999999998</v>
      </c>
      <c r="C58" s="50">
        <f>VLOOKUP($A58,'Data Vlaue (Cr)'!$C:$FB,11)*100</f>
        <v>0.25</v>
      </c>
      <c r="D58" s="50">
        <f>VLOOKUP($A58,'Data Vlaue (Cr)'!$C:$FB,143)</f>
        <v>244.2</v>
      </c>
      <c r="E58" s="50">
        <f>VLOOKUP($A58,'Data Vlaue (Cr)'!$C:$FB,144)</f>
        <v>203.78</v>
      </c>
      <c r="F58" s="50">
        <f>VLOOKUP($A58,'Data Vlaue (Cr)'!$C:$FB,146)*100</f>
        <v>19.830000000000002</v>
      </c>
      <c r="G58" s="49">
        <f>VLOOKUP($A58,'Data Vlaue (Cr)'!$C:$FB,43)</f>
        <v>82</v>
      </c>
      <c r="H58" s="49">
        <f>VLOOKUP($A58,'Data Vlaue (Cr)'!$C:$FB,44)</f>
        <v>100</v>
      </c>
      <c r="I58" s="49">
        <f>VLOOKUP($A58,'Data Vlaue (Cr)'!$C:$FB,46)*100</f>
        <v>-18.45</v>
      </c>
      <c r="J58" s="51">
        <f>VLOOKUP($A58,'Data Vlaue (Cr)'!$C:$FB,59)</f>
        <v>125</v>
      </c>
      <c r="K58" s="51">
        <f>VLOOKUP($A58,'Data Vlaue (Cr)'!$C:$FB,60)</f>
        <v>65</v>
      </c>
      <c r="L58" s="51">
        <f>VLOOKUP($A58,'Data Vlaue (Cr)'!$C:$FB,62)*100</f>
        <v>92.800000000000011</v>
      </c>
      <c r="M58" s="51">
        <f>VLOOKUP($A58,'Data Vlaue (Cr)'!$C:$FB,63)</f>
        <v>33</v>
      </c>
      <c r="N58" s="51">
        <f>VLOOKUP($A58,'Data Vlaue (Cr)'!$C:$FB,64)</f>
        <v>37</v>
      </c>
      <c r="O58" s="51">
        <f>VLOOKUP($A58,'Data Vlaue (Cr)'!$C:$FB,66)*100</f>
        <v>-10.33</v>
      </c>
    </row>
    <row r="59" spans="1:15" x14ac:dyDescent="0.25">
      <c r="A59" s="101" t="str">
        <f>'Data Vlaue (Cr)'!C54</f>
        <v>DELHIVERY</v>
      </c>
      <c r="B59" s="50">
        <f>VLOOKUP($A59,'Data Vlaue (Cr)'!$C:$FB,8)</f>
        <v>400.6</v>
      </c>
      <c r="C59" s="50">
        <f>VLOOKUP($A59,'Data Vlaue (Cr)'!$C:$FB,11)*100</f>
        <v>-0.8</v>
      </c>
      <c r="D59" s="50">
        <f>VLOOKUP($A59,'Data Vlaue (Cr)'!$C:$FB,143)</f>
        <v>184.1</v>
      </c>
      <c r="E59" s="50">
        <f>VLOOKUP($A59,'Data Vlaue (Cr)'!$C:$FB,144)</f>
        <v>342.38</v>
      </c>
      <c r="F59" s="50">
        <f>VLOOKUP($A59,'Data Vlaue (Cr)'!$C:$FB,146)*100</f>
        <v>-46.23</v>
      </c>
      <c r="G59" s="49">
        <f>VLOOKUP($A59,'Data Vlaue (Cr)'!$C:$FB,43)</f>
        <v>52</v>
      </c>
      <c r="H59" s="49">
        <f>VLOOKUP($A59,'Data Vlaue (Cr)'!$C:$FB,44)</f>
        <v>82</v>
      </c>
      <c r="I59" s="49">
        <f>VLOOKUP($A59,'Data Vlaue (Cr)'!$C:$FB,46)*100</f>
        <v>-36.020000000000003</v>
      </c>
      <c r="J59" s="51">
        <f>VLOOKUP($A59,'Data Vlaue (Cr)'!$C:$FB,59)</f>
        <v>91</v>
      </c>
      <c r="K59" s="51">
        <f>VLOOKUP($A59,'Data Vlaue (Cr)'!$C:$FB,60)</f>
        <v>161</v>
      </c>
      <c r="L59" s="51">
        <f>VLOOKUP($A59,'Data Vlaue (Cr)'!$C:$FB,62)*100</f>
        <v>-43.59</v>
      </c>
      <c r="M59" s="51">
        <f>VLOOKUP($A59,'Data Vlaue (Cr)'!$C:$FB,63)</f>
        <v>37</v>
      </c>
      <c r="N59" s="51">
        <f>VLOOKUP($A59,'Data Vlaue (Cr)'!$C:$FB,64)</f>
        <v>89</v>
      </c>
      <c r="O59" s="51">
        <f>VLOOKUP($A59,'Data Vlaue (Cr)'!$C:$FB,66)*100</f>
        <v>-58.58</v>
      </c>
    </row>
    <row r="60" spans="1:15" x14ac:dyDescent="0.25">
      <c r="A60" s="101" t="str">
        <f>'Data Vlaue (Cr)'!C55</f>
        <v>DIVISLAB</v>
      </c>
      <c r="B60" s="50">
        <f>VLOOKUP($A60,'Data Vlaue (Cr)'!$C:$FB,8)</f>
        <v>6344</v>
      </c>
      <c r="C60" s="50">
        <f>VLOOKUP($A60,'Data Vlaue (Cr)'!$C:$FB,11)*100</f>
        <v>-0.76</v>
      </c>
      <c r="D60" s="50">
        <f>VLOOKUP($A60,'Data Vlaue (Cr)'!$C:$FB,143)</f>
        <v>676</v>
      </c>
      <c r="E60" s="50">
        <f>VLOOKUP($A60,'Data Vlaue (Cr)'!$C:$FB,144)</f>
        <v>1093.48</v>
      </c>
      <c r="F60" s="50">
        <f>VLOOKUP($A60,'Data Vlaue (Cr)'!$C:$FB,146)*100</f>
        <v>-38.18</v>
      </c>
      <c r="G60" s="49">
        <f>VLOOKUP($A60,'Data Vlaue (Cr)'!$C:$FB,43)</f>
        <v>115</v>
      </c>
      <c r="H60" s="49">
        <f>VLOOKUP($A60,'Data Vlaue (Cr)'!$C:$FB,44)</f>
        <v>219</v>
      </c>
      <c r="I60" s="49">
        <f>VLOOKUP($A60,'Data Vlaue (Cr)'!$C:$FB,46)*100</f>
        <v>-47.510000000000005</v>
      </c>
      <c r="J60" s="51">
        <f>VLOOKUP($A60,'Data Vlaue (Cr)'!$C:$FB,59)</f>
        <v>367</v>
      </c>
      <c r="K60" s="51">
        <f>VLOOKUP($A60,'Data Vlaue (Cr)'!$C:$FB,60)</f>
        <v>541</v>
      </c>
      <c r="L60" s="51">
        <f>VLOOKUP($A60,'Data Vlaue (Cr)'!$C:$FB,62)*100</f>
        <v>-32.25</v>
      </c>
      <c r="M60" s="51">
        <f>VLOOKUP($A60,'Data Vlaue (Cr)'!$C:$FB,63)</f>
        <v>181</v>
      </c>
      <c r="N60" s="51">
        <f>VLOOKUP($A60,'Data Vlaue (Cr)'!$C:$FB,64)</f>
        <v>313</v>
      </c>
      <c r="O60" s="51">
        <f>VLOOKUP($A60,'Data Vlaue (Cr)'!$C:$FB,66)*100</f>
        <v>-42.32</v>
      </c>
    </row>
    <row r="61" spans="1:15" x14ac:dyDescent="0.25">
      <c r="A61" s="101" t="str">
        <f>'Data Vlaue (Cr)'!C56</f>
        <v>DIXON</v>
      </c>
      <c r="B61" s="50">
        <f>VLOOKUP($A61,'Data Vlaue (Cr)'!$C:$FB,8)</f>
        <v>12091</v>
      </c>
      <c r="C61" s="50">
        <f>VLOOKUP($A61,'Data Vlaue (Cr)'!$C:$FB,11)*100</f>
        <v>-0.09</v>
      </c>
      <c r="D61" s="50">
        <f>VLOOKUP($A61,'Data Vlaue (Cr)'!$C:$FB,143)</f>
        <v>8835.56</v>
      </c>
      <c r="E61" s="50">
        <f>VLOOKUP($A61,'Data Vlaue (Cr)'!$C:$FB,144)</f>
        <v>12039.76</v>
      </c>
      <c r="F61" s="50">
        <f>VLOOKUP($A61,'Data Vlaue (Cr)'!$C:$FB,146)*100</f>
        <v>-26.61</v>
      </c>
      <c r="G61" s="49">
        <f>VLOOKUP($A61,'Data Vlaue (Cr)'!$C:$FB,43)</f>
        <v>1153</v>
      </c>
      <c r="H61" s="49">
        <f>VLOOKUP($A61,'Data Vlaue (Cr)'!$C:$FB,44)</f>
        <v>1364</v>
      </c>
      <c r="I61" s="49">
        <f>VLOOKUP($A61,'Data Vlaue (Cr)'!$C:$FB,46)*100</f>
        <v>-15.479999999999999</v>
      </c>
      <c r="J61" s="51">
        <f>VLOOKUP($A61,'Data Vlaue (Cr)'!$C:$FB,59)</f>
        <v>4607</v>
      </c>
      <c r="K61" s="51">
        <f>VLOOKUP($A61,'Data Vlaue (Cr)'!$C:$FB,60)</f>
        <v>6423</v>
      </c>
      <c r="L61" s="51">
        <f>VLOOKUP($A61,'Data Vlaue (Cr)'!$C:$FB,62)*100</f>
        <v>-28.27</v>
      </c>
      <c r="M61" s="51">
        <f>VLOOKUP($A61,'Data Vlaue (Cr)'!$C:$FB,63)</f>
        <v>2833</v>
      </c>
      <c r="N61" s="51">
        <f>VLOOKUP($A61,'Data Vlaue (Cr)'!$C:$FB,64)</f>
        <v>3937</v>
      </c>
      <c r="O61" s="51">
        <f>VLOOKUP($A61,'Data Vlaue (Cr)'!$C:$FB,66)*100</f>
        <v>-28.060000000000002</v>
      </c>
    </row>
    <row r="62" spans="1:15" x14ac:dyDescent="0.25">
      <c r="A62" s="101" t="str">
        <f>'Data Vlaue (Cr)'!C57</f>
        <v>DLF</v>
      </c>
      <c r="B62" s="50">
        <f>VLOOKUP($A62,'Data Vlaue (Cr)'!$C:$FB,8)</f>
        <v>691.4</v>
      </c>
      <c r="C62" s="50">
        <f>VLOOKUP($A62,'Data Vlaue (Cr)'!$C:$FB,11)*100</f>
        <v>0.57999999999999996</v>
      </c>
      <c r="D62" s="50">
        <f>VLOOKUP($A62,'Data Vlaue (Cr)'!$C:$FB,143)</f>
        <v>1315.64</v>
      </c>
      <c r="E62" s="50">
        <f>VLOOKUP($A62,'Data Vlaue (Cr)'!$C:$FB,144)</f>
        <v>1412.79</v>
      </c>
      <c r="F62" s="50">
        <f>VLOOKUP($A62,'Data Vlaue (Cr)'!$C:$FB,146)*100</f>
        <v>-6.88</v>
      </c>
      <c r="G62" s="49">
        <f>VLOOKUP($A62,'Data Vlaue (Cr)'!$C:$FB,43)</f>
        <v>267</v>
      </c>
      <c r="H62" s="49">
        <f>VLOOKUP($A62,'Data Vlaue (Cr)'!$C:$FB,44)</f>
        <v>324</v>
      </c>
      <c r="I62" s="49">
        <f>VLOOKUP($A62,'Data Vlaue (Cr)'!$C:$FB,46)*100</f>
        <v>-17.630000000000003</v>
      </c>
      <c r="J62" s="51">
        <f>VLOOKUP($A62,'Data Vlaue (Cr)'!$C:$FB,59)</f>
        <v>659</v>
      </c>
      <c r="K62" s="51">
        <f>VLOOKUP($A62,'Data Vlaue (Cr)'!$C:$FB,60)</f>
        <v>739</v>
      </c>
      <c r="L62" s="51">
        <f>VLOOKUP($A62,'Data Vlaue (Cr)'!$C:$FB,62)*100</f>
        <v>-10.8</v>
      </c>
      <c r="M62" s="51">
        <f>VLOOKUP($A62,'Data Vlaue (Cr)'!$C:$FB,63)</f>
        <v>372</v>
      </c>
      <c r="N62" s="51">
        <f>VLOOKUP($A62,'Data Vlaue (Cr)'!$C:$FB,64)</f>
        <v>326</v>
      </c>
      <c r="O62" s="51">
        <f>VLOOKUP($A62,'Data Vlaue (Cr)'!$C:$FB,66)*100</f>
        <v>14.16</v>
      </c>
    </row>
    <row r="63" spans="1:15" x14ac:dyDescent="0.25">
      <c r="A63" s="101" t="str">
        <f>'Data Vlaue (Cr)'!C58</f>
        <v>DMART</v>
      </c>
      <c r="B63" s="50">
        <f>VLOOKUP($A63,'Data Vlaue (Cr)'!$C:$FB,8)</f>
        <v>3716.1</v>
      </c>
      <c r="C63" s="50">
        <f>VLOOKUP($A63,'Data Vlaue (Cr)'!$C:$FB,11)*100</f>
        <v>-1.7500000000000002</v>
      </c>
      <c r="D63" s="50">
        <f>VLOOKUP($A63,'Data Vlaue (Cr)'!$C:$FB,143)</f>
        <v>1237.6099999999999</v>
      </c>
      <c r="E63" s="50">
        <f>VLOOKUP($A63,'Data Vlaue (Cr)'!$C:$FB,144)</f>
        <v>1066.1600000000001</v>
      </c>
      <c r="F63" s="50">
        <f>VLOOKUP($A63,'Data Vlaue (Cr)'!$C:$FB,146)*100</f>
        <v>16.079999999999998</v>
      </c>
      <c r="G63" s="49">
        <f>VLOOKUP($A63,'Data Vlaue (Cr)'!$C:$FB,43)</f>
        <v>302</v>
      </c>
      <c r="H63" s="49">
        <f>VLOOKUP($A63,'Data Vlaue (Cr)'!$C:$FB,44)</f>
        <v>268</v>
      </c>
      <c r="I63" s="49">
        <f>VLOOKUP($A63,'Data Vlaue (Cr)'!$C:$FB,46)*100</f>
        <v>12.509999999999998</v>
      </c>
      <c r="J63" s="51">
        <f>VLOOKUP($A63,'Data Vlaue (Cr)'!$C:$FB,59)</f>
        <v>516</v>
      </c>
      <c r="K63" s="51">
        <f>VLOOKUP($A63,'Data Vlaue (Cr)'!$C:$FB,60)</f>
        <v>498</v>
      </c>
      <c r="L63" s="51">
        <f>VLOOKUP($A63,'Data Vlaue (Cr)'!$C:$FB,62)*100</f>
        <v>3.63</v>
      </c>
      <c r="M63" s="51">
        <f>VLOOKUP($A63,'Data Vlaue (Cr)'!$C:$FB,63)</f>
        <v>384</v>
      </c>
      <c r="N63" s="51">
        <f>VLOOKUP($A63,'Data Vlaue (Cr)'!$C:$FB,64)</f>
        <v>257</v>
      </c>
      <c r="O63" s="51">
        <f>VLOOKUP($A63,'Data Vlaue (Cr)'!$C:$FB,66)*100</f>
        <v>49.480000000000004</v>
      </c>
    </row>
    <row r="64" spans="1:15" x14ac:dyDescent="0.25">
      <c r="A64" s="101" t="str">
        <f>'Data Vlaue (Cr)'!C59</f>
        <v>DRREDDY</v>
      </c>
      <c r="B64" s="50">
        <f>VLOOKUP($A64,'Data Vlaue (Cr)'!$C:$FB,8)</f>
        <v>1253.4000000000001</v>
      </c>
      <c r="C64" s="50">
        <f>VLOOKUP($A64,'Data Vlaue (Cr)'!$C:$FB,11)*100</f>
        <v>-1.4200000000000002</v>
      </c>
      <c r="D64" s="50">
        <f>VLOOKUP($A64,'Data Vlaue (Cr)'!$C:$FB,143)</f>
        <v>1248.83</v>
      </c>
      <c r="E64" s="50">
        <f>VLOOKUP($A64,'Data Vlaue (Cr)'!$C:$FB,144)</f>
        <v>685.62</v>
      </c>
      <c r="F64" s="50">
        <f>VLOOKUP($A64,'Data Vlaue (Cr)'!$C:$FB,146)*100</f>
        <v>82.15</v>
      </c>
      <c r="G64" s="49">
        <f>VLOOKUP($A64,'Data Vlaue (Cr)'!$C:$FB,43)</f>
        <v>165</v>
      </c>
      <c r="H64" s="49">
        <f>VLOOKUP($A64,'Data Vlaue (Cr)'!$C:$FB,44)</f>
        <v>132</v>
      </c>
      <c r="I64" s="49">
        <f>VLOOKUP($A64,'Data Vlaue (Cr)'!$C:$FB,46)*100</f>
        <v>24.87</v>
      </c>
      <c r="J64" s="51">
        <f>VLOOKUP($A64,'Data Vlaue (Cr)'!$C:$FB,59)</f>
        <v>563</v>
      </c>
      <c r="K64" s="51">
        <f>VLOOKUP($A64,'Data Vlaue (Cr)'!$C:$FB,60)</f>
        <v>366</v>
      </c>
      <c r="L64" s="51">
        <f>VLOOKUP($A64,'Data Vlaue (Cr)'!$C:$FB,62)*100</f>
        <v>54.04</v>
      </c>
      <c r="M64" s="51">
        <f>VLOOKUP($A64,'Data Vlaue (Cr)'!$C:$FB,63)</f>
        <v>498</v>
      </c>
      <c r="N64" s="51">
        <f>VLOOKUP($A64,'Data Vlaue (Cr)'!$C:$FB,64)</f>
        <v>167</v>
      </c>
      <c r="O64" s="51">
        <f>VLOOKUP($A64,'Data Vlaue (Cr)'!$C:$FB,66)*100</f>
        <v>198.21</v>
      </c>
    </row>
    <row r="65" spans="1:15" x14ac:dyDescent="0.25">
      <c r="A65" s="101" t="str">
        <f>'Data Vlaue (Cr)'!C60</f>
        <v>EICHERMOT</v>
      </c>
      <c r="B65" s="50">
        <f>VLOOKUP($A65,'Data Vlaue (Cr)'!$C:$FB,8)</f>
        <v>7348</v>
      </c>
      <c r="C65" s="50">
        <f>VLOOKUP($A65,'Data Vlaue (Cr)'!$C:$FB,11)*100</f>
        <v>0.49</v>
      </c>
      <c r="D65" s="50">
        <f>VLOOKUP($A65,'Data Vlaue (Cr)'!$C:$FB,143)</f>
        <v>2591.1799999999998</v>
      </c>
      <c r="E65" s="50">
        <f>VLOOKUP($A65,'Data Vlaue (Cr)'!$C:$FB,144)</f>
        <v>3060.14</v>
      </c>
      <c r="F65" s="50">
        <f>VLOOKUP($A65,'Data Vlaue (Cr)'!$C:$FB,146)*100</f>
        <v>-15.32</v>
      </c>
      <c r="G65" s="49">
        <f>VLOOKUP($A65,'Data Vlaue (Cr)'!$C:$FB,43)</f>
        <v>314</v>
      </c>
      <c r="H65" s="49">
        <f>VLOOKUP($A65,'Data Vlaue (Cr)'!$C:$FB,44)</f>
        <v>447</v>
      </c>
      <c r="I65" s="49">
        <f>VLOOKUP($A65,'Data Vlaue (Cr)'!$C:$FB,46)*100</f>
        <v>-29.84</v>
      </c>
      <c r="J65" s="51">
        <f>VLOOKUP($A65,'Data Vlaue (Cr)'!$C:$FB,59)</f>
        <v>1536</v>
      </c>
      <c r="K65" s="51">
        <f>VLOOKUP($A65,'Data Vlaue (Cr)'!$C:$FB,60)</f>
        <v>1831</v>
      </c>
      <c r="L65" s="51">
        <f>VLOOKUP($A65,'Data Vlaue (Cr)'!$C:$FB,62)*100</f>
        <v>-16.100000000000001</v>
      </c>
      <c r="M65" s="51">
        <f>VLOOKUP($A65,'Data Vlaue (Cr)'!$C:$FB,63)</f>
        <v>714</v>
      </c>
      <c r="N65" s="51">
        <f>VLOOKUP($A65,'Data Vlaue (Cr)'!$C:$FB,64)</f>
        <v>765</v>
      </c>
      <c r="O65" s="51">
        <f>VLOOKUP($A65,'Data Vlaue (Cr)'!$C:$FB,66)*100</f>
        <v>-6.59</v>
      </c>
    </row>
    <row r="66" spans="1:15" x14ac:dyDescent="0.25">
      <c r="A66" s="101" t="str">
        <f>'Data Vlaue (Cr)'!C61</f>
        <v>ETERNAL</v>
      </c>
      <c r="B66" s="50">
        <f>VLOOKUP($A66,'Data Vlaue (Cr)'!$C:$FB,8)</f>
        <v>283.8</v>
      </c>
      <c r="C66" s="50">
        <f>VLOOKUP($A66,'Data Vlaue (Cr)'!$C:$FB,11)*100</f>
        <v>2.0699999999999998</v>
      </c>
      <c r="D66" s="50">
        <f>VLOOKUP($A66,'Data Vlaue (Cr)'!$C:$FB,143)</f>
        <v>2407.5100000000002</v>
      </c>
      <c r="E66" s="50">
        <f>VLOOKUP($A66,'Data Vlaue (Cr)'!$C:$FB,144)</f>
        <v>2531.29</v>
      </c>
      <c r="F66" s="50">
        <f>VLOOKUP($A66,'Data Vlaue (Cr)'!$C:$FB,146)*100</f>
        <v>-4.8899999999999997</v>
      </c>
      <c r="G66" s="49">
        <f>VLOOKUP($A66,'Data Vlaue (Cr)'!$C:$FB,43)</f>
        <v>469</v>
      </c>
      <c r="H66" s="49">
        <f>VLOOKUP($A66,'Data Vlaue (Cr)'!$C:$FB,44)</f>
        <v>582</v>
      </c>
      <c r="I66" s="49">
        <f>VLOOKUP($A66,'Data Vlaue (Cr)'!$C:$FB,46)*100</f>
        <v>-19.53</v>
      </c>
      <c r="J66" s="51">
        <f>VLOOKUP($A66,'Data Vlaue (Cr)'!$C:$FB,59)</f>
        <v>1275</v>
      </c>
      <c r="K66" s="51">
        <f>VLOOKUP($A66,'Data Vlaue (Cr)'!$C:$FB,60)</f>
        <v>1109</v>
      </c>
      <c r="L66" s="51">
        <f>VLOOKUP($A66,'Data Vlaue (Cr)'!$C:$FB,62)*100</f>
        <v>15.02</v>
      </c>
      <c r="M66" s="51">
        <f>VLOOKUP($A66,'Data Vlaue (Cr)'!$C:$FB,63)</f>
        <v>614</v>
      </c>
      <c r="N66" s="51">
        <f>VLOOKUP($A66,'Data Vlaue (Cr)'!$C:$FB,64)</f>
        <v>824</v>
      </c>
      <c r="O66" s="51">
        <f>VLOOKUP($A66,'Data Vlaue (Cr)'!$C:$FB,66)*100</f>
        <v>-25.5</v>
      </c>
    </row>
    <row r="67" spans="1:15" x14ac:dyDescent="0.25">
      <c r="A67" s="101" t="str">
        <f>'Data Vlaue (Cr)'!C62</f>
        <v>EXIDEIND</v>
      </c>
      <c r="B67" s="50">
        <f>VLOOKUP($A67,'Data Vlaue (Cr)'!$C:$FB,8)</f>
        <v>363.25</v>
      </c>
      <c r="C67" s="50">
        <f>VLOOKUP($A67,'Data Vlaue (Cr)'!$C:$FB,11)*100</f>
        <v>0.28999999999999998</v>
      </c>
      <c r="D67" s="50">
        <f>VLOOKUP($A67,'Data Vlaue (Cr)'!$C:$FB,143)</f>
        <v>327.89</v>
      </c>
      <c r="E67" s="50">
        <f>VLOOKUP($A67,'Data Vlaue (Cr)'!$C:$FB,144)</f>
        <v>438.67</v>
      </c>
      <c r="F67" s="50">
        <f>VLOOKUP($A67,'Data Vlaue (Cr)'!$C:$FB,146)*100</f>
        <v>-25.25</v>
      </c>
      <c r="G67" s="49">
        <f>VLOOKUP($A67,'Data Vlaue (Cr)'!$C:$FB,43)</f>
        <v>65</v>
      </c>
      <c r="H67" s="49">
        <f>VLOOKUP($A67,'Data Vlaue (Cr)'!$C:$FB,44)</f>
        <v>100</v>
      </c>
      <c r="I67" s="49">
        <f>VLOOKUP($A67,'Data Vlaue (Cr)'!$C:$FB,46)*100</f>
        <v>-34.96</v>
      </c>
      <c r="J67" s="51">
        <f>VLOOKUP($A67,'Data Vlaue (Cr)'!$C:$FB,59)</f>
        <v>195</v>
      </c>
      <c r="K67" s="51">
        <f>VLOOKUP($A67,'Data Vlaue (Cr)'!$C:$FB,60)</f>
        <v>236</v>
      </c>
      <c r="L67" s="51">
        <f>VLOOKUP($A67,'Data Vlaue (Cr)'!$C:$FB,62)*100</f>
        <v>-17.399999999999999</v>
      </c>
      <c r="M67" s="51">
        <f>VLOOKUP($A67,'Data Vlaue (Cr)'!$C:$FB,63)</f>
        <v>64</v>
      </c>
      <c r="N67" s="51">
        <f>VLOOKUP($A67,'Data Vlaue (Cr)'!$C:$FB,64)</f>
        <v>98</v>
      </c>
      <c r="O67" s="51">
        <f>VLOOKUP($A67,'Data Vlaue (Cr)'!$C:$FB,66)*100</f>
        <v>-35.18</v>
      </c>
    </row>
    <row r="68" spans="1:15" x14ac:dyDescent="0.25">
      <c r="A68" s="101" t="str">
        <f>'Data Vlaue (Cr)'!C63</f>
        <v>FEDERALBNK</v>
      </c>
      <c r="B68" s="50">
        <f>VLOOKUP($A68,'Data Vlaue (Cr)'!$C:$FB,8)</f>
        <v>266.25</v>
      </c>
      <c r="C68" s="50">
        <f>VLOOKUP($A68,'Data Vlaue (Cr)'!$C:$FB,11)*100</f>
        <v>-0.32</v>
      </c>
      <c r="D68" s="50">
        <f>VLOOKUP($A68,'Data Vlaue (Cr)'!$C:$FB,143)</f>
        <v>1059.8900000000001</v>
      </c>
      <c r="E68" s="50">
        <f>VLOOKUP($A68,'Data Vlaue (Cr)'!$C:$FB,144)</f>
        <v>1757.58</v>
      </c>
      <c r="F68" s="50">
        <f>VLOOKUP($A68,'Data Vlaue (Cr)'!$C:$FB,146)*100</f>
        <v>-39.700000000000003</v>
      </c>
      <c r="G68" s="49">
        <f>VLOOKUP($A68,'Data Vlaue (Cr)'!$C:$FB,43)</f>
        <v>189</v>
      </c>
      <c r="H68" s="49">
        <f>VLOOKUP($A68,'Data Vlaue (Cr)'!$C:$FB,44)</f>
        <v>398</v>
      </c>
      <c r="I68" s="49">
        <f>VLOOKUP($A68,'Data Vlaue (Cr)'!$C:$FB,46)*100</f>
        <v>-52.359999999999992</v>
      </c>
      <c r="J68" s="51">
        <f>VLOOKUP($A68,'Data Vlaue (Cr)'!$C:$FB,59)</f>
        <v>506</v>
      </c>
      <c r="K68" s="51">
        <f>VLOOKUP($A68,'Data Vlaue (Cr)'!$C:$FB,60)</f>
        <v>836</v>
      </c>
      <c r="L68" s="51">
        <f>VLOOKUP($A68,'Data Vlaue (Cr)'!$C:$FB,62)*100</f>
        <v>-39.54</v>
      </c>
      <c r="M68" s="51">
        <f>VLOOKUP($A68,'Data Vlaue (Cr)'!$C:$FB,63)</f>
        <v>346</v>
      </c>
      <c r="N68" s="51">
        <f>VLOOKUP($A68,'Data Vlaue (Cr)'!$C:$FB,64)</f>
        <v>488</v>
      </c>
      <c r="O68" s="51">
        <f>VLOOKUP($A68,'Data Vlaue (Cr)'!$C:$FB,66)*100</f>
        <v>-29.14</v>
      </c>
    </row>
    <row r="69" spans="1:15" x14ac:dyDescent="0.25">
      <c r="A69" s="101" t="str">
        <f>'Data Vlaue (Cr)'!C64</f>
        <v>FINNIFTY</v>
      </c>
      <c r="B69" s="50">
        <f>VLOOKUP($A69,'Data Vlaue (Cr)'!$C:$FB,8)</f>
        <v>27666.799999999999</v>
      </c>
      <c r="C69" s="50">
        <f>VLOOKUP($A69,'Data Vlaue (Cr)'!$C:$FB,11)*100</f>
        <v>0.19</v>
      </c>
      <c r="D69" s="50">
        <f>VLOOKUP($A69,'Data Vlaue (Cr)'!$C:$FB,143)</f>
        <v>1852.66</v>
      </c>
      <c r="E69" s="50">
        <f>VLOOKUP($A69,'Data Vlaue (Cr)'!$C:$FB,144)</f>
        <v>2696.45</v>
      </c>
      <c r="F69" s="50">
        <f>VLOOKUP($A69,'Data Vlaue (Cr)'!$C:$FB,146)*100</f>
        <v>-31.290000000000003</v>
      </c>
      <c r="G69" s="49">
        <f>VLOOKUP($A69,'Data Vlaue (Cr)'!$C:$FB,43)</f>
        <v>33</v>
      </c>
      <c r="H69" s="49">
        <f>VLOOKUP($A69,'Data Vlaue (Cr)'!$C:$FB,44)</f>
        <v>76</v>
      </c>
      <c r="I69" s="49">
        <f>VLOOKUP($A69,'Data Vlaue (Cr)'!$C:$FB,46)*100</f>
        <v>-56.48</v>
      </c>
      <c r="J69" s="51">
        <f>VLOOKUP($A69,'Data Vlaue (Cr)'!$C:$FB,59)</f>
        <v>872</v>
      </c>
      <c r="K69" s="51">
        <f>VLOOKUP($A69,'Data Vlaue (Cr)'!$C:$FB,60)</f>
        <v>1453</v>
      </c>
      <c r="L69" s="51">
        <f>VLOOKUP($A69,'Data Vlaue (Cr)'!$C:$FB,62)*100</f>
        <v>-39.94</v>
      </c>
      <c r="M69" s="51">
        <f>VLOOKUP($A69,'Data Vlaue (Cr)'!$C:$FB,63)</f>
        <v>939</v>
      </c>
      <c r="N69" s="51">
        <f>VLOOKUP($A69,'Data Vlaue (Cr)'!$C:$FB,64)</f>
        <v>1150</v>
      </c>
      <c r="O69" s="51">
        <f>VLOOKUP($A69,'Data Vlaue (Cr)'!$C:$FB,66)*100</f>
        <v>-18.38</v>
      </c>
    </row>
    <row r="70" spans="1:15" x14ac:dyDescent="0.25">
      <c r="A70" s="101" t="str">
        <f>'Data Vlaue (Cr)'!C65</f>
        <v>FORTIS</v>
      </c>
      <c r="B70" s="50">
        <f>VLOOKUP($A70,'Data Vlaue (Cr)'!$C:$FB,8)</f>
        <v>900.55</v>
      </c>
      <c r="C70" s="50">
        <f>VLOOKUP($A70,'Data Vlaue (Cr)'!$C:$FB,11)*100</f>
        <v>1.87</v>
      </c>
      <c r="D70" s="50">
        <f>VLOOKUP($A70,'Data Vlaue (Cr)'!$C:$FB,143)</f>
        <v>444.19</v>
      </c>
      <c r="E70" s="50">
        <f>VLOOKUP($A70,'Data Vlaue (Cr)'!$C:$FB,144)</f>
        <v>201.82</v>
      </c>
      <c r="F70" s="50">
        <f>VLOOKUP($A70,'Data Vlaue (Cr)'!$C:$FB,146)*100</f>
        <v>120.09</v>
      </c>
      <c r="G70" s="49">
        <f>VLOOKUP($A70,'Data Vlaue (Cr)'!$C:$FB,43)</f>
        <v>124</v>
      </c>
      <c r="H70" s="49">
        <f>VLOOKUP($A70,'Data Vlaue (Cr)'!$C:$FB,44)</f>
        <v>90</v>
      </c>
      <c r="I70" s="49">
        <f>VLOOKUP($A70,'Data Vlaue (Cr)'!$C:$FB,46)*100</f>
        <v>36.93</v>
      </c>
      <c r="J70" s="51">
        <f>VLOOKUP($A70,'Data Vlaue (Cr)'!$C:$FB,59)</f>
        <v>255</v>
      </c>
      <c r="K70" s="51">
        <f>VLOOKUP($A70,'Data Vlaue (Cr)'!$C:$FB,60)</f>
        <v>83</v>
      </c>
      <c r="L70" s="51">
        <f>VLOOKUP($A70,'Data Vlaue (Cr)'!$C:$FB,62)*100</f>
        <v>205.88000000000002</v>
      </c>
      <c r="M70" s="51">
        <f>VLOOKUP($A70,'Data Vlaue (Cr)'!$C:$FB,63)</f>
        <v>57</v>
      </c>
      <c r="N70" s="51">
        <f>VLOOKUP($A70,'Data Vlaue (Cr)'!$C:$FB,64)</f>
        <v>27</v>
      </c>
      <c r="O70" s="51">
        <f>VLOOKUP($A70,'Data Vlaue (Cr)'!$C:$FB,66)*100</f>
        <v>106.67</v>
      </c>
    </row>
    <row r="71" spans="1:15" x14ac:dyDescent="0.25">
      <c r="A71" s="101" t="str">
        <f>'Data Vlaue (Cr)'!C66</f>
        <v>GAIL</v>
      </c>
      <c r="B71" s="50">
        <f>VLOOKUP($A71,'Data Vlaue (Cr)'!$C:$FB,8)</f>
        <v>171.77</v>
      </c>
      <c r="C71" s="50">
        <f>VLOOKUP($A71,'Data Vlaue (Cr)'!$C:$FB,11)*100</f>
        <v>-0.22999999999999998</v>
      </c>
      <c r="D71" s="50">
        <f>VLOOKUP($A71,'Data Vlaue (Cr)'!$C:$FB,143)</f>
        <v>339.68</v>
      </c>
      <c r="E71" s="50">
        <f>VLOOKUP($A71,'Data Vlaue (Cr)'!$C:$FB,144)</f>
        <v>730.17</v>
      </c>
      <c r="F71" s="50">
        <f>VLOOKUP($A71,'Data Vlaue (Cr)'!$C:$FB,146)*100</f>
        <v>-53.480000000000004</v>
      </c>
      <c r="G71" s="49">
        <f>VLOOKUP($A71,'Data Vlaue (Cr)'!$C:$FB,43)</f>
        <v>67</v>
      </c>
      <c r="H71" s="49">
        <f>VLOOKUP($A71,'Data Vlaue (Cr)'!$C:$FB,44)</f>
        <v>163</v>
      </c>
      <c r="I71" s="49">
        <f>VLOOKUP($A71,'Data Vlaue (Cr)'!$C:$FB,46)*100</f>
        <v>-58.86</v>
      </c>
      <c r="J71" s="51">
        <f>VLOOKUP($A71,'Data Vlaue (Cr)'!$C:$FB,59)</f>
        <v>181</v>
      </c>
      <c r="K71" s="51">
        <f>VLOOKUP($A71,'Data Vlaue (Cr)'!$C:$FB,60)</f>
        <v>308</v>
      </c>
      <c r="L71" s="51">
        <f>VLOOKUP($A71,'Data Vlaue (Cr)'!$C:$FB,62)*100</f>
        <v>-41.21</v>
      </c>
      <c r="M71" s="51">
        <f>VLOOKUP($A71,'Data Vlaue (Cr)'!$C:$FB,63)</f>
        <v>85</v>
      </c>
      <c r="N71" s="51">
        <f>VLOOKUP($A71,'Data Vlaue (Cr)'!$C:$FB,64)</f>
        <v>247</v>
      </c>
      <c r="O71" s="51">
        <f>VLOOKUP($A71,'Data Vlaue (Cr)'!$C:$FB,66)*100</f>
        <v>-65.39</v>
      </c>
    </row>
    <row r="72" spans="1:15" x14ac:dyDescent="0.25">
      <c r="A72" s="101" t="str">
        <f>'Data Vlaue (Cr)'!C67</f>
        <v>GLENMARK</v>
      </c>
      <c r="B72" s="50">
        <f>VLOOKUP($A72,'Data Vlaue (Cr)'!$C:$FB,8)</f>
        <v>2026.2</v>
      </c>
      <c r="C72" s="50">
        <f>VLOOKUP($A72,'Data Vlaue (Cr)'!$C:$FB,11)*100</f>
        <v>-0.44</v>
      </c>
      <c r="D72" s="50">
        <f>VLOOKUP($A72,'Data Vlaue (Cr)'!$C:$FB,143)</f>
        <v>464.8</v>
      </c>
      <c r="E72" s="50">
        <f>VLOOKUP($A72,'Data Vlaue (Cr)'!$C:$FB,144)</f>
        <v>821.44</v>
      </c>
      <c r="F72" s="50">
        <f>VLOOKUP($A72,'Data Vlaue (Cr)'!$C:$FB,146)*100</f>
        <v>-43.419999999999995</v>
      </c>
      <c r="G72" s="49">
        <f>VLOOKUP($A72,'Data Vlaue (Cr)'!$C:$FB,43)</f>
        <v>125</v>
      </c>
      <c r="H72" s="49">
        <f>VLOOKUP($A72,'Data Vlaue (Cr)'!$C:$FB,44)</f>
        <v>202</v>
      </c>
      <c r="I72" s="49">
        <f>VLOOKUP($A72,'Data Vlaue (Cr)'!$C:$FB,46)*100</f>
        <v>-37.81</v>
      </c>
      <c r="J72" s="51">
        <f>VLOOKUP($A72,'Data Vlaue (Cr)'!$C:$FB,59)</f>
        <v>228</v>
      </c>
      <c r="K72" s="51">
        <f>VLOOKUP($A72,'Data Vlaue (Cr)'!$C:$FB,60)</f>
        <v>428</v>
      </c>
      <c r="L72" s="51">
        <f>VLOOKUP($A72,'Data Vlaue (Cr)'!$C:$FB,62)*100</f>
        <v>-46.78</v>
      </c>
      <c r="M72" s="51">
        <f>VLOOKUP($A72,'Data Vlaue (Cr)'!$C:$FB,63)</f>
        <v>103</v>
      </c>
      <c r="N72" s="51">
        <f>VLOOKUP($A72,'Data Vlaue (Cr)'!$C:$FB,64)</f>
        <v>171</v>
      </c>
      <c r="O72" s="51">
        <f>VLOOKUP($A72,'Data Vlaue (Cr)'!$C:$FB,66)*100</f>
        <v>-39.79</v>
      </c>
    </row>
    <row r="73" spans="1:15" x14ac:dyDescent="0.25">
      <c r="A73" s="101" t="str">
        <f>'Data Vlaue (Cr)'!C68</f>
        <v>GMRAIRPORT</v>
      </c>
      <c r="B73" s="50">
        <f>VLOOKUP($A73,'Data Vlaue (Cr)'!$C:$FB,8)</f>
        <v>105.5</v>
      </c>
      <c r="C73" s="50">
        <f>VLOOKUP($A73,'Data Vlaue (Cr)'!$C:$FB,11)*100</f>
        <v>1.08</v>
      </c>
      <c r="D73" s="50">
        <f>VLOOKUP($A73,'Data Vlaue (Cr)'!$C:$FB,143)</f>
        <v>1113.78</v>
      </c>
      <c r="E73" s="50">
        <f>VLOOKUP($A73,'Data Vlaue (Cr)'!$C:$FB,144)</f>
        <v>1347.57</v>
      </c>
      <c r="F73" s="50">
        <f>VLOOKUP($A73,'Data Vlaue (Cr)'!$C:$FB,146)*100</f>
        <v>-17.349999999999998</v>
      </c>
      <c r="G73" s="49">
        <f>VLOOKUP($A73,'Data Vlaue (Cr)'!$C:$FB,43)</f>
        <v>238</v>
      </c>
      <c r="H73" s="49">
        <f>VLOOKUP($A73,'Data Vlaue (Cr)'!$C:$FB,44)</f>
        <v>322</v>
      </c>
      <c r="I73" s="49">
        <f>VLOOKUP($A73,'Data Vlaue (Cr)'!$C:$FB,46)*100</f>
        <v>-26.1</v>
      </c>
      <c r="J73" s="51">
        <f>VLOOKUP($A73,'Data Vlaue (Cr)'!$C:$FB,59)</f>
        <v>651</v>
      </c>
      <c r="K73" s="51">
        <f>VLOOKUP($A73,'Data Vlaue (Cr)'!$C:$FB,60)</f>
        <v>752</v>
      </c>
      <c r="L73" s="51">
        <f>VLOOKUP($A73,'Data Vlaue (Cr)'!$C:$FB,62)*100</f>
        <v>-13.41</v>
      </c>
      <c r="M73" s="51">
        <f>VLOOKUP($A73,'Data Vlaue (Cr)'!$C:$FB,63)</f>
        <v>205</v>
      </c>
      <c r="N73" s="51">
        <f>VLOOKUP($A73,'Data Vlaue (Cr)'!$C:$FB,64)</f>
        <v>261</v>
      </c>
      <c r="O73" s="51">
        <f>VLOOKUP($A73,'Data Vlaue (Cr)'!$C:$FB,66)*100</f>
        <v>-21.490000000000002</v>
      </c>
    </row>
    <row r="74" spans="1:15" x14ac:dyDescent="0.25">
      <c r="A74" s="101" t="str">
        <f>'Data Vlaue (Cr)'!C69</f>
        <v>GODREJCP</v>
      </c>
      <c r="B74" s="50">
        <f>VLOOKUP($A74,'Data Vlaue (Cr)'!$C:$FB,8)</f>
        <v>1243.4000000000001</v>
      </c>
      <c r="C74" s="50">
        <f>VLOOKUP($A74,'Data Vlaue (Cr)'!$C:$FB,11)*100</f>
        <v>1.73</v>
      </c>
      <c r="D74" s="50">
        <f>VLOOKUP($A74,'Data Vlaue (Cr)'!$C:$FB,143)</f>
        <v>451.99</v>
      </c>
      <c r="E74" s="50">
        <f>VLOOKUP($A74,'Data Vlaue (Cr)'!$C:$FB,144)</f>
        <v>466.08</v>
      </c>
      <c r="F74" s="50">
        <f>VLOOKUP($A74,'Data Vlaue (Cr)'!$C:$FB,146)*100</f>
        <v>-3.02</v>
      </c>
      <c r="G74" s="49">
        <f>VLOOKUP($A74,'Data Vlaue (Cr)'!$C:$FB,43)</f>
        <v>168</v>
      </c>
      <c r="H74" s="49">
        <f>VLOOKUP($A74,'Data Vlaue (Cr)'!$C:$FB,44)</f>
        <v>159</v>
      </c>
      <c r="I74" s="49">
        <f>VLOOKUP($A74,'Data Vlaue (Cr)'!$C:$FB,46)*100</f>
        <v>6.17</v>
      </c>
      <c r="J74" s="51">
        <f>VLOOKUP($A74,'Data Vlaue (Cr)'!$C:$FB,59)</f>
        <v>174</v>
      </c>
      <c r="K74" s="51">
        <f>VLOOKUP($A74,'Data Vlaue (Cr)'!$C:$FB,60)</f>
        <v>222</v>
      </c>
      <c r="L74" s="51">
        <f>VLOOKUP($A74,'Data Vlaue (Cr)'!$C:$FB,62)*100</f>
        <v>-21.42</v>
      </c>
      <c r="M74" s="51">
        <f>VLOOKUP($A74,'Data Vlaue (Cr)'!$C:$FB,63)</f>
        <v>109</v>
      </c>
      <c r="N74" s="51">
        <f>VLOOKUP($A74,'Data Vlaue (Cr)'!$C:$FB,64)</f>
        <v>87</v>
      </c>
      <c r="O74" s="51">
        <f>VLOOKUP($A74,'Data Vlaue (Cr)'!$C:$FB,66)*100</f>
        <v>25.36</v>
      </c>
    </row>
    <row r="75" spans="1:15" x14ac:dyDescent="0.25">
      <c r="A75" s="101" t="str">
        <f>'Data Vlaue (Cr)'!C70</f>
        <v>GODREJPROP</v>
      </c>
      <c r="B75" s="50">
        <f>VLOOKUP($A75,'Data Vlaue (Cr)'!$C:$FB,8)</f>
        <v>2015.3</v>
      </c>
      <c r="C75" s="50">
        <f>VLOOKUP($A75,'Data Vlaue (Cr)'!$C:$FB,11)*100</f>
        <v>0.54</v>
      </c>
      <c r="D75" s="50">
        <f>VLOOKUP($A75,'Data Vlaue (Cr)'!$C:$FB,143)</f>
        <v>512.86</v>
      </c>
      <c r="E75" s="50">
        <f>VLOOKUP($A75,'Data Vlaue (Cr)'!$C:$FB,144)</f>
        <v>724.85</v>
      </c>
      <c r="F75" s="50">
        <f>VLOOKUP($A75,'Data Vlaue (Cr)'!$C:$FB,146)*100</f>
        <v>-29.25</v>
      </c>
      <c r="G75" s="49">
        <f>VLOOKUP($A75,'Data Vlaue (Cr)'!$C:$FB,43)</f>
        <v>159</v>
      </c>
      <c r="H75" s="49">
        <f>VLOOKUP($A75,'Data Vlaue (Cr)'!$C:$FB,44)</f>
        <v>207</v>
      </c>
      <c r="I75" s="49">
        <f>VLOOKUP($A75,'Data Vlaue (Cr)'!$C:$FB,46)*100</f>
        <v>-23.169999999999998</v>
      </c>
      <c r="J75" s="51">
        <f>VLOOKUP($A75,'Data Vlaue (Cr)'!$C:$FB,59)</f>
        <v>241</v>
      </c>
      <c r="K75" s="51">
        <f>VLOOKUP($A75,'Data Vlaue (Cr)'!$C:$FB,60)</f>
        <v>358</v>
      </c>
      <c r="L75" s="51">
        <f>VLOOKUP($A75,'Data Vlaue (Cr)'!$C:$FB,62)*100</f>
        <v>-32.75</v>
      </c>
      <c r="M75" s="51">
        <f>VLOOKUP($A75,'Data Vlaue (Cr)'!$C:$FB,63)</f>
        <v>105</v>
      </c>
      <c r="N75" s="51">
        <f>VLOOKUP($A75,'Data Vlaue (Cr)'!$C:$FB,64)</f>
        <v>150</v>
      </c>
      <c r="O75" s="51">
        <f>VLOOKUP($A75,'Data Vlaue (Cr)'!$C:$FB,66)*100</f>
        <v>-30.270000000000003</v>
      </c>
    </row>
    <row r="76" spans="1:15" x14ac:dyDescent="0.25">
      <c r="A76" s="101" t="str">
        <f>'Data Vlaue (Cr)'!C71</f>
        <v>GRASIM</v>
      </c>
      <c r="B76" s="50">
        <f>VLOOKUP($A76,'Data Vlaue (Cr)'!$C:$FB,8)</f>
        <v>2851.7</v>
      </c>
      <c r="C76" s="50">
        <f>VLOOKUP($A76,'Data Vlaue (Cr)'!$C:$FB,11)*100</f>
        <v>0.8</v>
      </c>
      <c r="D76" s="50">
        <f>VLOOKUP($A76,'Data Vlaue (Cr)'!$C:$FB,143)</f>
        <v>500.65</v>
      </c>
      <c r="E76" s="50">
        <f>VLOOKUP($A76,'Data Vlaue (Cr)'!$C:$FB,144)</f>
        <v>1011.64</v>
      </c>
      <c r="F76" s="50">
        <f>VLOOKUP($A76,'Data Vlaue (Cr)'!$C:$FB,146)*100</f>
        <v>-50.51</v>
      </c>
      <c r="G76" s="49">
        <f>VLOOKUP($A76,'Data Vlaue (Cr)'!$C:$FB,43)</f>
        <v>143</v>
      </c>
      <c r="H76" s="49">
        <f>VLOOKUP($A76,'Data Vlaue (Cr)'!$C:$FB,44)</f>
        <v>305</v>
      </c>
      <c r="I76" s="49">
        <f>VLOOKUP($A76,'Data Vlaue (Cr)'!$C:$FB,46)*100</f>
        <v>-53.1</v>
      </c>
      <c r="J76" s="51">
        <f>VLOOKUP($A76,'Data Vlaue (Cr)'!$C:$FB,59)</f>
        <v>237</v>
      </c>
      <c r="K76" s="51">
        <f>VLOOKUP($A76,'Data Vlaue (Cr)'!$C:$FB,60)</f>
        <v>368</v>
      </c>
      <c r="L76" s="51">
        <f>VLOOKUP($A76,'Data Vlaue (Cr)'!$C:$FB,62)*100</f>
        <v>-35.65</v>
      </c>
      <c r="M76" s="51">
        <f>VLOOKUP($A76,'Data Vlaue (Cr)'!$C:$FB,63)</f>
        <v>118</v>
      </c>
      <c r="N76" s="51">
        <f>VLOOKUP($A76,'Data Vlaue (Cr)'!$C:$FB,64)</f>
        <v>339</v>
      </c>
      <c r="O76" s="51">
        <f>VLOOKUP($A76,'Data Vlaue (Cr)'!$C:$FB,66)*100</f>
        <v>-65.16</v>
      </c>
    </row>
    <row r="77" spans="1:15" x14ac:dyDescent="0.25">
      <c r="A77" s="101" t="str">
        <f>'Data Vlaue (Cr)'!C72</f>
        <v>HAL</v>
      </c>
      <c r="B77" s="50">
        <f>VLOOKUP($A77,'Data Vlaue (Cr)'!$C:$FB,8)</f>
        <v>4397.8999999999996</v>
      </c>
      <c r="C77" s="50">
        <f>VLOOKUP($A77,'Data Vlaue (Cr)'!$C:$FB,11)*100</f>
        <v>0.21</v>
      </c>
      <c r="D77" s="50">
        <f>VLOOKUP($A77,'Data Vlaue (Cr)'!$C:$FB,143)</f>
        <v>1802.87</v>
      </c>
      <c r="E77" s="50">
        <f>VLOOKUP($A77,'Data Vlaue (Cr)'!$C:$FB,144)</f>
        <v>2737.01</v>
      </c>
      <c r="F77" s="50">
        <f>VLOOKUP($A77,'Data Vlaue (Cr)'!$C:$FB,146)*100</f>
        <v>-34.130000000000003</v>
      </c>
      <c r="G77" s="49">
        <f>VLOOKUP($A77,'Data Vlaue (Cr)'!$C:$FB,43)</f>
        <v>362</v>
      </c>
      <c r="H77" s="49">
        <f>VLOOKUP($A77,'Data Vlaue (Cr)'!$C:$FB,44)</f>
        <v>392</v>
      </c>
      <c r="I77" s="49">
        <f>VLOOKUP($A77,'Data Vlaue (Cr)'!$C:$FB,46)*100</f>
        <v>-7.6899999999999995</v>
      </c>
      <c r="J77" s="51">
        <f>VLOOKUP($A77,'Data Vlaue (Cr)'!$C:$FB,59)</f>
        <v>918</v>
      </c>
      <c r="K77" s="51">
        <f>VLOOKUP($A77,'Data Vlaue (Cr)'!$C:$FB,60)</f>
        <v>1671</v>
      </c>
      <c r="L77" s="51">
        <f>VLOOKUP($A77,'Data Vlaue (Cr)'!$C:$FB,62)*100</f>
        <v>-45.04</v>
      </c>
      <c r="M77" s="51">
        <f>VLOOKUP($A77,'Data Vlaue (Cr)'!$C:$FB,63)</f>
        <v>476</v>
      </c>
      <c r="N77" s="51">
        <f>VLOOKUP($A77,'Data Vlaue (Cr)'!$C:$FB,64)</f>
        <v>596</v>
      </c>
      <c r="O77" s="51">
        <f>VLOOKUP($A77,'Data Vlaue (Cr)'!$C:$FB,66)*100</f>
        <v>-20.150000000000002</v>
      </c>
    </row>
    <row r="78" spans="1:15" x14ac:dyDescent="0.25">
      <c r="A78" s="101" t="str">
        <f>'Data Vlaue (Cr)'!C73</f>
        <v>HAVELLS</v>
      </c>
      <c r="B78" s="50">
        <f>VLOOKUP($A78,'Data Vlaue (Cr)'!$C:$FB,8)</f>
        <v>1417.5</v>
      </c>
      <c r="C78" s="50">
        <f>VLOOKUP($A78,'Data Vlaue (Cr)'!$C:$FB,11)*100</f>
        <v>-0.52</v>
      </c>
      <c r="D78" s="50">
        <f>VLOOKUP($A78,'Data Vlaue (Cr)'!$C:$FB,143)</f>
        <v>279.85000000000002</v>
      </c>
      <c r="E78" s="50">
        <f>VLOOKUP($A78,'Data Vlaue (Cr)'!$C:$FB,144)</f>
        <v>367.64</v>
      </c>
      <c r="F78" s="50">
        <f>VLOOKUP($A78,'Data Vlaue (Cr)'!$C:$FB,146)*100</f>
        <v>-23.880000000000003</v>
      </c>
      <c r="G78" s="49">
        <f>VLOOKUP($A78,'Data Vlaue (Cr)'!$C:$FB,43)</f>
        <v>70</v>
      </c>
      <c r="H78" s="49">
        <f>VLOOKUP($A78,'Data Vlaue (Cr)'!$C:$FB,44)</f>
        <v>103</v>
      </c>
      <c r="I78" s="49">
        <f>VLOOKUP($A78,'Data Vlaue (Cr)'!$C:$FB,46)*100</f>
        <v>-32.32</v>
      </c>
      <c r="J78" s="51">
        <f>VLOOKUP($A78,'Data Vlaue (Cr)'!$C:$FB,59)</f>
        <v>142</v>
      </c>
      <c r="K78" s="51">
        <f>VLOOKUP($A78,'Data Vlaue (Cr)'!$C:$FB,60)</f>
        <v>157</v>
      </c>
      <c r="L78" s="51">
        <f>VLOOKUP($A78,'Data Vlaue (Cr)'!$C:$FB,62)*100</f>
        <v>-9.7199999999999989</v>
      </c>
      <c r="M78" s="51">
        <f>VLOOKUP($A78,'Data Vlaue (Cr)'!$C:$FB,63)</f>
        <v>64</v>
      </c>
      <c r="N78" s="51">
        <f>VLOOKUP($A78,'Data Vlaue (Cr)'!$C:$FB,64)</f>
        <v>99</v>
      </c>
      <c r="O78" s="51">
        <f>VLOOKUP($A78,'Data Vlaue (Cr)'!$C:$FB,66)*100</f>
        <v>-35.69</v>
      </c>
    </row>
    <row r="79" spans="1:15" x14ac:dyDescent="0.25">
      <c r="A79" s="101" t="str">
        <f>'Data Vlaue (Cr)'!C74</f>
        <v>HCLTECH</v>
      </c>
      <c r="B79" s="50">
        <f>VLOOKUP($A79,'Data Vlaue (Cr)'!$C:$FB,8)</f>
        <v>1634.5</v>
      </c>
      <c r="C79" s="50">
        <f>VLOOKUP($A79,'Data Vlaue (Cr)'!$C:$FB,11)*100</f>
        <v>0.69</v>
      </c>
      <c r="D79" s="50">
        <f>VLOOKUP($A79,'Data Vlaue (Cr)'!$C:$FB,143)</f>
        <v>1274.96</v>
      </c>
      <c r="E79" s="50">
        <f>VLOOKUP($A79,'Data Vlaue (Cr)'!$C:$FB,144)</f>
        <v>1136.74</v>
      </c>
      <c r="F79" s="50">
        <f>VLOOKUP($A79,'Data Vlaue (Cr)'!$C:$FB,146)*100</f>
        <v>12.16</v>
      </c>
      <c r="G79" s="49">
        <f>VLOOKUP($A79,'Data Vlaue (Cr)'!$C:$FB,43)</f>
        <v>169</v>
      </c>
      <c r="H79" s="49">
        <f>VLOOKUP($A79,'Data Vlaue (Cr)'!$C:$FB,44)</f>
        <v>213</v>
      </c>
      <c r="I79" s="49">
        <f>VLOOKUP($A79,'Data Vlaue (Cr)'!$C:$FB,46)*100</f>
        <v>-20.74</v>
      </c>
      <c r="J79" s="51">
        <f>VLOOKUP($A79,'Data Vlaue (Cr)'!$C:$FB,59)</f>
        <v>760</v>
      </c>
      <c r="K79" s="51">
        <f>VLOOKUP($A79,'Data Vlaue (Cr)'!$C:$FB,60)</f>
        <v>586</v>
      </c>
      <c r="L79" s="51">
        <f>VLOOKUP($A79,'Data Vlaue (Cr)'!$C:$FB,62)*100</f>
        <v>29.78</v>
      </c>
      <c r="M79" s="51">
        <f>VLOOKUP($A79,'Data Vlaue (Cr)'!$C:$FB,63)</f>
        <v>307</v>
      </c>
      <c r="N79" s="51">
        <f>VLOOKUP($A79,'Data Vlaue (Cr)'!$C:$FB,64)</f>
        <v>318</v>
      </c>
      <c r="O79" s="51">
        <f>VLOOKUP($A79,'Data Vlaue (Cr)'!$C:$FB,66)*100</f>
        <v>-3.65</v>
      </c>
    </row>
    <row r="80" spans="1:15" x14ac:dyDescent="0.25">
      <c r="A80" s="101" t="str">
        <f>'Data Vlaue (Cr)'!C75</f>
        <v>HDFCAMC</v>
      </c>
      <c r="B80" s="50">
        <f>VLOOKUP($A80,'Data Vlaue (Cr)'!$C:$FB,8)</f>
        <v>2648.2</v>
      </c>
      <c r="C80" s="50">
        <f>VLOOKUP($A80,'Data Vlaue (Cr)'!$C:$FB,11)*100</f>
        <v>-0.89999999999999991</v>
      </c>
      <c r="D80" s="50">
        <f>VLOOKUP($A80,'Data Vlaue (Cr)'!$C:$FB,143)</f>
        <v>478.27</v>
      </c>
      <c r="E80" s="50">
        <f>VLOOKUP($A80,'Data Vlaue (Cr)'!$C:$FB,144)</f>
        <v>863.23</v>
      </c>
      <c r="F80" s="50">
        <f>VLOOKUP($A80,'Data Vlaue (Cr)'!$C:$FB,146)*100</f>
        <v>-44.59</v>
      </c>
      <c r="G80" s="49">
        <f>VLOOKUP($A80,'Data Vlaue (Cr)'!$C:$FB,43)</f>
        <v>87</v>
      </c>
      <c r="H80" s="49">
        <f>VLOOKUP($A80,'Data Vlaue (Cr)'!$C:$FB,44)</f>
        <v>184</v>
      </c>
      <c r="I80" s="49">
        <f>VLOOKUP($A80,'Data Vlaue (Cr)'!$C:$FB,46)*100</f>
        <v>-52.669999999999995</v>
      </c>
      <c r="J80" s="51">
        <f>VLOOKUP($A80,'Data Vlaue (Cr)'!$C:$FB,59)</f>
        <v>268</v>
      </c>
      <c r="K80" s="51">
        <f>VLOOKUP($A80,'Data Vlaue (Cr)'!$C:$FB,60)</f>
        <v>462</v>
      </c>
      <c r="L80" s="51">
        <f>VLOOKUP($A80,'Data Vlaue (Cr)'!$C:$FB,62)*100</f>
        <v>-42.01</v>
      </c>
      <c r="M80" s="51">
        <f>VLOOKUP($A80,'Data Vlaue (Cr)'!$C:$FB,63)</f>
        <v>113</v>
      </c>
      <c r="N80" s="51">
        <f>VLOOKUP($A80,'Data Vlaue (Cr)'!$C:$FB,64)</f>
        <v>198</v>
      </c>
      <c r="O80" s="51">
        <f>VLOOKUP($A80,'Data Vlaue (Cr)'!$C:$FB,66)*100</f>
        <v>-43.169999999999995</v>
      </c>
    </row>
    <row r="81" spans="1:15" x14ac:dyDescent="0.25">
      <c r="A81" s="101" t="str">
        <f>'Data Vlaue (Cr)'!C76</f>
        <v>HDFCBANK</v>
      </c>
      <c r="B81" s="50">
        <f>VLOOKUP($A81,'Data Vlaue (Cr)'!$C:$FB,8)</f>
        <v>991.15</v>
      </c>
      <c r="C81" s="50">
        <f>VLOOKUP($A81,'Data Vlaue (Cr)'!$C:$FB,11)*100</f>
        <v>-0.01</v>
      </c>
      <c r="D81" s="50">
        <f>VLOOKUP($A81,'Data Vlaue (Cr)'!$C:$FB,143)</f>
        <v>3254.87</v>
      </c>
      <c r="E81" s="50">
        <f>VLOOKUP($A81,'Data Vlaue (Cr)'!$C:$FB,144)</f>
        <v>6582.51</v>
      </c>
      <c r="F81" s="50">
        <f>VLOOKUP($A81,'Data Vlaue (Cr)'!$C:$FB,146)*100</f>
        <v>-50.55</v>
      </c>
      <c r="G81" s="49">
        <f>VLOOKUP($A81,'Data Vlaue (Cr)'!$C:$FB,43)</f>
        <v>775</v>
      </c>
      <c r="H81" s="49">
        <f>VLOOKUP($A81,'Data Vlaue (Cr)'!$C:$FB,44)</f>
        <v>1134</v>
      </c>
      <c r="I81" s="49">
        <f>VLOOKUP($A81,'Data Vlaue (Cr)'!$C:$FB,46)*100</f>
        <v>-31.65</v>
      </c>
      <c r="J81" s="51">
        <f>VLOOKUP($A81,'Data Vlaue (Cr)'!$C:$FB,59)</f>
        <v>1500</v>
      </c>
      <c r="K81" s="51">
        <f>VLOOKUP($A81,'Data Vlaue (Cr)'!$C:$FB,60)</f>
        <v>3348</v>
      </c>
      <c r="L81" s="51">
        <f>VLOOKUP($A81,'Data Vlaue (Cr)'!$C:$FB,62)*100</f>
        <v>-55.19</v>
      </c>
      <c r="M81" s="51">
        <f>VLOOKUP($A81,'Data Vlaue (Cr)'!$C:$FB,63)</f>
        <v>942</v>
      </c>
      <c r="N81" s="51">
        <f>VLOOKUP($A81,'Data Vlaue (Cr)'!$C:$FB,64)</f>
        <v>2014</v>
      </c>
      <c r="O81" s="51">
        <f>VLOOKUP($A81,'Data Vlaue (Cr)'!$C:$FB,66)*100</f>
        <v>-53.25</v>
      </c>
    </row>
    <row r="82" spans="1:15" x14ac:dyDescent="0.25">
      <c r="A82" s="101" t="str">
        <f>'Data Vlaue (Cr)'!C77</f>
        <v>HDFCLIFE</v>
      </c>
      <c r="B82" s="50">
        <f>VLOOKUP($A82,'Data Vlaue (Cr)'!$C:$FB,8)</f>
        <v>750.1</v>
      </c>
      <c r="C82" s="50">
        <f>VLOOKUP($A82,'Data Vlaue (Cr)'!$C:$FB,11)*100</f>
        <v>0.03</v>
      </c>
      <c r="D82" s="50">
        <f>VLOOKUP($A82,'Data Vlaue (Cr)'!$C:$FB,143)</f>
        <v>561.16999999999996</v>
      </c>
      <c r="E82" s="50">
        <f>VLOOKUP($A82,'Data Vlaue (Cr)'!$C:$FB,144)</f>
        <v>1027.47</v>
      </c>
      <c r="F82" s="50">
        <f>VLOOKUP($A82,'Data Vlaue (Cr)'!$C:$FB,146)*100</f>
        <v>-45.379999999999995</v>
      </c>
      <c r="G82" s="49">
        <f>VLOOKUP($A82,'Data Vlaue (Cr)'!$C:$FB,43)</f>
        <v>99</v>
      </c>
      <c r="H82" s="49">
        <f>VLOOKUP($A82,'Data Vlaue (Cr)'!$C:$FB,44)</f>
        <v>181</v>
      </c>
      <c r="I82" s="49">
        <f>VLOOKUP($A82,'Data Vlaue (Cr)'!$C:$FB,46)*100</f>
        <v>-45.65</v>
      </c>
      <c r="J82" s="51">
        <f>VLOOKUP($A82,'Data Vlaue (Cr)'!$C:$FB,59)</f>
        <v>312</v>
      </c>
      <c r="K82" s="51">
        <f>VLOOKUP($A82,'Data Vlaue (Cr)'!$C:$FB,60)</f>
        <v>561</v>
      </c>
      <c r="L82" s="51">
        <f>VLOOKUP($A82,'Data Vlaue (Cr)'!$C:$FB,62)*100</f>
        <v>-44.39</v>
      </c>
      <c r="M82" s="51">
        <f>VLOOKUP($A82,'Data Vlaue (Cr)'!$C:$FB,63)</f>
        <v>138</v>
      </c>
      <c r="N82" s="51">
        <f>VLOOKUP($A82,'Data Vlaue (Cr)'!$C:$FB,64)</f>
        <v>264</v>
      </c>
      <c r="O82" s="51">
        <f>VLOOKUP($A82,'Data Vlaue (Cr)'!$C:$FB,66)*100</f>
        <v>-47.63</v>
      </c>
    </row>
    <row r="83" spans="1:15" x14ac:dyDescent="0.25">
      <c r="A83" s="101" t="str">
        <f>'Data Vlaue (Cr)'!C78</f>
        <v>HEROMOTOCO</v>
      </c>
      <c r="B83" s="50">
        <f>VLOOKUP($A83,'Data Vlaue (Cr)'!$C:$FB,8)</f>
        <v>5841.5</v>
      </c>
      <c r="C83" s="50">
        <f>VLOOKUP($A83,'Data Vlaue (Cr)'!$C:$FB,11)*100</f>
        <v>1.22</v>
      </c>
      <c r="D83" s="50">
        <f>VLOOKUP($A83,'Data Vlaue (Cr)'!$C:$FB,143)</f>
        <v>3657.04</v>
      </c>
      <c r="E83" s="50">
        <f>VLOOKUP($A83,'Data Vlaue (Cr)'!$C:$FB,144)</f>
        <v>4065.33</v>
      </c>
      <c r="F83" s="50">
        <f>VLOOKUP($A83,'Data Vlaue (Cr)'!$C:$FB,146)*100</f>
        <v>-10.040000000000001</v>
      </c>
      <c r="G83" s="49">
        <f>VLOOKUP($A83,'Data Vlaue (Cr)'!$C:$FB,43)</f>
        <v>473</v>
      </c>
      <c r="H83" s="49">
        <f>VLOOKUP($A83,'Data Vlaue (Cr)'!$C:$FB,44)</f>
        <v>503</v>
      </c>
      <c r="I83" s="49">
        <f>VLOOKUP($A83,'Data Vlaue (Cr)'!$C:$FB,46)*100</f>
        <v>-5.91</v>
      </c>
      <c r="J83" s="51">
        <f>VLOOKUP($A83,'Data Vlaue (Cr)'!$C:$FB,59)</f>
        <v>2141</v>
      </c>
      <c r="K83" s="51">
        <f>VLOOKUP($A83,'Data Vlaue (Cr)'!$C:$FB,60)</f>
        <v>2582</v>
      </c>
      <c r="L83" s="51">
        <f>VLOOKUP($A83,'Data Vlaue (Cr)'!$C:$FB,62)*100</f>
        <v>-17.080000000000002</v>
      </c>
      <c r="M83" s="51">
        <f>VLOOKUP($A83,'Data Vlaue (Cr)'!$C:$FB,63)</f>
        <v>990</v>
      </c>
      <c r="N83" s="51">
        <f>VLOOKUP($A83,'Data Vlaue (Cr)'!$C:$FB,64)</f>
        <v>951</v>
      </c>
      <c r="O83" s="51">
        <f>VLOOKUP($A83,'Data Vlaue (Cr)'!$C:$FB,66)*100</f>
        <v>4.2</v>
      </c>
    </row>
    <row r="84" spans="1:15" x14ac:dyDescent="0.25">
      <c r="A84" s="101" t="str">
        <f>'Data Vlaue (Cr)'!C79</f>
        <v>HINDALCO</v>
      </c>
      <c r="B84" s="50">
        <f>VLOOKUP($A84,'Data Vlaue (Cr)'!$C:$FB,8)</f>
        <v>894.95</v>
      </c>
      <c r="C84" s="50">
        <f>VLOOKUP($A84,'Data Vlaue (Cr)'!$C:$FB,11)*100</f>
        <v>0.92999999999999994</v>
      </c>
      <c r="D84" s="50">
        <f>VLOOKUP($A84,'Data Vlaue (Cr)'!$C:$FB,143)</f>
        <v>2278.42</v>
      </c>
      <c r="E84" s="50">
        <f>VLOOKUP($A84,'Data Vlaue (Cr)'!$C:$FB,144)</f>
        <v>3660.33</v>
      </c>
      <c r="F84" s="50">
        <f>VLOOKUP($A84,'Data Vlaue (Cr)'!$C:$FB,146)*100</f>
        <v>-37.75</v>
      </c>
      <c r="G84" s="49">
        <f>VLOOKUP($A84,'Data Vlaue (Cr)'!$C:$FB,43)</f>
        <v>369</v>
      </c>
      <c r="H84" s="49">
        <f>VLOOKUP($A84,'Data Vlaue (Cr)'!$C:$FB,44)</f>
        <v>542</v>
      </c>
      <c r="I84" s="49">
        <f>VLOOKUP($A84,'Data Vlaue (Cr)'!$C:$FB,46)*100</f>
        <v>-31.840000000000003</v>
      </c>
      <c r="J84" s="51">
        <f>VLOOKUP($A84,'Data Vlaue (Cr)'!$C:$FB,59)</f>
        <v>1139</v>
      </c>
      <c r="K84" s="51">
        <f>VLOOKUP($A84,'Data Vlaue (Cr)'!$C:$FB,60)</f>
        <v>2159</v>
      </c>
      <c r="L84" s="51">
        <f>VLOOKUP($A84,'Data Vlaue (Cr)'!$C:$FB,62)*100</f>
        <v>-47.24</v>
      </c>
      <c r="M84" s="51">
        <f>VLOOKUP($A84,'Data Vlaue (Cr)'!$C:$FB,63)</f>
        <v>760</v>
      </c>
      <c r="N84" s="51">
        <f>VLOOKUP($A84,'Data Vlaue (Cr)'!$C:$FB,64)</f>
        <v>926</v>
      </c>
      <c r="O84" s="51">
        <f>VLOOKUP($A84,'Data Vlaue (Cr)'!$C:$FB,66)*100</f>
        <v>-17.91</v>
      </c>
    </row>
    <row r="85" spans="1:15" x14ac:dyDescent="0.25">
      <c r="A85" s="101" t="str">
        <f>'Data Vlaue (Cr)'!C80</f>
        <v>HINDPETRO</v>
      </c>
      <c r="B85" s="50">
        <f>VLOOKUP($A85,'Data Vlaue (Cr)'!$C:$FB,8)</f>
        <v>498.6</v>
      </c>
      <c r="C85" s="50">
        <f>VLOOKUP($A85,'Data Vlaue (Cr)'!$C:$FB,11)*100</f>
        <v>-0.09</v>
      </c>
      <c r="D85" s="50">
        <f>VLOOKUP($A85,'Data Vlaue (Cr)'!$C:$FB,143)</f>
        <v>2024.48</v>
      </c>
      <c r="E85" s="50">
        <f>VLOOKUP($A85,'Data Vlaue (Cr)'!$C:$FB,144)</f>
        <v>4884.8</v>
      </c>
      <c r="F85" s="50">
        <f>VLOOKUP($A85,'Data Vlaue (Cr)'!$C:$FB,146)*100</f>
        <v>-58.56</v>
      </c>
      <c r="G85" s="49">
        <f>VLOOKUP($A85,'Data Vlaue (Cr)'!$C:$FB,43)</f>
        <v>307</v>
      </c>
      <c r="H85" s="49">
        <f>VLOOKUP($A85,'Data Vlaue (Cr)'!$C:$FB,44)</f>
        <v>701</v>
      </c>
      <c r="I85" s="49">
        <f>VLOOKUP($A85,'Data Vlaue (Cr)'!$C:$FB,46)*100</f>
        <v>-56.24</v>
      </c>
      <c r="J85" s="51">
        <f>VLOOKUP($A85,'Data Vlaue (Cr)'!$C:$FB,59)</f>
        <v>1054</v>
      </c>
      <c r="K85" s="51">
        <f>VLOOKUP($A85,'Data Vlaue (Cr)'!$C:$FB,60)</f>
        <v>2989</v>
      </c>
      <c r="L85" s="51">
        <f>VLOOKUP($A85,'Data Vlaue (Cr)'!$C:$FB,62)*100</f>
        <v>-64.739999999999995</v>
      </c>
      <c r="M85" s="51">
        <f>VLOOKUP($A85,'Data Vlaue (Cr)'!$C:$FB,63)</f>
        <v>628</v>
      </c>
      <c r="N85" s="51">
        <f>VLOOKUP($A85,'Data Vlaue (Cr)'!$C:$FB,64)</f>
        <v>1166</v>
      </c>
      <c r="O85" s="51">
        <f>VLOOKUP($A85,'Data Vlaue (Cr)'!$C:$FB,66)*100</f>
        <v>-46.160000000000004</v>
      </c>
    </row>
    <row r="86" spans="1:15" x14ac:dyDescent="0.25">
      <c r="A86" s="101" t="str">
        <f>'Data Vlaue (Cr)'!C81</f>
        <v>HINDUNILVR</v>
      </c>
      <c r="B86" s="50">
        <f>VLOOKUP($A86,'Data Vlaue (Cr)'!$C:$FB,8)</f>
        <v>2323</v>
      </c>
      <c r="C86" s="50">
        <f>VLOOKUP($A86,'Data Vlaue (Cr)'!$C:$FB,11)*100</f>
        <v>0.31</v>
      </c>
      <c r="D86" s="50">
        <f>VLOOKUP($A86,'Data Vlaue (Cr)'!$C:$FB,143)</f>
        <v>1839.15</v>
      </c>
      <c r="E86" s="50">
        <f>VLOOKUP($A86,'Data Vlaue (Cr)'!$C:$FB,144)</f>
        <v>2517.23</v>
      </c>
      <c r="F86" s="50">
        <f>VLOOKUP($A86,'Data Vlaue (Cr)'!$C:$FB,146)*100</f>
        <v>-26.939999999999998</v>
      </c>
      <c r="G86" s="49">
        <f>VLOOKUP($A86,'Data Vlaue (Cr)'!$C:$FB,43)</f>
        <v>266</v>
      </c>
      <c r="H86" s="49">
        <f>VLOOKUP($A86,'Data Vlaue (Cr)'!$C:$FB,44)</f>
        <v>417</v>
      </c>
      <c r="I86" s="49">
        <f>VLOOKUP($A86,'Data Vlaue (Cr)'!$C:$FB,46)*100</f>
        <v>-36.309999999999995</v>
      </c>
      <c r="J86" s="51">
        <f>VLOOKUP($A86,'Data Vlaue (Cr)'!$C:$FB,59)</f>
        <v>987</v>
      </c>
      <c r="K86" s="51">
        <f>VLOOKUP($A86,'Data Vlaue (Cr)'!$C:$FB,60)</f>
        <v>1428</v>
      </c>
      <c r="L86" s="51">
        <f>VLOOKUP($A86,'Data Vlaue (Cr)'!$C:$FB,62)*100</f>
        <v>-30.85</v>
      </c>
      <c r="M86" s="51">
        <f>VLOOKUP($A86,'Data Vlaue (Cr)'!$C:$FB,63)</f>
        <v>572</v>
      </c>
      <c r="N86" s="51">
        <f>VLOOKUP($A86,'Data Vlaue (Cr)'!$C:$FB,64)</f>
        <v>648</v>
      </c>
      <c r="O86" s="51">
        <f>VLOOKUP($A86,'Data Vlaue (Cr)'!$C:$FB,66)*100</f>
        <v>-11.75</v>
      </c>
    </row>
    <row r="87" spans="1:15" x14ac:dyDescent="0.25">
      <c r="A87" s="101" t="str">
        <f>'Data Vlaue (Cr)'!C82</f>
        <v>HINDZINC</v>
      </c>
      <c r="B87" s="50">
        <f>VLOOKUP($A87,'Data Vlaue (Cr)'!$C:$FB,8)</f>
        <v>611.95000000000005</v>
      </c>
      <c r="C87" s="50">
        <f>VLOOKUP($A87,'Data Vlaue (Cr)'!$C:$FB,11)*100</f>
        <v>-0.08</v>
      </c>
      <c r="D87" s="50">
        <f>VLOOKUP($A87,'Data Vlaue (Cr)'!$C:$FB,143)</f>
        <v>2675.22</v>
      </c>
      <c r="E87" s="50">
        <f>VLOOKUP($A87,'Data Vlaue (Cr)'!$C:$FB,144)</f>
        <v>5915.08</v>
      </c>
      <c r="F87" s="50">
        <f>VLOOKUP($A87,'Data Vlaue (Cr)'!$C:$FB,146)*100</f>
        <v>-54.769999999999996</v>
      </c>
      <c r="G87" s="49">
        <f>VLOOKUP($A87,'Data Vlaue (Cr)'!$C:$FB,43)</f>
        <v>411</v>
      </c>
      <c r="H87" s="49">
        <f>VLOOKUP($A87,'Data Vlaue (Cr)'!$C:$FB,44)</f>
        <v>929</v>
      </c>
      <c r="I87" s="49">
        <f>VLOOKUP($A87,'Data Vlaue (Cr)'!$C:$FB,46)*100</f>
        <v>-55.81</v>
      </c>
      <c r="J87" s="51">
        <f>VLOOKUP($A87,'Data Vlaue (Cr)'!$C:$FB,59)</f>
        <v>1351</v>
      </c>
      <c r="K87" s="51">
        <f>VLOOKUP($A87,'Data Vlaue (Cr)'!$C:$FB,60)</f>
        <v>2825</v>
      </c>
      <c r="L87" s="51">
        <f>VLOOKUP($A87,'Data Vlaue (Cr)'!$C:$FB,62)*100</f>
        <v>-52.190000000000005</v>
      </c>
      <c r="M87" s="51">
        <f>VLOOKUP($A87,'Data Vlaue (Cr)'!$C:$FB,63)</f>
        <v>821</v>
      </c>
      <c r="N87" s="51">
        <f>VLOOKUP($A87,'Data Vlaue (Cr)'!$C:$FB,64)</f>
        <v>1900</v>
      </c>
      <c r="O87" s="51">
        <f>VLOOKUP($A87,'Data Vlaue (Cr)'!$C:$FB,66)*100</f>
        <v>-56.769999999999996</v>
      </c>
    </row>
    <row r="88" spans="1:15" x14ac:dyDescent="0.25">
      <c r="A88" s="101" t="str">
        <f>'Data Vlaue (Cr)'!C83</f>
        <v>HUDCO</v>
      </c>
      <c r="B88" s="50">
        <f>VLOOKUP($A88,'Data Vlaue (Cr)'!$C:$FB,8)</f>
        <v>227.58</v>
      </c>
      <c r="C88" s="50">
        <f>VLOOKUP($A88,'Data Vlaue (Cr)'!$C:$FB,11)*100</f>
        <v>-0.24</v>
      </c>
      <c r="D88" s="50">
        <f>VLOOKUP($A88,'Data Vlaue (Cr)'!$C:$FB,143)</f>
        <v>392.39</v>
      </c>
      <c r="E88" s="50">
        <f>VLOOKUP($A88,'Data Vlaue (Cr)'!$C:$FB,144)</f>
        <v>865.65</v>
      </c>
      <c r="F88" s="50">
        <f>VLOOKUP($A88,'Data Vlaue (Cr)'!$C:$FB,146)*100</f>
        <v>-54.669999999999995</v>
      </c>
      <c r="G88" s="49">
        <f>VLOOKUP($A88,'Data Vlaue (Cr)'!$C:$FB,43)</f>
        <v>124</v>
      </c>
      <c r="H88" s="49">
        <f>VLOOKUP($A88,'Data Vlaue (Cr)'!$C:$FB,44)</f>
        <v>260</v>
      </c>
      <c r="I88" s="49">
        <f>VLOOKUP($A88,'Data Vlaue (Cr)'!$C:$FB,46)*100</f>
        <v>-52.31</v>
      </c>
      <c r="J88" s="51">
        <f>VLOOKUP($A88,'Data Vlaue (Cr)'!$C:$FB,59)</f>
        <v>183</v>
      </c>
      <c r="K88" s="51">
        <f>VLOOKUP($A88,'Data Vlaue (Cr)'!$C:$FB,60)</f>
        <v>429</v>
      </c>
      <c r="L88" s="51">
        <f>VLOOKUP($A88,'Data Vlaue (Cr)'!$C:$FB,62)*100</f>
        <v>-57.37</v>
      </c>
      <c r="M88" s="51">
        <f>VLOOKUP($A88,'Data Vlaue (Cr)'!$C:$FB,63)</f>
        <v>78</v>
      </c>
      <c r="N88" s="51">
        <f>VLOOKUP($A88,'Data Vlaue (Cr)'!$C:$FB,64)</f>
        <v>159</v>
      </c>
      <c r="O88" s="51">
        <f>VLOOKUP($A88,'Data Vlaue (Cr)'!$C:$FB,66)*100</f>
        <v>-51.300000000000004</v>
      </c>
    </row>
    <row r="89" spans="1:15" x14ac:dyDescent="0.25">
      <c r="A89" s="101" t="str">
        <f>'Data Vlaue (Cr)'!C84</f>
        <v>ICICIBANK</v>
      </c>
      <c r="B89" s="50">
        <f>VLOOKUP($A89,'Data Vlaue (Cr)'!$C:$FB,8)</f>
        <v>1338</v>
      </c>
      <c r="C89" s="50">
        <f>VLOOKUP($A89,'Data Vlaue (Cr)'!$C:$FB,11)*100</f>
        <v>-0.36</v>
      </c>
      <c r="D89" s="50">
        <f>VLOOKUP($A89,'Data Vlaue (Cr)'!$C:$FB,143)</f>
        <v>3446.09</v>
      </c>
      <c r="E89" s="50">
        <f>VLOOKUP($A89,'Data Vlaue (Cr)'!$C:$FB,144)</f>
        <v>6999.24</v>
      </c>
      <c r="F89" s="50">
        <f>VLOOKUP($A89,'Data Vlaue (Cr)'!$C:$FB,146)*100</f>
        <v>-50.760000000000005</v>
      </c>
      <c r="G89" s="49">
        <f>VLOOKUP($A89,'Data Vlaue (Cr)'!$C:$FB,43)</f>
        <v>787</v>
      </c>
      <c r="H89" s="49">
        <f>VLOOKUP($A89,'Data Vlaue (Cr)'!$C:$FB,44)</f>
        <v>1306</v>
      </c>
      <c r="I89" s="49">
        <f>VLOOKUP($A89,'Data Vlaue (Cr)'!$C:$FB,46)*100</f>
        <v>-39.71</v>
      </c>
      <c r="J89" s="51">
        <f>VLOOKUP($A89,'Data Vlaue (Cr)'!$C:$FB,59)</f>
        <v>1708</v>
      </c>
      <c r="K89" s="51">
        <f>VLOOKUP($A89,'Data Vlaue (Cr)'!$C:$FB,60)</f>
        <v>3492</v>
      </c>
      <c r="L89" s="51">
        <f>VLOOKUP($A89,'Data Vlaue (Cr)'!$C:$FB,62)*100</f>
        <v>-51.09</v>
      </c>
      <c r="M89" s="51">
        <f>VLOOKUP($A89,'Data Vlaue (Cr)'!$C:$FB,63)</f>
        <v>892</v>
      </c>
      <c r="N89" s="51">
        <f>VLOOKUP($A89,'Data Vlaue (Cr)'!$C:$FB,64)</f>
        <v>2079</v>
      </c>
      <c r="O89" s="51">
        <f>VLOOKUP($A89,'Data Vlaue (Cr)'!$C:$FB,66)*100</f>
        <v>-57.099999999999994</v>
      </c>
    </row>
    <row r="90" spans="1:15" x14ac:dyDescent="0.25">
      <c r="A90" s="101" t="str">
        <f>'Data Vlaue (Cr)'!C85</f>
        <v>ICICIGI</v>
      </c>
      <c r="B90" s="50">
        <f>VLOOKUP($A90,'Data Vlaue (Cr)'!$C:$FB,8)</f>
        <v>1956.9</v>
      </c>
      <c r="C90" s="50">
        <f>VLOOKUP($A90,'Data Vlaue (Cr)'!$C:$FB,11)*100</f>
        <v>-0.27</v>
      </c>
      <c r="D90" s="50">
        <f>VLOOKUP($A90,'Data Vlaue (Cr)'!$C:$FB,143)</f>
        <v>165.67</v>
      </c>
      <c r="E90" s="50">
        <f>VLOOKUP($A90,'Data Vlaue (Cr)'!$C:$FB,144)</f>
        <v>219.61</v>
      </c>
      <c r="F90" s="50">
        <f>VLOOKUP($A90,'Data Vlaue (Cr)'!$C:$FB,146)*100</f>
        <v>-24.560000000000002</v>
      </c>
      <c r="G90" s="49">
        <f>VLOOKUP($A90,'Data Vlaue (Cr)'!$C:$FB,43)</f>
        <v>60</v>
      </c>
      <c r="H90" s="49">
        <f>VLOOKUP($A90,'Data Vlaue (Cr)'!$C:$FB,44)</f>
        <v>79</v>
      </c>
      <c r="I90" s="49">
        <f>VLOOKUP($A90,'Data Vlaue (Cr)'!$C:$FB,46)*100</f>
        <v>-24.02</v>
      </c>
      <c r="J90" s="51">
        <f>VLOOKUP($A90,'Data Vlaue (Cr)'!$C:$FB,59)</f>
        <v>55</v>
      </c>
      <c r="K90" s="51">
        <f>VLOOKUP($A90,'Data Vlaue (Cr)'!$C:$FB,60)</f>
        <v>64</v>
      </c>
      <c r="L90" s="51">
        <f>VLOOKUP($A90,'Data Vlaue (Cr)'!$C:$FB,62)*100</f>
        <v>-13.19</v>
      </c>
      <c r="M90" s="51">
        <f>VLOOKUP($A90,'Data Vlaue (Cr)'!$C:$FB,63)</f>
        <v>49</v>
      </c>
      <c r="N90" s="51">
        <f>VLOOKUP($A90,'Data Vlaue (Cr)'!$C:$FB,64)</f>
        <v>75</v>
      </c>
      <c r="O90" s="51">
        <f>VLOOKUP($A90,'Data Vlaue (Cr)'!$C:$FB,66)*100</f>
        <v>-34.160000000000004</v>
      </c>
    </row>
    <row r="91" spans="1:15" x14ac:dyDescent="0.25">
      <c r="A91" s="101" t="str">
        <f>'Data Vlaue (Cr)'!C86</f>
        <v>ICICIPRULI</v>
      </c>
      <c r="B91" s="50">
        <f>VLOOKUP($A91,'Data Vlaue (Cr)'!$C:$FB,8)</f>
        <v>674.3</v>
      </c>
      <c r="C91" s="50">
        <f>VLOOKUP($A91,'Data Vlaue (Cr)'!$C:$FB,11)*100</f>
        <v>0.91</v>
      </c>
      <c r="D91" s="50">
        <f>VLOOKUP($A91,'Data Vlaue (Cr)'!$C:$FB,143)</f>
        <v>209.5</v>
      </c>
      <c r="E91" s="50">
        <f>VLOOKUP($A91,'Data Vlaue (Cr)'!$C:$FB,144)</f>
        <v>546.39</v>
      </c>
      <c r="F91" s="50">
        <f>VLOOKUP($A91,'Data Vlaue (Cr)'!$C:$FB,146)*100</f>
        <v>-61.660000000000004</v>
      </c>
      <c r="G91" s="49">
        <f>VLOOKUP($A91,'Data Vlaue (Cr)'!$C:$FB,43)</f>
        <v>66</v>
      </c>
      <c r="H91" s="49">
        <f>VLOOKUP($A91,'Data Vlaue (Cr)'!$C:$FB,44)</f>
        <v>165</v>
      </c>
      <c r="I91" s="49">
        <f>VLOOKUP($A91,'Data Vlaue (Cr)'!$C:$FB,46)*100</f>
        <v>-59.730000000000004</v>
      </c>
      <c r="J91" s="51">
        <f>VLOOKUP($A91,'Data Vlaue (Cr)'!$C:$FB,59)</f>
        <v>83</v>
      </c>
      <c r="K91" s="51">
        <f>VLOOKUP($A91,'Data Vlaue (Cr)'!$C:$FB,60)</f>
        <v>274</v>
      </c>
      <c r="L91" s="51">
        <f>VLOOKUP($A91,'Data Vlaue (Cr)'!$C:$FB,62)*100</f>
        <v>-69.679999999999993</v>
      </c>
      <c r="M91" s="51">
        <f>VLOOKUP($A91,'Data Vlaue (Cr)'!$C:$FB,63)</f>
        <v>60</v>
      </c>
      <c r="N91" s="51">
        <f>VLOOKUP($A91,'Data Vlaue (Cr)'!$C:$FB,64)</f>
        <v>110</v>
      </c>
      <c r="O91" s="51">
        <f>VLOOKUP($A91,'Data Vlaue (Cr)'!$C:$FB,66)*100</f>
        <v>-45.32</v>
      </c>
    </row>
    <row r="92" spans="1:15" x14ac:dyDescent="0.25">
      <c r="A92" s="101" t="str">
        <f>'Data Vlaue (Cr)'!C87</f>
        <v>IDEA</v>
      </c>
      <c r="B92" s="50">
        <f>VLOOKUP($A92,'Data Vlaue (Cr)'!$C:$FB,8)</f>
        <v>11.6</v>
      </c>
      <c r="C92" s="50">
        <f>VLOOKUP($A92,'Data Vlaue (Cr)'!$C:$FB,11)*100</f>
        <v>7.8100000000000005</v>
      </c>
      <c r="D92" s="50">
        <f>VLOOKUP($A92,'Data Vlaue (Cr)'!$C:$FB,143)</f>
        <v>12326.91</v>
      </c>
      <c r="E92" s="50">
        <f>VLOOKUP($A92,'Data Vlaue (Cr)'!$C:$FB,144)</f>
        <v>22175.85</v>
      </c>
      <c r="F92" s="50">
        <f>VLOOKUP($A92,'Data Vlaue (Cr)'!$C:$FB,146)*100</f>
        <v>-44.41</v>
      </c>
      <c r="G92" s="49">
        <f>VLOOKUP($A92,'Data Vlaue (Cr)'!$C:$FB,43)</f>
        <v>1725</v>
      </c>
      <c r="H92" s="49">
        <f>VLOOKUP($A92,'Data Vlaue (Cr)'!$C:$FB,44)</f>
        <v>3547</v>
      </c>
      <c r="I92" s="49">
        <f>VLOOKUP($A92,'Data Vlaue (Cr)'!$C:$FB,46)*100</f>
        <v>-51.38</v>
      </c>
      <c r="J92" s="51">
        <f>VLOOKUP($A92,'Data Vlaue (Cr)'!$C:$FB,59)</f>
        <v>3279</v>
      </c>
      <c r="K92" s="51">
        <f>VLOOKUP($A92,'Data Vlaue (Cr)'!$C:$FB,60)</f>
        <v>5330</v>
      </c>
      <c r="L92" s="51">
        <f>VLOOKUP($A92,'Data Vlaue (Cr)'!$C:$FB,62)*100</f>
        <v>-38.479999999999997</v>
      </c>
      <c r="M92" s="51">
        <f>VLOOKUP($A92,'Data Vlaue (Cr)'!$C:$FB,63)</f>
        <v>1552</v>
      </c>
      <c r="N92" s="51">
        <f>VLOOKUP($A92,'Data Vlaue (Cr)'!$C:$FB,64)</f>
        <v>2871</v>
      </c>
      <c r="O92" s="51">
        <f>VLOOKUP($A92,'Data Vlaue (Cr)'!$C:$FB,66)*100</f>
        <v>-45.95</v>
      </c>
    </row>
    <row r="93" spans="1:15" x14ac:dyDescent="0.25">
      <c r="A93" s="101" t="str">
        <f>'Data Vlaue (Cr)'!C88</f>
        <v>IDFCFIRSTB</v>
      </c>
      <c r="B93" s="50">
        <f>VLOOKUP($A93,'Data Vlaue (Cr)'!$C:$FB,8)</f>
        <v>85.61</v>
      </c>
      <c r="C93" s="50">
        <f>VLOOKUP($A93,'Data Vlaue (Cr)'!$C:$FB,11)*100</f>
        <v>0</v>
      </c>
      <c r="D93" s="50">
        <f>VLOOKUP($A93,'Data Vlaue (Cr)'!$C:$FB,143)</f>
        <v>796.91</v>
      </c>
      <c r="E93" s="50">
        <f>VLOOKUP($A93,'Data Vlaue (Cr)'!$C:$FB,144)</f>
        <v>1591.09</v>
      </c>
      <c r="F93" s="50">
        <f>VLOOKUP($A93,'Data Vlaue (Cr)'!$C:$FB,146)*100</f>
        <v>-49.91</v>
      </c>
      <c r="G93" s="49">
        <f>VLOOKUP($A93,'Data Vlaue (Cr)'!$C:$FB,43)</f>
        <v>260</v>
      </c>
      <c r="H93" s="49">
        <f>VLOOKUP($A93,'Data Vlaue (Cr)'!$C:$FB,44)</f>
        <v>431</v>
      </c>
      <c r="I93" s="49">
        <f>VLOOKUP($A93,'Data Vlaue (Cr)'!$C:$FB,46)*100</f>
        <v>-39.51</v>
      </c>
      <c r="J93" s="51">
        <f>VLOOKUP($A93,'Data Vlaue (Cr)'!$C:$FB,59)</f>
        <v>345</v>
      </c>
      <c r="K93" s="51">
        <f>VLOOKUP($A93,'Data Vlaue (Cr)'!$C:$FB,60)</f>
        <v>735</v>
      </c>
      <c r="L93" s="51">
        <f>VLOOKUP($A93,'Data Vlaue (Cr)'!$C:$FB,62)*100</f>
        <v>-53.03</v>
      </c>
      <c r="M93" s="51">
        <f>VLOOKUP($A93,'Data Vlaue (Cr)'!$C:$FB,63)</f>
        <v>182</v>
      </c>
      <c r="N93" s="51">
        <f>VLOOKUP($A93,'Data Vlaue (Cr)'!$C:$FB,64)</f>
        <v>405</v>
      </c>
      <c r="O93" s="51">
        <f>VLOOKUP($A93,'Data Vlaue (Cr)'!$C:$FB,66)*100</f>
        <v>-54.97</v>
      </c>
    </row>
    <row r="94" spans="1:15" x14ac:dyDescent="0.25">
      <c r="A94" s="101" t="str">
        <f>'Data Vlaue (Cr)'!C89</f>
        <v>IEX</v>
      </c>
      <c r="B94" s="50">
        <f>VLOOKUP($A94,'Data Vlaue (Cr)'!$C:$FB,8)</f>
        <v>133.38999999999999</v>
      </c>
      <c r="C94" s="50">
        <f>VLOOKUP($A94,'Data Vlaue (Cr)'!$C:$FB,11)*100</f>
        <v>-0.62</v>
      </c>
      <c r="D94" s="50">
        <f>VLOOKUP($A94,'Data Vlaue (Cr)'!$C:$FB,143)</f>
        <v>363.32</v>
      </c>
      <c r="E94" s="50">
        <f>VLOOKUP($A94,'Data Vlaue (Cr)'!$C:$FB,144)</f>
        <v>575.74</v>
      </c>
      <c r="F94" s="50">
        <f>VLOOKUP($A94,'Data Vlaue (Cr)'!$C:$FB,146)*100</f>
        <v>-36.89</v>
      </c>
      <c r="G94" s="49">
        <f>VLOOKUP($A94,'Data Vlaue (Cr)'!$C:$FB,43)</f>
        <v>80</v>
      </c>
      <c r="H94" s="49">
        <f>VLOOKUP($A94,'Data Vlaue (Cr)'!$C:$FB,44)</f>
        <v>117</v>
      </c>
      <c r="I94" s="49">
        <f>VLOOKUP($A94,'Data Vlaue (Cr)'!$C:$FB,46)*100</f>
        <v>-31.46</v>
      </c>
      <c r="J94" s="51">
        <f>VLOOKUP($A94,'Data Vlaue (Cr)'!$C:$FB,59)</f>
        <v>198</v>
      </c>
      <c r="K94" s="51">
        <f>VLOOKUP($A94,'Data Vlaue (Cr)'!$C:$FB,60)</f>
        <v>312</v>
      </c>
      <c r="L94" s="51">
        <f>VLOOKUP($A94,'Data Vlaue (Cr)'!$C:$FB,62)*100</f>
        <v>-36.58</v>
      </c>
      <c r="M94" s="51">
        <f>VLOOKUP($A94,'Data Vlaue (Cr)'!$C:$FB,63)</f>
        <v>67</v>
      </c>
      <c r="N94" s="51">
        <f>VLOOKUP($A94,'Data Vlaue (Cr)'!$C:$FB,64)</f>
        <v>117</v>
      </c>
      <c r="O94" s="51">
        <f>VLOOKUP($A94,'Data Vlaue (Cr)'!$C:$FB,66)*100</f>
        <v>-42.25</v>
      </c>
    </row>
    <row r="95" spans="1:15" x14ac:dyDescent="0.25">
      <c r="A95" s="101" t="str">
        <f>'Data Vlaue (Cr)'!C90</f>
        <v>IIFL</v>
      </c>
      <c r="B95" s="50">
        <f>VLOOKUP($A95,'Data Vlaue (Cr)'!$C:$FB,8)</f>
        <v>620.45000000000005</v>
      </c>
      <c r="C95" s="50">
        <f>VLOOKUP($A95,'Data Vlaue (Cr)'!$C:$FB,11)*100</f>
        <v>1.63</v>
      </c>
      <c r="D95" s="50">
        <f>VLOOKUP($A95,'Data Vlaue (Cr)'!$C:$FB,143)</f>
        <v>712.6</v>
      </c>
      <c r="E95" s="50">
        <f>VLOOKUP($A95,'Data Vlaue (Cr)'!$C:$FB,144)</f>
        <v>857.99</v>
      </c>
      <c r="F95" s="50">
        <f>VLOOKUP($A95,'Data Vlaue (Cr)'!$C:$FB,146)*100</f>
        <v>-16.950000000000003</v>
      </c>
      <c r="G95" s="49">
        <f>VLOOKUP($A95,'Data Vlaue (Cr)'!$C:$FB,43)</f>
        <v>148</v>
      </c>
      <c r="H95" s="49">
        <f>VLOOKUP($A95,'Data Vlaue (Cr)'!$C:$FB,44)</f>
        <v>211</v>
      </c>
      <c r="I95" s="49">
        <f>VLOOKUP($A95,'Data Vlaue (Cr)'!$C:$FB,46)*100</f>
        <v>-29.759999999999998</v>
      </c>
      <c r="J95" s="51">
        <f>VLOOKUP($A95,'Data Vlaue (Cr)'!$C:$FB,59)</f>
        <v>370</v>
      </c>
      <c r="K95" s="51">
        <f>VLOOKUP($A95,'Data Vlaue (Cr)'!$C:$FB,60)</f>
        <v>500</v>
      </c>
      <c r="L95" s="51">
        <f>VLOOKUP($A95,'Data Vlaue (Cr)'!$C:$FB,62)*100</f>
        <v>-25.97</v>
      </c>
      <c r="M95" s="51">
        <f>VLOOKUP($A95,'Data Vlaue (Cr)'!$C:$FB,63)</f>
        <v>188</v>
      </c>
      <c r="N95" s="51">
        <f>VLOOKUP($A95,'Data Vlaue (Cr)'!$C:$FB,64)</f>
        <v>144</v>
      </c>
      <c r="O95" s="51">
        <f>VLOOKUP($A95,'Data Vlaue (Cr)'!$C:$FB,66)*100</f>
        <v>30.930000000000003</v>
      </c>
    </row>
    <row r="96" spans="1:15" x14ac:dyDescent="0.25">
      <c r="A96" s="101" t="str">
        <f>'Data Vlaue (Cr)'!C91</f>
        <v>INDHOTEL</v>
      </c>
      <c r="B96" s="50">
        <f>VLOOKUP($A96,'Data Vlaue (Cr)'!$C:$FB,8)</f>
        <v>738.6</v>
      </c>
      <c r="C96" s="50">
        <f>VLOOKUP($A96,'Data Vlaue (Cr)'!$C:$FB,11)*100</f>
        <v>-0.03</v>
      </c>
      <c r="D96" s="50">
        <f>VLOOKUP($A96,'Data Vlaue (Cr)'!$C:$FB,143)</f>
        <v>571.65</v>
      </c>
      <c r="E96" s="50">
        <f>VLOOKUP($A96,'Data Vlaue (Cr)'!$C:$FB,144)</f>
        <v>885.29</v>
      </c>
      <c r="F96" s="50">
        <f>VLOOKUP($A96,'Data Vlaue (Cr)'!$C:$FB,146)*100</f>
        <v>-35.43</v>
      </c>
      <c r="G96" s="49">
        <f>VLOOKUP($A96,'Data Vlaue (Cr)'!$C:$FB,43)</f>
        <v>152</v>
      </c>
      <c r="H96" s="49">
        <f>VLOOKUP($A96,'Data Vlaue (Cr)'!$C:$FB,44)</f>
        <v>259</v>
      </c>
      <c r="I96" s="49">
        <f>VLOOKUP($A96,'Data Vlaue (Cr)'!$C:$FB,46)*100</f>
        <v>-41.39</v>
      </c>
      <c r="J96" s="51">
        <f>VLOOKUP($A96,'Data Vlaue (Cr)'!$C:$FB,59)</f>
        <v>288</v>
      </c>
      <c r="K96" s="51">
        <f>VLOOKUP($A96,'Data Vlaue (Cr)'!$C:$FB,60)</f>
        <v>411</v>
      </c>
      <c r="L96" s="51">
        <f>VLOOKUP($A96,'Data Vlaue (Cr)'!$C:$FB,62)*100</f>
        <v>-29.94</v>
      </c>
      <c r="M96" s="51">
        <f>VLOOKUP($A96,'Data Vlaue (Cr)'!$C:$FB,63)</f>
        <v>125</v>
      </c>
      <c r="N96" s="51">
        <f>VLOOKUP($A96,'Data Vlaue (Cr)'!$C:$FB,64)</f>
        <v>204</v>
      </c>
      <c r="O96" s="51">
        <f>VLOOKUP($A96,'Data Vlaue (Cr)'!$C:$FB,66)*100</f>
        <v>-38.86</v>
      </c>
    </row>
    <row r="97" spans="1:15" x14ac:dyDescent="0.25">
      <c r="A97" s="101" t="str">
        <f>'Data Vlaue (Cr)'!C92</f>
        <v>INDIANB</v>
      </c>
      <c r="B97" s="50">
        <f>VLOOKUP($A97,'Data Vlaue (Cr)'!$C:$FB,8)</f>
        <v>832.6</v>
      </c>
      <c r="C97" s="50">
        <f>VLOOKUP($A97,'Data Vlaue (Cr)'!$C:$FB,11)*100</f>
        <v>-0.55999999999999994</v>
      </c>
      <c r="D97" s="50">
        <f>VLOOKUP($A97,'Data Vlaue (Cr)'!$C:$FB,143)</f>
        <v>892.84</v>
      </c>
      <c r="E97" s="50">
        <f>VLOOKUP($A97,'Data Vlaue (Cr)'!$C:$FB,144)</f>
        <v>2084.16</v>
      </c>
      <c r="F97" s="50">
        <f>VLOOKUP($A97,'Data Vlaue (Cr)'!$C:$FB,146)*100</f>
        <v>-57.16</v>
      </c>
      <c r="G97" s="49">
        <f>VLOOKUP($A97,'Data Vlaue (Cr)'!$C:$FB,43)</f>
        <v>172</v>
      </c>
      <c r="H97" s="49">
        <f>VLOOKUP($A97,'Data Vlaue (Cr)'!$C:$FB,44)</f>
        <v>371</v>
      </c>
      <c r="I97" s="49">
        <f>VLOOKUP($A97,'Data Vlaue (Cr)'!$C:$FB,46)*100</f>
        <v>-53.64</v>
      </c>
      <c r="J97" s="51">
        <f>VLOOKUP($A97,'Data Vlaue (Cr)'!$C:$FB,59)</f>
        <v>508</v>
      </c>
      <c r="K97" s="51">
        <f>VLOOKUP($A97,'Data Vlaue (Cr)'!$C:$FB,60)</f>
        <v>1279</v>
      </c>
      <c r="L97" s="51">
        <f>VLOOKUP($A97,'Data Vlaue (Cr)'!$C:$FB,62)*100</f>
        <v>-60.29</v>
      </c>
      <c r="M97" s="51">
        <f>VLOOKUP($A97,'Data Vlaue (Cr)'!$C:$FB,63)</f>
        <v>193</v>
      </c>
      <c r="N97" s="51">
        <f>VLOOKUP($A97,'Data Vlaue (Cr)'!$C:$FB,64)</f>
        <v>411</v>
      </c>
      <c r="O97" s="51">
        <f>VLOOKUP($A97,'Data Vlaue (Cr)'!$C:$FB,66)*100</f>
        <v>-53.04</v>
      </c>
    </row>
    <row r="98" spans="1:15" x14ac:dyDescent="0.25">
      <c r="A98" s="101" t="str">
        <f>'Data Vlaue (Cr)'!C93</f>
        <v>INDIAVIX</v>
      </c>
      <c r="B98" s="50">
        <f>VLOOKUP($A98,'Data Vlaue (Cr)'!$C:$FB,8)</f>
        <v>9.19</v>
      </c>
      <c r="C98" s="50">
        <f>VLOOKUP($A98,'Data Vlaue (Cr)'!$C:$FB,11)*100</f>
        <v>-3.01</v>
      </c>
      <c r="D98" s="50">
        <f>VLOOKUP($A98,'Data Vlaue (Cr)'!$C:$FB,143)</f>
        <v>0</v>
      </c>
      <c r="E98" s="50">
        <f>VLOOKUP($A98,'Data Vlaue (Cr)'!$C:$FB,144)</f>
        <v>0</v>
      </c>
      <c r="F98" s="50">
        <f>VLOOKUP($A98,'Data Vlaue (Cr)'!$C:$FB,146)*100</f>
        <v>0</v>
      </c>
      <c r="G98" s="49">
        <f>VLOOKUP($A98,'Data Vlaue (Cr)'!$C:$FB,43)</f>
        <v>0</v>
      </c>
      <c r="H98" s="49">
        <f>VLOOKUP($A98,'Data Vlaue (Cr)'!$C:$FB,44)</f>
        <v>0</v>
      </c>
      <c r="I98" s="49">
        <f>VLOOKUP($A98,'Data Vlaue (Cr)'!$C:$FB,46)*100</f>
        <v>0</v>
      </c>
      <c r="J98" s="51">
        <f>VLOOKUP($A98,'Data Vlaue (Cr)'!$C:$FB,59)</f>
        <v>0</v>
      </c>
      <c r="K98" s="51">
        <f>VLOOKUP($A98,'Data Vlaue (Cr)'!$C:$FB,60)</f>
        <v>0</v>
      </c>
      <c r="L98" s="51">
        <f>VLOOKUP($A98,'Data Vlaue (Cr)'!$C:$FB,62)*100</f>
        <v>0</v>
      </c>
      <c r="M98" s="51">
        <f>VLOOKUP($A98,'Data Vlaue (Cr)'!$C:$FB,63)</f>
        <v>0</v>
      </c>
      <c r="N98" s="51">
        <f>VLOOKUP($A98,'Data Vlaue (Cr)'!$C:$FB,64)</f>
        <v>0</v>
      </c>
      <c r="O98" s="51">
        <f>VLOOKUP($A98,'Data Vlaue (Cr)'!$C:$FB,66)*100</f>
        <v>0</v>
      </c>
    </row>
    <row r="99" spans="1:15" x14ac:dyDescent="0.25">
      <c r="A99" s="101" t="str">
        <f>'Data Vlaue (Cr)'!C94</f>
        <v>INDIGO</v>
      </c>
      <c r="B99" s="50">
        <f>VLOOKUP($A99,'Data Vlaue (Cr)'!$C:$FB,8)</f>
        <v>5110.5</v>
      </c>
      <c r="C99" s="50">
        <f>VLOOKUP($A99,'Data Vlaue (Cr)'!$C:$FB,11)*100</f>
        <v>1.01</v>
      </c>
      <c r="D99" s="50">
        <f>VLOOKUP($A99,'Data Vlaue (Cr)'!$C:$FB,143)</f>
        <v>5924.31</v>
      </c>
      <c r="E99" s="50">
        <f>VLOOKUP($A99,'Data Vlaue (Cr)'!$C:$FB,144)</f>
        <v>3975.14</v>
      </c>
      <c r="F99" s="50">
        <f>VLOOKUP($A99,'Data Vlaue (Cr)'!$C:$FB,146)*100</f>
        <v>49.03</v>
      </c>
      <c r="G99" s="49">
        <f>VLOOKUP($A99,'Data Vlaue (Cr)'!$C:$FB,43)</f>
        <v>616</v>
      </c>
      <c r="H99" s="49">
        <f>VLOOKUP($A99,'Data Vlaue (Cr)'!$C:$FB,44)</f>
        <v>477</v>
      </c>
      <c r="I99" s="49">
        <f>VLOOKUP($A99,'Data Vlaue (Cr)'!$C:$FB,46)*100</f>
        <v>29.060000000000002</v>
      </c>
      <c r="J99" s="51">
        <f>VLOOKUP($A99,'Data Vlaue (Cr)'!$C:$FB,59)</f>
        <v>3491</v>
      </c>
      <c r="K99" s="51">
        <f>VLOOKUP($A99,'Data Vlaue (Cr)'!$C:$FB,60)</f>
        <v>1951</v>
      </c>
      <c r="L99" s="51">
        <f>VLOOKUP($A99,'Data Vlaue (Cr)'!$C:$FB,62)*100</f>
        <v>78.91</v>
      </c>
      <c r="M99" s="51">
        <f>VLOOKUP($A99,'Data Vlaue (Cr)'!$C:$FB,63)</f>
        <v>1698</v>
      </c>
      <c r="N99" s="51">
        <f>VLOOKUP($A99,'Data Vlaue (Cr)'!$C:$FB,64)</f>
        <v>1535</v>
      </c>
      <c r="O99" s="51">
        <f>VLOOKUP($A99,'Data Vlaue (Cr)'!$C:$FB,66)*100</f>
        <v>10.63</v>
      </c>
    </row>
    <row r="100" spans="1:15" x14ac:dyDescent="0.25">
      <c r="A100" s="101" t="str">
        <f>'Data Vlaue (Cr)'!C95</f>
        <v>INDUSINDBK</v>
      </c>
      <c r="B100" s="50">
        <f>VLOOKUP($A100,'Data Vlaue (Cr)'!$C:$FB,8)</f>
        <v>890.2</v>
      </c>
      <c r="C100" s="50">
        <f>VLOOKUP($A100,'Data Vlaue (Cr)'!$C:$FB,11)*100</f>
        <v>3.01</v>
      </c>
      <c r="D100" s="50">
        <f>VLOOKUP($A100,'Data Vlaue (Cr)'!$C:$FB,143)</f>
        <v>3632.04</v>
      </c>
      <c r="E100" s="50">
        <f>VLOOKUP($A100,'Data Vlaue (Cr)'!$C:$FB,144)</f>
        <v>3869.01</v>
      </c>
      <c r="F100" s="50">
        <f>VLOOKUP($A100,'Data Vlaue (Cr)'!$C:$FB,146)*100</f>
        <v>-6.12</v>
      </c>
      <c r="G100" s="49">
        <f>VLOOKUP($A100,'Data Vlaue (Cr)'!$C:$FB,43)</f>
        <v>653</v>
      </c>
      <c r="H100" s="49">
        <f>VLOOKUP($A100,'Data Vlaue (Cr)'!$C:$FB,44)</f>
        <v>886</v>
      </c>
      <c r="I100" s="49">
        <f>VLOOKUP($A100,'Data Vlaue (Cr)'!$C:$FB,46)*100</f>
        <v>-26.21</v>
      </c>
      <c r="J100" s="51">
        <f>VLOOKUP($A100,'Data Vlaue (Cr)'!$C:$FB,59)</f>
        <v>1908</v>
      </c>
      <c r="K100" s="51">
        <f>VLOOKUP($A100,'Data Vlaue (Cr)'!$C:$FB,60)</f>
        <v>1880</v>
      </c>
      <c r="L100" s="51">
        <f>VLOOKUP($A100,'Data Vlaue (Cr)'!$C:$FB,62)*100</f>
        <v>1.4500000000000002</v>
      </c>
      <c r="M100" s="51">
        <f>VLOOKUP($A100,'Data Vlaue (Cr)'!$C:$FB,63)</f>
        <v>1053</v>
      </c>
      <c r="N100" s="51">
        <f>VLOOKUP($A100,'Data Vlaue (Cr)'!$C:$FB,64)</f>
        <v>1179</v>
      </c>
      <c r="O100" s="51">
        <f>VLOOKUP($A100,'Data Vlaue (Cr)'!$C:$FB,66)*100</f>
        <v>-10.75</v>
      </c>
    </row>
    <row r="101" spans="1:15" x14ac:dyDescent="0.25">
      <c r="A101" s="101" t="str">
        <f>'Data Vlaue (Cr)'!C96</f>
        <v>INDUSTOWER</v>
      </c>
      <c r="B101" s="50">
        <f>VLOOKUP($A101,'Data Vlaue (Cr)'!$C:$FB,8)</f>
        <v>435.8</v>
      </c>
      <c r="C101" s="50">
        <f>VLOOKUP($A101,'Data Vlaue (Cr)'!$C:$FB,11)*100</f>
        <v>4.07</v>
      </c>
      <c r="D101" s="50">
        <f>VLOOKUP($A101,'Data Vlaue (Cr)'!$C:$FB,143)</f>
        <v>7530.11</v>
      </c>
      <c r="E101" s="50">
        <f>VLOOKUP($A101,'Data Vlaue (Cr)'!$C:$FB,144)</f>
        <v>11567.61</v>
      </c>
      <c r="F101" s="50">
        <f>VLOOKUP($A101,'Data Vlaue (Cr)'!$C:$FB,146)*100</f>
        <v>-34.9</v>
      </c>
      <c r="G101" s="49">
        <f>VLOOKUP($A101,'Data Vlaue (Cr)'!$C:$FB,43)</f>
        <v>1387</v>
      </c>
      <c r="H101" s="49">
        <f>VLOOKUP($A101,'Data Vlaue (Cr)'!$C:$FB,44)</f>
        <v>2448</v>
      </c>
      <c r="I101" s="49">
        <f>VLOOKUP($A101,'Data Vlaue (Cr)'!$C:$FB,46)*100</f>
        <v>-43.33</v>
      </c>
      <c r="J101" s="51">
        <f>VLOOKUP($A101,'Data Vlaue (Cr)'!$C:$FB,59)</f>
        <v>4250</v>
      </c>
      <c r="K101" s="51">
        <f>VLOOKUP($A101,'Data Vlaue (Cr)'!$C:$FB,60)</f>
        <v>6082</v>
      </c>
      <c r="L101" s="51">
        <f>VLOOKUP($A101,'Data Vlaue (Cr)'!$C:$FB,62)*100</f>
        <v>-30.12</v>
      </c>
      <c r="M101" s="51">
        <f>VLOOKUP($A101,'Data Vlaue (Cr)'!$C:$FB,63)</f>
        <v>1804</v>
      </c>
      <c r="N101" s="51">
        <f>VLOOKUP($A101,'Data Vlaue (Cr)'!$C:$FB,64)</f>
        <v>3133</v>
      </c>
      <c r="O101" s="51">
        <f>VLOOKUP($A101,'Data Vlaue (Cr)'!$C:$FB,66)*100</f>
        <v>-42.43</v>
      </c>
    </row>
    <row r="102" spans="1:15" x14ac:dyDescent="0.25">
      <c r="A102" s="101" t="str">
        <f>'Data Vlaue (Cr)'!C97</f>
        <v>INFY</v>
      </c>
      <c r="B102" s="50">
        <f>VLOOKUP($A102,'Data Vlaue (Cr)'!$C:$FB,8)</f>
        <v>1629.8</v>
      </c>
      <c r="C102" s="50">
        <f>VLOOKUP($A102,'Data Vlaue (Cr)'!$C:$FB,11)*100</f>
        <v>0.89</v>
      </c>
      <c r="D102" s="50">
        <f>VLOOKUP($A102,'Data Vlaue (Cr)'!$C:$FB,143)</f>
        <v>3718.37</v>
      </c>
      <c r="E102" s="50">
        <f>VLOOKUP($A102,'Data Vlaue (Cr)'!$C:$FB,144)</f>
        <v>5026.07</v>
      </c>
      <c r="F102" s="50">
        <f>VLOOKUP($A102,'Data Vlaue (Cr)'!$C:$FB,146)*100</f>
        <v>-26.02</v>
      </c>
      <c r="G102" s="49">
        <f>VLOOKUP($A102,'Data Vlaue (Cr)'!$C:$FB,43)</f>
        <v>524</v>
      </c>
      <c r="H102" s="49">
        <f>VLOOKUP($A102,'Data Vlaue (Cr)'!$C:$FB,44)</f>
        <v>1235</v>
      </c>
      <c r="I102" s="49">
        <f>VLOOKUP($A102,'Data Vlaue (Cr)'!$C:$FB,46)*100</f>
        <v>-57.609999999999992</v>
      </c>
      <c r="J102" s="51">
        <f>VLOOKUP($A102,'Data Vlaue (Cr)'!$C:$FB,59)</f>
        <v>2170</v>
      </c>
      <c r="K102" s="51">
        <f>VLOOKUP($A102,'Data Vlaue (Cr)'!$C:$FB,60)</f>
        <v>2457</v>
      </c>
      <c r="L102" s="51">
        <f>VLOOKUP($A102,'Data Vlaue (Cr)'!$C:$FB,62)*100</f>
        <v>-11.67</v>
      </c>
      <c r="M102" s="51">
        <f>VLOOKUP($A102,'Data Vlaue (Cr)'!$C:$FB,63)</f>
        <v>946</v>
      </c>
      <c r="N102" s="51">
        <f>VLOOKUP($A102,'Data Vlaue (Cr)'!$C:$FB,64)</f>
        <v>1265</v>
      </c>
      <c r="O102" s="51">
        <f>VLOOKUP($A102,'Data Vlaue (Cr)'!$C:$FB,66)*100</f>
        <v>-25.230000000000004</v>
      </c>
    </row>
    <row r="103" spans="1:15" x14ac:dyDescent="0.25">
      <c r="A103" s="101" t="str">
        <f>'Data Vlaue (Cr)'!C98</f>
        <v>INOXWIND</v>
      </c>
      <c r="B103" s="50">
        <f>VLOOKUP($A103,'Data Vlaue (Cr)'!$C:$FB,8)</f>
        <v>122.85</v>
      </c>
      <c r="C103" s="50">
        <f>VLOOKUP($A103,'Data Vlaue (Cr)'!$C:$FB,11)*100</f>
        <v>-0.54999999999999993</v>
      </c>
      <c r="D103" s="50">
        <f>VLOOKUP($A103,'Data Vlaue (Cr)'!$C:$FB,143)</f>
        <v>162.84</v>
      </c>
      <c r="E103" s="50">
        <f>VLOOKUP($A103,'Data Vlaue (Cr)'!$C:$FB,144)</f>
        <v>496.84</v>
      </c>
      <c r="F103" s="50">
        <f>VLOOKUP($A103,'Data Vlaue (Cr)'!$C:$FB,146)*100</f>
        <v>-67.23</v>
      </c>
      <c r="G103" s="49">
        <f>VLOOKUP($A103,'Data Vlaue (Cr)'!$C:$FB,43)</f>
        <v>60</v>
      </c>
      <c r="H103" s="49">
        <f>VLOOKUP($A103,'Data Vlaue (Cr)'!$C:$FB,44)</f>
        <v>209</v>
      </c>
      <c r="I103" s="49">
        <f>VLOOKUP($A103,'Data Vlaue (Cr)'!$C:$FB,46)*100</f>
        <v>-71.240000000000009</v>
      </c>
      <c r="J103" s="51">
        <f>VLOOKUP($A103,'Data Vlaue (Cr)'!$C:$FB,59)</f>
        <v>71</v>
      </c>
      <c r="K103" s="51">
        <f>VLOOKUP($A103,'Data Vlaue (Cr)'!$C:$FB,60)</f>
        <v>189</v>
      </c>
      <c r="L103" s="51">
        <f>VLOOKUP($A103,'Data Vlaue (Cr)'!$C:$FB,62)*100</f>
        <v>-62.72</v>
      </c>
      <c r="M103" s="51">
        <f>VLOOKUP($A103,'Data Vlaue (Cr)'!$C:$FB,63)</f>
        <v>27</v>
      </c>
      <c r="N103" s="51">
        <f>VLOOKUP($A103,'Data Vlaue (Cr)'!$C:$FB,64)</f>
        <v>82</v>
      </c>
      <c r="O103" s="51">
        <f>VLOOKUP($A103,'Data Vlaue (Cr)'!$C:$FB,66)*100</f>
        <v>-67.650000000000006</v>
      </c>
    </row>
    <row r="104" spans="1:15" x14ac:dyDescent="0.25">
      <c r="A104" s="101" t="str">
        <f>'Data Vlaue (Cr)'!C99</f>
        <v>IOC</v>
      </c>
      <c r="B104" s="50">
        <f>VLOOKUP($A104,'Data Vlaue (Cr)'!$C:$FB,8)</f>
        <v>165.88</v>
      </c>
      <c r="C104" s="50">
        <f>VLOOKUP($A104,'Data Vlaue (Cr)'!$C:$FB,11)*100</f>
        <v>-0.35000000000000003</v>
      </c>
      <c r="D104" s="50">
        <f>VLOOKUP($A104,'Data Vlaue (Cr)'!$C:$FB,143)</f>
        <v>1564.45</v>
      </c>
      <c r="E104" s="50">
        <f>VLOOKUP($A104,'Data Vlaue (Cr)'!$C:$FB,144)</f>
        <v>2631.83</v>
      </c>
      <c r="F104" s="50">
        <f>VLOOKUP($A104,'Data Vlaue (Cr)'!$C:$FB,146)*100</f>
        <v>-40.56</v>
      </c>
      <c r="G104" s="49">
        <f>VLOOKUP($A104,'Data Vlaue (Cr)'!$C:$FB,43)</f>
        <v>234</v>
      </c>
      <c r="H104" s="49">
        <f>VLOOKUP($A104,'Data Vlaue (Cr)'!$C:$FB,44)</f>
        <v>548</v>
      </c>
      <c r="I104" s="49">
        <f>VLOOKUP($A104,'Data Vlaue (Cr)'!$C:$FB,46)*100</f>
        <v>-57.320000000000007</v>
      </c>
      <c r="J104" s="51">
        <f>VLOOKUP($A104,'Data Vlaue (Cr)'!$C:$FB,59)</f>
        <v>918</v>
      </c>
      <c r="K104" s="51">
        <f>VLOOKUP($A104,'Data Vlaue (Cr)'!$C:$FB,60)</f>
        <v>1387</v>
      </c>
      <c r="L104" s="51">
        <f>VLOOKUP($A104,'Data Vlaue (Cr)'!$C:$FB,62)*100</f>
        <v>-33.78</v>
      </c>
      <c r="M104" s="51">
        <f>VLOOKUP($A104,'Data Vlaue (Cr)'!$C:$FB,63)</f>
        <v>378</v>
      </c>
      <c r="N104" s="51">
        <f>VLOOKUP($A104,'Data Vlaue (Cr)'!$C:$FB,64)</f>
        <v>667</v>
      </c>
      <c r="O104" s="51">
        <f>VLOOKUP($A104,'Data Vlaue (Cr)'!$C:$FB,66)*100</f>
        <v>-43.38</v>
      </c>
    </row>
    <row r="105" spans="1:15" x14ac:dyDescent="0.25">
      <c r="A105" s="101" t="str">
        <f>'Data Vlaue (Cr)'!C100</f>
        <v>IRCTC</v>
      </c>
      <c r="B105" s="50">
        <f>VLOOKUP($A105,'Data Vlaue (Cr)'!$C:$FB,8)</f>
        <v>685.65</v>
      </c>
      <c r="C105" s="50">
        <f>VLOOKUP($A105,'Data Vlaue (Cr)'!$C:$FB,11)*100</f>
        <v>0.15</v>
      </c>
      <c r="D105" s="50">
        <f>VLOOKUP($A105,'Data Vlaue (Cr)'!$C:$FB,143)</f>
        <v>811.56</v>
      </c>
      <c r="E105" s="50">
        <f>VLOOKUP($A105,'Data Vlaue (Cr)'!$C:$FB,144)</f>
        <v>1332.57</v>
      </c>
      <c r="F105" s="50">
        <f>VLOOKUP($A105,'Data Vlaue (Cr)'!$C:$FB,146)*100</f>
        <v>-39.1</v>
      </c>
      <c r="G105" s="49">
        <f>VLOOKUP($A105,'Data Vlaue (Cr)'!$C:$FB,43)</f>
        <v>104</v>
      </c>
      <c r="H105" s="49">
        <f>VLOOKUP($A105,'Data Vlaue (Cr)'!$C:$FB,44)</f>
        <v>151</v>
      </c>
      <c r="I105" s="49">
        <f>VLOOKUP($A105,'Data Vlaue (Cr)'!$C:$FB,46)*100</f>
        <v>-30.95</v>
      </c>
      <c r="J105" s="51">
        <f>VLOOKUP($A105,'Data Vlaue (Cr)'!$C:$FB,59)</f>
        <v>533</v>
      </c>
      <c r="K105" s="51">
        <f>VLOOKUP($A105,'Data Vlaue (Cr)'!$C:$FB,60)</f>
        <v>879</v>
      </c>
      <c r="L105" s="51">
        <f>VLOOKUP($A105,'Data Vlaue (Cr)'!$C:$FB,62)*100</f>
        <v>-39.340000000000003</v>
      </c>
      <c r="M105" s="51">
        <f>VLOOKUP($A105,'Data Vlaue (Cr)'!$C:$FB,63)</f>
        <v>149</v>
      </c>
      <c r="N105" s="51">
        <f>VLOOKUP($A105,'Data Vlaue (Cr)'!$C:$FB,64)</f>
        <v>255</v>
      </c>
      <c r="O105" s="51">
        <f>VLOOKUP($A105,'Data Vlaue (Cr)'!$C:$FB,66)*100</f>
        <v>-41.32</v>
      </c>
    </row>
    <row r="106" spans="1:15" x14ac:dyDescent="0.25">
      <c r="A106" s="101" t="str">
        <f>'Data Vlaue (Cr)'!C101</f>
        <v>IREDA</v>
      </c>
      <c r="B106" s="50">
        <f>VLOOKUP($A106,'Data Vlaue (Cr)'!$C:$FB,8)</f>
        <v>139.36000000000001</v>
      </c>
      <c r="C106" s="50">
        <f>VLOOKUP($A106,'Data Vlaue (Cr)'!$C:$FB,11)*100</f>
        <v>-0.38999999999999996</v>
      </c>
      <c r="D106" s="50">
        <f>VLOOKUP($A106,'Data Vlaue (Cr)'!$C:$FB,143)</f>
        <v>537.29</v>
      </c>
      <c r="E106" s="50">
        <f>VLOOKUP($A106,'Data Vlaue (Cr)'!$C:$FB,144)</f>
        <v>597.76</v>
      </c>
      <c r="F106" s="50">
        <f>VLOOKUP($A106,'Data Vlaue (Cr)'!$C:$FB,146)*100</f>
        <v>-10.119999999999999</v>
      </c>
      <c r="G106" s="49">
        <f>VLOOKUP($A106,'Data Vlaue (Cr)'!$C:$FB,43)</f>
        <v>165</v>
      </c>
      <c r="H106" s="49">
        <f>VLOOKUP($A106,'Data Vlaue (Cr)'!$C:$FB,44)</f>
        <v>140</v>
      </c>
      <c r="I106" s="49">
        <f>VLOOKUP($A106,'Data Vlaue (Cr)'!$C:$FB,46)*100</f>
        <v>17.47</v>
      </c>
      <c r="J106" s="51">
        <f>VLOOKUP($A106,'Data Vlaue (Cr)'!$C:$FB,59)</f>
        <v>287</v>
      </c>
      <c r="K106" s="51">
        <f>VLOOKUP($A106,'Data Vlaue (Cr)'!$C:$FB,60)</f>
        <v>334</v>
      </c>
      <c r="L106" s="51">
        <f>VLOOKUP($A106,'Data Vlaue (Cr)'!$C:$FB,62)*100</f>
        <v>-14.02</v>
      </c>
      <c r="M106" s="51">
        <f>VLOOKUP($A106,'Data Vlaue (Cr)'!$C:$FB,63)</f>
        <v>61</v>
      </c>
      <c r="N106" s="51">
        <f>VLOOKUP($A106,'Data Vlaue (Cr)'!$C:$FB,64)</f>
        <v>99</v>
      </c>
      <c r="O106" s="51">
        <f>VLOOKUP($A106,'Data Vlaue (Cr)'!$C:$FB,66)*100</f>
        <v>-38.479999999999997</v>
      </c>
    </row>
    <row r="107" spans="1:15" x14ac:dyDescent="0.25">
      <c r="A107" s="101" t="str">
        <f>'Data Vlaue (Cr)'!C102</f>
        <v>IRFC</v>
      </c>
      <c r="B107" s="50">
        <f>VLOOKUP($A107,'Data Vlaue (Cr)'!$C:$FB,8)</f>
        <v>125.79</v>
      </c>
      <c r="C107" s="50">
        <f>VLOOKUP($A107,'Data Vlaue (Cr)'!$C:$FB,11)*100</f>
        <v>0.94000000000000006</v>
      </c>
      <c r="D107" s="50">
        <f>VLOOKUP($A107,'Data Vlaue (Cr)'!$C:$FB,143)</f>
        <v>866.17</v>
      </c>
      <c r="E107" s="50">
        <f>VLOOKUP($A107,'Data Vlaue (Cr)'!$C:$FB,144)</f>
        <v>1467.98</v>
      </c>
      <c r="F107" s="50">
        <f>VLOOKUP($A107,'Data Vlaue (Cr)'!$C:$FB,146)*100</f>
        <v>-41</v>
      </c>
      <c r="G107" s="49">
        <f>VLOOKUP($A107,'Data Vlaue (Cr)'!$C:$FB,43)</f>
        <v>152</v>
      </c>
      <c r="H107" s="49">
        <f>VLOOKUP($A107,'Data Vlaue (Cr)'!$C:$FB,44)</f>
        <v>246</v>
      </c>
      <c r="I107" s="49">
        <f>VLOOKUP($A107,'Data Vlaue (Cr)'!$C:$FB,46)*100</f>
        <v>-38.31</v>
      </c>
      <c r="J107" s="51">
        <f>VLOOKUP($A107,'Data Vlaue (Cr)'!$C:$FB,59)</f>
        <v>532</v>
      </c>
      <c r="K107" s="51">
        <f>VLOOKUP($A107,'Data Vlaue (Cr)'!$C:$FB,60)</f>
        <v>894</v>
      </c>
      <c r="L107" s="51">
        <f>VLOOKUP($A107,'Data Vlaue (Cr)'!$C:$FB,62)*100</f>
        <v>-40.57</v>
      </c>
      <c r="M107" s="51">
        <f>VLOOKUP($A107,'Data Vlaue (Cr)'!$C:$FB,63)</f>
        <v>147</v>
      </c>
      <c r="N107" s="51">
        <f>VLOOKUP($A107,'Data Vlaue (Cr)'!$C:$FB,64)</f>
        <v>264</v>
      </c>
      <c r="O107" s="51">
        <f>VLOOKUP($A107,'Data Vlaue (Cr)'!$C:$FB,66)*100</f>
        <v>-44.07</v>
      </c>
    </row>
    <row r="108" spans="1:15" x14ac:dyDescent="0.25">
      <c r="A108" s="101" t="str">
        <f>'Data Vlaue (Cr)'!C103</f>
        <v>ITC</v>
      </c>
      <c r="B108" s="50">
        <f>VLOOKUP($A108,'Data Vlaue (Cr)'!$C:$FB,8)</f>
        <v>363.85</v>
      </c>
      <c r="C108" s="50">
        <f>VLOOKUP($A108,'Data Vlaue (Cr)'!$C:$FB,11)*100</f>
        <v>-9.7100000000000009</v>
      </c>
      <c r="D108" s="50">
        <f>VLOOKUP($A108,'Data Vlaue (Cr)'!$C:$FB,143)</f>
        <v>65032.160000000003</v>
      </c>
      <c r="E108" s="50">
        <f>VLOOKUP($A108,'Data Vlaue (Cr)'!$C:$FB,144)</f>
        <v>2989.26</v>
      </c>
      <c r="F108" s="50">
        <f>VLOOKUP($A108,'Data Vlaue (Cr)'!$C:$FB,146)*100</f>
        <v>2075.5299999999997</v>
      </c>
      <c r="G108" s="49">
        <f>VLOOKUP($A108,'Data Vlaue (Cr)'!$C:$FB,43)</f>
        <v>7336</v>
      </c>
      <c r="H108" s="49">
        <f>VLOOKUP($A108,'Data Vlaue (Cr)'!$C:$FB,44)</f>
        <v>347</v>
      </c>
      <c r="I108" s="49">
        <f>VLOOKUP($A108,'Data Vlaue (Cr)'!$C:$FB,46)*100</f>
        <v>2014.18</v>
      </c>
      <c r="J108" s="51">
        <f>VLOOKUP($A108,'Data Vlaue (Cr)'!$C:$FB,59)</f>
        <v>29194</v>
      </c>
      <c r="K108" s="51">
        <f>VLOOKUP($A108,'Data Vlaue (Cr)'!$C:$FB,60)</f>
        <v>1651</v>
      </c>
      <c r="L108" s="51">
        <f>VLOOKUP($A108,'Data Vlaue (Cr)'!$C:$FB,62)*100</f>
        <v>1668.48</v>
      </c>
      <c r="M108" s="51">
        <f>VLOOKUP($A108,'Data Vlaue (Cr)'!$C:$FB,63)</f>
        <v>25559</v>
      </c>
      <c r="N108" s="51">
        <f>VLOOKUP($A108,'Data Vlaue (Cr)'!$C:$FB,64)</f>
        <v>666</v>
      </c>
      <c r="O108" s="51">
        <f>VLOOKUP($A108,'Data Vlaue (Cr)'!$C:$FB,66)*100</f>
        <v>3738.93</v>
      </c>
    </row>
    <row r="109" spans="1:15" x14ac:dyDescent="0.25">
      <c r="A109" s="101" t="str">
        <f>'Data Vlaue (Cr)'!C104</f>
        <v>JINDALSTEL</v>
      </c>
      <c r="B109" s="50">
        <f>VLOOKUP($A109,'Data Vlaue (Cr)'!$C:$FB,8)</f>
        <v>1068.4000000000001</v>
      </c>
      <c r="C109" s="50">
        <f>VLOOKUP($A109,'Data Vlaue (Cr)'!$C:$FB,11)*100</f>
        <v>1.39</v>
      </c>
      <c r="D109" s="50">
        <f>VLOOKUP($A109,'Data Vlaue (Cr)'!$C:$FB,143)</f>
        <v>1579.95</v>
      </c>
      <c r="E109" s="50">
        <f>VLOOKUP($A109,'Data Vlaue (Cr)'!$C:$FB,144)</f>
        <v>4201.9799999999996</v>
      </c>
      <c r="F109" s="50">
        <f>VLOOKUP($A109,'Data Vlaue (Cr)'!$C:$FB,146)*100</f>
        <v>-62.4</v>
      </c>
      <c r="G109" s="49">
        <f>VLOOKUP($A109,'Data Vlaue (Cr)'!$C:$FB,43)</f>
        <v>290</v>
      </c>
      <c r="H109" s="49">
        <f>VLOOKUP($A109,'Data Vlaue (Cr)'!$C:$FB,44)</f>
        <v>750</v>
      </c>
      <c r="I109" s="49">
        <f>VLOOKUP($A109,'Data Vlaue (Cr)'!$C:$FB,46)*100</f>
        <v>-61.370000000000005</v>
      </c>
      <c r="J109" s="51">
        <f>VLOOKUP($A109,'Data Vlaue (Cr)'!$C:$FB,59)</f>
        <v>839</v>
      </c>
      <c r="K109" s="51">
        <f>VLOOKUP($A109,'Data Vlaue (Cr)'!$C:$FB,60)</f>
        <v>2476</v>
      </c>
      <c r="L109" s="51">
        <f>VLOOKUP($A109,'Data Vlaue (Cr)'!$C:$FB,62)*100</f>
        <v>-66.11</v>
      </c>
      <c r="M109" s="51">
        <f>VLOOKUP($A109,'Data Vlaue (Cr)'!$C:$FB,63)</f>
        <v>434</v>
      </c>
      <c r="N109" s="51">
        <f>VLOOKUP($A109,'Data Vlaue (Cr)'!$C:$FB,64)</f>
        <v>927</v>
      </c>
      <c r="O109" s="51">
        <f>VLOOKUP($A109,'Data Vlaue (Cr)'!$C:$FB,66)*100</f>
        <v>-53.15</v>
      </c>
    </row>
    <row r="110" spans="1:15" x14ac:dyDescent="0.25">
      <c r="A110" s="101" t="str">
        <f>'Data Vlaue (Cr)'!C105</f>
        <v>JIOFIN</v>
      </c>
      <c r="B110" s="50">
        <f>VLOOKUP($A110,'Data Vlaue (Cr)'!$C:$FB,8)</f>
        <v>295.7</v>
      </c>
      <c r="C110" s="50">
        <f>VLOOKUP($A110,'Data Vlaue (Cr)'!$C:$FB,11)*100</f>
        <v>0.25</v>
      </c>
      <c r="D110" s="50">
        <f>VLOOKUP($A110,'Data Vlaue (Cr)'!$C:$FB,143)</f>
        <v>887.73</v>
      </c>
      <c r="E110" s="50">
        <f>VLOOKUP($A110,'Data Vlaue (Cr)'!$C:$FB,144)</f>
        <v>1640.82</v>
      </c>
      <c r="F110" s="50">
        <f>VLOOKUP($A110,'Data Vlaue (Cr)'!$C:$FB,146)*100</f>
        <v>-45.9</v>
      </c>
      <c r="G110" s="49">
        <f>VLOOKUP($A110,'Data Vlaue (Cr)'!$C:$FB,43)</f>
        <v>179</v>
      </c>
      <c r="H110" s="49">
        <f>VLOOKUP($A110,'Data Vlaue (Cr)'!$C:$FB,44)</f>
        <v>385</v>
      </c>
      <c r="I110" s="49">
        <f>VLOOKUP($A110,'Data Vlaue (Cr)'!$C:$FB,46)*100</f>
        <v>-53.49</v>
      </c>
      <c r="J110" s="51">
        <f>VLOOKUP($A110,'Data Vlaue (Cr)'!$C:$FB,59)</f>
        <v>501</v>
      </c>
      <c r="K110" s="51">
        <f>VLOOKUP($A110,'Data Vlaue (Cr)'!$C:$FB,60)</f>
        <v>836</v>
      </c>
      <c r="L110" s="51">
        <f>VLOOKUP($A110,'Data Vlaue (Cr)'!$C:$FB,62)*100</f>
        <v>-40.11</v>
      </c>
      <c r="M110" s="51">
        <f>VLOOKUP($A110,'Data Vlaue (Cr)'!$C:$FB,63)</f>
        <v>185</v>
      </c>
      <c r="N110" s="51">
        <f>VLOOKUP($A110,'Data Vlaue (Cr)'!$C:$FB,64)</f>
        <v>383</v>
      </c>
      <c r="O110" s="51">
        <f>VLOOKUP($A110,'Data Vlaue (Cr)'!$C:$FB,66)*100</f>
        <v>-51.66</v>
      </c>
    </row>
    <row r="111" spans="1:15" x14ac:dyDescent="0.25">
      <c r="A111" s="101" t="str">
        <f>'Data Vlaue (Cr)'!C106</f>
        <v>JSWENERGY</v>
      </c>
      <c r="B111" s="50">
        <f>VLOOKUP($A111,'Data Vlaue (Cr)'!$C:$FB,8)</f>
        <v>502</v>
      </c>
      <c r="C111" s="50">
        <f>VLOOKUP($A111,'Data Vlaue (Cr)'!$C:$FB,11)*100</f>
        <v>4.05</v>
      </c>
      <c r="D111" s="50">
        <f>VLOOKUP($A111,'Data Vlaue (Cr)'!$C:$FB,143)</f>
        <v>2064.83</v>
      </c>
      <c r="E111" s="50">
        <f>VLOOKUP($A111,'Data Vlaue (Cr)'!$C:$FB,144)</f>
        <v>605.53</v>
      </c>
      <c r="F111" s="50">
        <f>VLOOKUP($A111,'Data Vlaue (Cr)'!$C:$FB,146)*100</f>
        <v>241</v>
      </c>
      <c r="G111" s="49">
        <f>VLOOKUP($A111,'Data Vlaue (Cr)'!$C:$FB,43)</f>
        <v>316</v>
      </c>
      <c r="H111" s="49">
        <f>VLOOKUP($A111,'Data Vlaue (Cr)'!$C:$FB,44)</f>
        <v>192</v>
      </c>
      <c r="I111" s="49">
        <f>VLOOKUP($A111,'Data Vlaue (Cr)'!$C:$FB,46)*100</f>
        <v>64.81</v>
      </c>
      <c r="J111" s="51">
        <f>VLOOKUP($A111,'Data Vlaue (Cr)'!$C:$FB,59)</f>
        <v>1299</v>
      </c>
      <c r="K111" s="51">
        <f>VLOOKUP($A111,'Data Vlaue (Cr)'!$C:$FB,60)</f>
        <v>301</v>
      </c>
      <c r="L111" s="51">
        <f>VLOOKUP($A111,'Data Vlaue (Cr)'!$C:$FB,62)*100</f>
        <v>331.40999999999997</v>
      </c>
      <c r="M111" s="51">
        <f>VLOOKUP($A111,'Data Vlaue (Cr)'!$C:$FB,63)</f>
        <v>427</v>
      </c>
      <c r="N111" s="51">
        <f>VLOOKUP($A111,'Data Vlaue (Cr)'!$C:$FB,64)</f>
        <v>128</v>
      </c>
      <c r="O111" s="51">
        <f>VLOOKUP($A111,'Data Vlaue (Cr)'!$C:$FB,66)*100</f>
        <v>234.35000000000002</v>
      </c>
    </row>
    <row r="112" spans="1:15" x14ac:dyDescent="0.25">
      <c r="A112" s="101" t="str">
        <f>'Data Vlaue (Cr)'!C107</f>
        <v>JSWSTEEL</v>
      </c>
      <c r="B112" s="50">
        <f>VLOOKUP($A112,'Data Vlaue (Cr)'!$C:$FB,8)</f>
        <v>1171.5</v>
      </c>
      <c r="C112" s="50">
        <f>VLOOKUP($A112,'Data Vlaue (Cr)'!$C:$FB,11)*100</f>
        <v>0.57999999999999996</v>
      </c>
      <c r="D112" s="50">
        <f>VLOOKUP($A112,'Data Vlaue (Cr)'!$C:$FB,143)</f>
        <v>2921.49</v>
      </c>
      <c r="E112" s="50">
        <f>VLOOKUP($A112,'Data Vlaue (Cr)'!$C:$FB,144)</f>
        <v>10212.06</v>
      </c>
      <c r="F112" s="50">
        <f>VLOOKUP($A112,'Data Vlaue (Cr)'!$C:$FB,146)*100</f>
        <v>-71.39</v>
      </c>
      <c r="G112" s="49">
        <f>VLOOKUP($A112,'Data Vlaue (Cr)'!$C:$FB,43)</f>
        <v>362</v>
      </c>
      <c r="H112" s="49">
        <f>VLOOKUP($A112,'Data Vlaue (Cr)'!$C:$FB,44)</f>
        <v>1691</v>
      </c>
      <c r="I112" s="49">
        <f>VLOOKUP($A112,'Data Vlaue (Cr)'!$C:$FB,46)*100</f>
        <v>-78.569999999999993</v>
      </c>
      <c r="J112" s="51">
        <f>VLOOKUP($A112,'Data Vlaue (Cr)'!$C:$FB,59)</f>
        <v>1257</v>
      </c>
      <c r="K112" s="51">
        <f>VLOOKUP($A112,'Data Vlaue (Cr)'!$C:$FB,60)</f>
        <v>5728</v>
      </c>
      <c r="L112" s="51">
        <f>VLOOKUP($A112,'Data Vlaue (Cr)'!$C:$FB,62)*100</f>
        <v>-78.05</v>
      </c>
      <c r="M112" s="51">
        <f>VLOOKUP($A112,'Data Vlaue (Cr)'!$C:$FB,63)</f>
        <v>1317</v>
      </c>
      <c r="N112" s="51">
        <f>VLOOKUP($A112,'Data Vlaue (Cr)'!$C:$FB,64)</f>
        <v>2732</v>
      </c>
      <c r="O112" s="51">
        <f>VLOOKUP($A112,'Data Vlaue (Cr)'!$C:$FB,66)*100</f>
        <v>-51.800000000000004</v>
      </c>
    </row>
    <row r="113" spans="1:15" x14ac:dyDescent="0.25">
      <c r="A113" s="101" t="str">
        <f>'Data Vlaue (Cr)'!C108</f>
        <v>JUBLFOOD</v>
      </c>
      <c r="B113" s="50">
        <f>VLOOKUP($A113,'Data Vlaue (Cr)'!$C:$FB,8)</f>
        <v>553.15</v>
      </c>
      <c r="C113" s="50">
        <f>VLOOKUP($A113,'Data Vlaue (Cr)'!$C:$FB,11)*100</f>
        <v>-0.98</v>
      </c>
      <c r="D113" s="50">
        <f>VLOOKUP($A113,'Data Vlaue (Cr)'!$C:$FB,143)</f>
        <v>485.3</v>
      </c>
      <c r="E113" s="50">
        <f>VLOOKUP($A113,'Data Vlaue (Cr)'!$C:$FB,144)</f>
        <v>869.67</v>
      </c>
      <c r="F113" s="50">
        <f>VLOOKUP($A113,'Data Vlaue (Cr)'!$C:$FB,146)*100</f>
        <v>-44.2</v>
      </c>
      <c r="G113" s="49">
        <f>VLOOKUP($A113,'Data Vlaue (Cr)'!$C:$FB,43)</f>
        <v>139</v>
      </c>
      <c r="H113" s="49">
        <f>VLOOKUP($A113,'Data Vlaue (Cr)'!$C:$FB,44)</f>
        <v>246</v>
      </c>
      <c r="I113" s="49">
        <f>VLOOKUP($A113,'Data Vlaue (Cr)'!$C:$FB,46)*100</f>
        <v>-43.57</v>
      </c>
      <c r="J113" s="51">
        <f>VLOOKUP($A113,'Data Vlaue (Cr)'!$C:$FB,59)</f>
        <v>187</v>
      </c>
      <c r="K113" s="51">
        <f>VLOOKUP($A113,'Data Vlaue (Cr)'!$C:$FB,60)</f>
        <v>388</v>
      </c>
      <c r="L113" s="51">
        <f>VLOOKUP($A113,'Data Vlaue (Cr)'!$C:$FB,62)*100</f>
        <v>-51.93</v>
      </c>
      <c r="M113" s="51">
        <f>VLOOKUP($A113,'Data Vlaue (Cr)'!$C:$FB,63)</f>
        <v>149</v>
      </c>
      <c r="N113" s="51">
        <f>VLOOKUP($A113,'Data Vlaue (Cr)'!$C:$FB,64)</f>
        <v>206</v>
      </c>
      <c r="O113" s="51">
        <f>VLOOKUP($A113,'Data Vlaue (Cr)'!$C:$FB,66)*100</f>
        <v>-27.800000000000004</v>
      </c>
    </row>
    <row r="114" spans="1:15" x14ac:dyDescent="0.25">
      <c r="A114" s="101" t="str">
        <f>'Data Vlaue (Cr)'!C109</f>
        <v>KALYANKJIL</v>
      </c>
      <c r="B114" s="50">
        <f>VLOOKUP($A114,'Data Vlaue (Cr)'!$C:$FB,8)</f>
        <v>484.2</v>
      </c>
      <c r="C114" s="50">
        <f>VLOOKUP($A114,'Data Vlaue (Cr)'!$C:$FB,11)*100</f>
        <v>-0.24</v>
      </c>
      <c r="D114" s="50">
        <f>VLOOKUP($A114,'Data Vlaue (Cr)'!$C:$FB,143)</f>
        <v>162.07</v>
      </c>
      <c r="E114" s="50">
        <f>VLOOKUP($A114,'Data Vlaue (Cr)'!$C:$FB,144)</f>
        <v>350.51</v>
      </c>
      <c r="F114" s="50">
        <f>VLOOKUP($A114,'Data Vlaue (Cr)'!$C:$FB,146)*100</f>
        <v>-53.76</v>
      </c>
      <c r="G114" s="49">
        <f>VLOOKUP($A114,'Data Vlaue (Cr)'!$C:$FB,43)</f>
        <v>42</v>
      </c>
      <c r="H114" s="49">
        <f>VLOOKUP($A114,'Data Vlaue (Cr)'!$C:$FB,44)</f>
        <v>95</v>
      </c>
      <c r="I114" s="49">
        <f>VLOOKUP($A114,'Data Vlaue (Cr)'!$C:$FB,46)*100</f>
        <v>-55.669999999999995</v>
      </c>
      <c r="J114" s="51">
        <f>VLOOKUP($A114,'Data Vlaue (Cr)'!$C:$FB,59)</f>
        <v>86</v>
      </c>
      <c r="K114" s="51">
        <f>VLOOKUP($A114,'Data Vlaue (Cr)'!$C:$FB,60)</f>
        <v>166</v>
      </c>
      <c r="L114" s="51">
        <f>VLOOKUP($A114,'Data Vlaue (Cr)'!$C:$FB,62)*100</f>
        <v>-47.96</v>
      </c>
      <c r="M114" s="51">
        <f>VLOOKUP($A114,'Data Vlaue (Cr)'!$C:$FB,63)</f>
        <v>29</v>
      </c>
      <c r="N114" s="51">
        <f>VLOOKUP($A114,'Data Vlaue (Cr)'!$C:$FB,64)</f>
        <v>80</v>
      </c>
      <c r="O114" s="51">
        <f>VLOOKUP($A114,'Data Vlaue (Cr)'!$C:$FB,66)*100</f>
        <v>-63.6</v>
      </c>
    </row>
    <row r="115" spans="1:15" x14ac:dyDescent="0.25">
      <c r="A115" s="101" t="str">
        <f>'Data Vlaue (Cr)'!C110</f>
        <v>KAYNES</v>
      </c>
      <c r="B115" s="50">
        <f>VLOOKUP($A115,'Data Vlaue (Cr)'!$C:$FB,8)</f>
        <v>3943.5</v>
      </c>
      <c r="C115" s="50">
        <f>VLOOKUP($A115,'Data Vlaue (Cr)'!$C:$FB,11)*100</f>
        <v>-1.73</v>
      </c>
      <c r="D115" s="50">
        <f>VLOOKUP($A115,'Data Vlaue (Cr)'!$C:$FB,143)</f>
        <v>1325.33</v>
      </c>
      <c r="E115" s="50">
        <f>VLOOKUP($A115,'Data Vlaue (Cr)'!$C:$FB,144)</f>
        <v>1783.56</v>
      </c>
      <c r="F115" s="50">
        <f>VLOOKUP($A115,'Data Vlaue (Cr)'!$C:$FB,146)*100</f>
        <v>-25.69</v>
      </c>
      <c r="G115" s="49">
        <f>VLOOKUP($A115,'Data Vlaue (Cr)'!$C:$FB,43)</f>
        <v>202</v>
      </c>
      <c r="H115" s="49">
        <f>VLOOKUP($A115,'Data Vlaue (Cr)'!$C:$FB,44)</f>
        <v>230</v>
      </c>
      <c r="I115" s="49">
        <f>VLOOKUP($A115,'Data Vlaue (Cr)'!$C:$FB,46)*100</f>
        <v>-12.04</v>
      </c>
      <c r="J115" s="51">
        <f>VLOOKUP($A115,'Data Vlaue (Cr)'!$C:$FB,59)</f>
        <v>669</v>
      </c>
      <c r="K115" s="51">
        <f>VLOOKUP($A115,'Data Vlaue (Cr)'!$C:$FB,60)</f>
        <v>961</v>
      </c>
      <c r="L115" s="51">
        <f>VLOOKUP($A115,'Data Vlaue (Cr)'!$C:$FB,62)*100</f>
        <v>-30.34</v>
      </c>
      <c r="M115" s="51">
        <f>VLOOKUP($A115,'Data Vlaue (Cr)'!$C:$FB,63)</f>
        <v>385</v>
      </c>
      <c r="N115" s="51">
        <f>VLOOKUP($A115,'Data Vlaue (Cr)'!$C:$FB,64)</f>
        <v>478</v>
      </c>
      <c r="O115" s="51">
        <f>VLOOKUP($A115,'Data Vlaue (Cr)'!$C:$FB,66)*100</f>
        <v>-19.55</v>
      </c>
    </row>
    <row r="116" spans="1:15" x14ac:dyDescent="0.25">
      <c r="A116" s="101" t="str">
        <f>'Data Vlaue (Cr)'!C111</f>
        <v>KEI</v>
      </c>
      <c r="B116" s="50">
        <f>VLOOKUP($A116,'Data Vlaue (Cr)'!$C:$FB,8)</f>
        <v>4514.5</v>
      </c>
      <c r="C116" s="50">
        <f>VLOOKUP($A116,'Data Vlaue (Cr)'!$C:$FB,11)*100</f>
        <v>1.22</v>
      </c>
      <c r="D116" s="50">
        <f>VLOOKUP($A116,'Data Vlaue (Cr)'!$C:$FB,143)</f>
        <v>493.12</v>
      </c>
      <c r="E116" s="50">
        <f>VLOOKUP($A116,'Data Vlaue (Cr)'!$C:$FB,144)</f>
        <v>659.16</v>
      </c>
      <c r="F116" s="50">
        <f>VLOOKUP($A116,'Data Vlaue (Cr)'!$C:$FB,146)*100</f>
        <v>-25.19</v>
      </c>
      <c r="G116" s="49">
        <f>VLOOKUP($A116,'Data Vlaue (Cr)'!$C:$FB,43)</f>
        <v>94</v>
      </c>
      <c r="H116" s="49">
        <f>VLOOKUP($A116,'Data Vlaue (Cr)'!$C:$FB,44)</f>
        <v>146</v>
      </c>
      <c r="I116" s="49">
        <f>VLOOKUP($A116,'Data Vlaue (Cr)'!$C:$FB,46)*100</f>
        <v>-36.08</v>
      </c>
      <c r="J116" s="51">
        <f>VLOOKUP($A116,'Data Vlaue (Cr)'!$C:$FB,59)</f>
        <v>292</v>
      </c>
      <c r="K116" s="51">
        <f>VLOOKUP($A116,'Data Vlaue (Cr)'!$C:$FB,60)</f>
        <v>393</v>
      </c>
      <c r="L116" s="51">
        <f>VLOOKUP($A116,'Data Vlaue (Cr)'!$C:$FB,62)*100</f>
        <v>-25.779999999999998</v>
      </c>
      <c r="M116" s="51">
        <f>VLOOKUP($A116,'Data Vlaue (Cr)'!$C:$FB,63)</f>
        <v>100</v>
      </c>
      <c r="N116" s="51">
        <f>VLOOKUP($A116,'Data Vlaue (Cr)'!$C:$FB,64)</f>
        <v>119</v>
      </c>
      <c r="O116" s="51">
        <f>VLOOKUP($A116,'Data Vlaue (Cr)'!$C:$FB,66)*100</f>
        <v>-15.879999999999999</v>
      </c>
    </row>
    <row r="117" spans="1:15" x14ac:dyDescent="0.25">
      <c r="A117" s="101" t="str">
        <f>'Data Vlaue (Cr)'!C112</f>
        <v>KFINTECH</v>
      </c>
      <c r="B117" s="50">
        <f>VLOOKUP($A117,'Data Vlaue (Cr)'!$C:$FB,8)</f>
        <v>1076.7</v>
      </c>
      <c r="C117" s="50">
        <f>VLOOKUP($A117,'Data Vlaue (Cr)'!$C:$FB,11)*100</f>
        <v>-0.49</v>
      </c>
      <c r="D117" s="50">
        <f>VLOOKUP($A117,'Data Vlaue (Cr)'!$C:$FB,143)</f>
        <v>178.36</v>
      </c>
      <c r="E117" s="50">
        <f>VLOOKUP($A117,'Data Vlaue (Cr)'!$C:$FB,144)</f>
        <v>185.54</v>
      </c>
      <c r="F117" s="50">
        <f>VLOOKUP($A117,'Data Vlaue (Cr)'!$C:$FB,146)*100</f>
        <v>-3.8699999999999997</v>
      </c>
      <c r="G117" s="49">
        <f>VLOOKUP($A117,'Data Vlaue (Cr)'!$C:$FB,43)</f>
        <v>67</v>
      </c>
      <c r="H117" s="49">
        <f>VLOOKUP($A117,'Data Vlaue (Cr)'!$C:$FB,44)</f>
        <v>79</v>
      </c>
      <c r="I117" s="49">
        <f>VLOOKUP($A117,'Data Vlaue (Cr)'!$C:$FB,46)*100</f>
        <v>-15.229999999999999</v>
      </c>
      <c r="J117" s="51">
        <f>VLOOKUP($A117,'Data Vlaue (Cr)'!$C:$FB,59)</f>
        <v>82</v>
      </c>
      <c r="K117" s="51">
        <f>VLOOKUP($A117,'Data Vlaue (Cr)'!$C:$FB,60)</f>
        <v>66</v>
      </c>
      <c r="L117" s="51">
        <f>VLOOKUP($A117,'Data Vlaue (Cr)'!$C:$FB,62)*100</f>
        <v>24.060000000000002</v>
      </c>
      <c r="M117" s="51">
        <f>VLOOKUP($A117,'Data Vlaue (Cr)'!$C:$FB,63)</f>
        <v>27</v>
      </c>
      <c r="N117" s="51">
        <f>VLOOKUP($A117,'Data Vlaue (Cr)'!$C:$FB,64)</f>
        <v>38</v>
      </c>
      <c r="O117" s="51">
        <f>VLOOKUP($A117,'Data Vlaue (Cr)'!$C:$FB,66)*100</f>
        <v>-30.580000000000002</v>
      </c>
    </row>
    <row r="118" spans="1:15" x14ac:dyDescent="0.25">
      <c r="A118" s="101" t="str">
        <f>'Data Vlaue (Cr)'!C113</f>
        <v>KOTAKBANK</v>
      </c>
      <c r="B118" s="50">
        <f>VLOOKUP($A118,'Data Vlaue (Cr)'!$C:$FB,8)</f>
        <v>2217.8000000000002</v>
      </c>
      <c r="C118" s="50">
        <f>VLOOKUP($A118,'Data Vlaue (Cr)'!$C:$FB,11)*100</f>
        <v>0.76</v>
      </c>
      <c r="D118" s="50">
        <f>VLOOKUP($A118,'Data Vlaue (Cr)'!$C:$FB,143)</f>
        <v>3226.78</v>
      </c>
      <c r="E118" s="50">
        <f>VLOOKUP($A118,'Data Vlaue (Cr)'!$C:$FB,144)</f>
        <v>5167.47</v>
      </c>
      <c r="F118" s="50">
        <f>VLOOKUP($A118,'Data Vlaue (Cr)'!$C:$FB,146)*100</f>
        <v>-37.56</v>
      </c>
      <c r="G118" s="49">
        <f>VLOOKUP($A118,'Data Vlaue (Cr)'!$C:$FB,43)</f>
        <v>527</v>
      </c>
      <c r="H118" s="49">
        <f>VLOOKUP($A118,'Data Vlaue (Cr)'!$C:$FB,44)</f>
        <v>1239</v>
      </c>
      <c r="I118" s="49">
        <f>VLOOKUP($A118,'Data Vlaue (Cr)'!$C:$FB,46)*100</f>
        <v>-57.440000000000005</v>
      </c>
      <c r="J118" s="51">
        <f>VLOOKUP($A118,'Data Vlaue (Cr)'!$C:$FB,59)</f>
        <v>1800</v>
      </c>
      <c r="K118" s="51">
        <f>VLOOKUP($A118,'Data Vlaue (Cr)'!$C:$FB,60)</f>
        <v>2678</v>
      </c>
      <c r="L118" s="51">
        <f>VLOOKUP($A118,'Data Vlaue (Cr)'!$C:$FB,62)*100</f>
        <v>-32.79</v>
      </c>
      <c r="M118" s="51">
        <f>VLOOKUP($A118,'Data Vlaue (Cr)'!$C:$FB,63)</f>
        <v>871</v>
      </c>
      <c r="N118" s="51">
        <f>VLOOKUP($A118,'Data Vlaue (Cr)'!$C:$FB,64)</f>
        <v>1259</v>
      </c>
      <c r="O118" s="51">
        <f>VLOOKUP($A118,'Data Vlaue (Cr)'!$C:$FB,66)*100</f>
        <v>-30.81</v>
      </c>
    </row>
    <row r="119" spans="1:15" x14ac:dyDescent="0.25">
      <c r="A119" s="101" t="str">
        <f>'Data Vlaue (Cr)'!C114</f>
        <v>KPITTECH</v>
      </c>
      <c r="B119" s="50">
        <f>VLOOKUP($A119,'Data Vlaue (Cr)'!$C:$FB,8)</f>
        <v>1163.2</v>
      </c>
      <c r="C119" s="50">
        <f>VLOOKUP($A119,'Data Vlaue (Cr)'!$C:$FB,11)*100</f>
        <v>-0.79</v>
      </c>
      <c r="D119" s="50">
        <f>VLOOKUP($A119,'Data Vlaue (Cr)'!$C:$FB,143)</f>
        <v>184.08</v>
      </c>
      <c r="E119" s="50">
        <f>VLOOKUP($A119,'Data Vlaue (Cr)'!$C:$FB,144)</f>
        <v>228.98</v>
      </c>
      <c r="F119" s="50">
        <f>VLOOKUP($A119,'Data Vlaue (Cr)'!$C:$FB,146)*100</f>
        <v>-19.61</v>
      </c>
      <c r="G119" s="49">
        <f>VLOOKUP($A119,'Data Vlaue (Cr)'!$C:$FB,43)</f>
        <v>76</v>
      </c>
      <c r="H119" s="49">
        <f>VLOOKUP($A119,'Data Vlaue (Cr)'!$C:$FB,44)</f>
        <v>74</v>
      </c>
      <c r="I119" s="49">
        <f>VLOOKUP($A119,'Data Vlaue (Cr)'!$C:$FB,46)*100</f>
        <v>2.59</v>
      </c>
      <c r="J119" s="51">
        <f>VLOOKUP($A119,'Data Vlaue (Cr)'!$C:$FB,59)</f>
        <v>71</v>
      </c>
      <c r="K119" s="51">
        <f>VLOOKUP($A119,'Data Vlaue (Cr)'!$C:$FB,60)</f>
        <v>93</v>
      </c>
      <c r="L119" s="51">
        <f>VLOOKUP($A119,'Data Vlaue (Cr)'!$C:$FB,62)*100</f>
        <v>-23.69</v>
      </c>
      <c r="M119" s="51">
        <f>VLOOKUP($A119,'Data Vlaue (Cr)'!$C:$FB,63)</f>
        <v>33</v>
      </c>
      <c r="N119" s="51">
        <f>VLOOKUP($A119,'Data Vlaue (Cr)'!$C:$FB,64)</f>
        <v>55</v>
      </c>
      <c r="O119" s="51">
        <f>VLOOKUP($A119,'Data Vlaue (Cr)'!$C:$FB,66)*100</f>
        <v>-40.47</v>
      </c>
    </row>
    <row r="120" spans="1:15" x14ac:dyDescent="0.25">
      <c r="A120" s="101" t="str">
        <f>'Data Vlaue (Cr)'!C115</f>
        <v>LAURUSLABS</v>
      </c>
      <c r="B120" s="50">
        <f>VLOOKUP($A120,'Data Vlaue (Cr)'!$C:$FB,8)</f>
        <v>1110.4000000000001</v>
      </c>
      <c r="C120" s="50">
        <f>VLOOKUP($A120,'Data Vlaue (Cr)'!$C:$FB,11)*100</f>
        <v>0.22</v>
      </c>
      <c r="D120" s="50">
        <f>VLOOKUP($A120,'Data Vlaue (Cr)'!$C:$FB,143)</f>
        <v>915.56</v>
      </c>
      <c r="E120" s="50">
        <f>VLOOKUP($A120,'Data Vlaue (Cr)'!$C:$FB,144)</f>
        <v>2087.73</v>
      </c>
      <c r="F120" s="50">
        <f>VLOOKUP($A120,'Data Vlaue (Cr)'!$C:$FB,146)*100</f>
        <v>-56.15</v>
      </c>
      <c r="G120" s="49">
        <f>VLOOKUP($A120,'Data Vlaue (Cr)'!$C:$FB,43)</f>
        <v>206</v>
      </c>
      <c r="H120" s="49">
        <f>VLOOKUP($A120,'Data Vlaue (Cr)'!$C:$FB,44)</f>
        <v>435</v>
      </c>
      <c r="I120" s="49">
        <f>VLOOKUP($A120,'Data Vlaue (Cr)'!$C:$FB,46)*100</f>
        <v>-52.66</v>
      </c>
      <c r="J120" s="51">
        <f>VLOOKUP($A120,'Data Vlaue (Cr)'!$C:$FB,59)</f>
        <v>428</v>
      </c>
      <c r="K120" s="51">
        <f>VLOOKUP($A120,'Data Vlaue (Cr)'!$C:$FB,60)</f>
        <v>1011</v>
      </c>
      <c r="L120" s="51">
        <f>VLOOKUP($A120,'Data Vlaue (Cr)'!$C:$FB,62)*100</f>
        <v>-57.66</v>
      </c>
      <c r="M120" s="51">
        <f>VLOOKUP($A120,'Data Vlaue (Cr)'!$C:$FB,63)</f>
        <v>265</v>
      </c>
      <c r="N120" s="51">
        <f>VLOOKUP($A120,'Data Vlaue (Cr)'!$C:$FB,64)</f>
        <v>621</v>
      </c>
      <c r="O120" s="51">
        <f>VLOOKUP($A120,'Data Vlaue (Cr)'!$C:$FB,66)*100</f>
        <v>-57.36</v>
      </c>
    </row>
    <row r="121" spans="1:15" x14ac:dyDescent="0.25">
      <c r="A121" s="101" t="str">
        <f>'Data Vlaue (Cr)'!C116</f>
        <v>LICHSGFIN</v>
      </c>
      <c r="B121" s="50">
        <f>VLOOKUP($A121,'Data Vlaue (Cr)'!$C:$FB,8)</f>
        <v>535.85</v>
      </c>
      <c r="C121" s="50">
        <f>VLOOKUP($A121,'Data Vlaue (Cr)'!$C:$FB,11)*100</f>
        <v>-0.69</v>
      </c>
      <c r="D121" s="50">
        <f>VLOOKUP($A121,'Data Vlaue (Cr)'!$C:$FB,143)</f>
        <v>314.24</v>
      </c>
      <c r="E121" s="50">
        <f>VLOOKUP($A121,'Data Vlaue (Cr)'!$C:$FB,144)</f>
        <v>682.29</v>
      </c>
      <c r="F121" s="50">
        <f>VLOOKUP($A121,'Data Vlaue (Cr)'!$C:$FB,146)*100</f>
        <v>-53.94</v>
      </c>
      <c r="G121" s="49">
        <f>VLOOKUP($A121,'Data Vlaue (Cr)'!$C:$FB,43)</f>
        <v>113</v>
      </c>
      <c r="H121" s="49">
        <f>VLOOKUP($A121,'Data Vlaue (Cr)'!$C:$FB,44)</f>
        <v>182</v>
      </c>
      <c r="I121" s="49">
        <f>VLOOKUP($A121,'Data Vlaue (Cr)'!$C:$FB,46)*100</f>
        <v>-38.119999999999997</v>
      </c>
      <c r="J121" s="51">
        <f>VLOOKUP($A121,'Data Vlaue (Cr)'!$C:$FB,59)</f>
        <v>131</v>
      </c>
      <c r="K121" s="51">
        <f>VLOOKUP($A121,'Data Vlaue (Cr)'!$C:$FB,60)</f>
        <v>284</v>
      </c>
      <c r="L121" s="51">
        <f>VLOOKUP($A121,'Data Vlaue (Cr)'!$C:$FB,62)*100</f>
        <v>-53.76</v>
      </c>
      <c r="M121" s="51">
        <f>VLOOKUP($A121,'Data Vlaue (Cr)'!$C:$FB,63)</f>
        <v>67</v>
      </c>
      <c r="N121" s="51">
        <f>VLOOKUP($A121,'Data Vlaue (Cr)'!$C:$FB,64)</f>
        <v>207</v>
      </c>
      <c r="O121" s="51">
        <f>VLOOKUP($A121,'Data Vlaue (Cr)'!$C:$FB,66)*100</f>
        <v>-67.459999999999994</v>
      </c>
    </row>
    <row r="122" spans="1:15" x14ac:dyDescent="0.25">
      <c r="A122" s="101" t="str">
        <f>'Data Vlaue (Cr)'!C117</f>
        <v>LICI</v>
      </c>
      <c r="B122" s="50">
        <f>VLOOKUP($A122,'Data Vlaue (Cr)'!$C:$FB,8)</f>
        <v>852.8</v>
      </c>
      <c r="C122" s="50">
        <f>VLOOKUP($A122,'Data Vlaue (Cr)'!$C:$FB,11)*100</f>
        <v>-0.25</v>
      </c>
      <c r="D122" s="50">
        <f>VLOOKUP($A122,'Data Vlaue (Cr)'!$C:$FB,143)</f>
        <v>186.73</v>
      </c>
      <c r="E122" s="50">
        <f>VLOOKUP($A122,'Data Vlaue (Cr)'!$C:$FB,144)</f>
        <v>525.38</v>
      </c>
      <c r="F122" s="50">
        <f>VLOOKUP($A122,'Data Vlaue (Cr)'!$C:$FB,146)*100</f>
        <v>-64.459999999999994</v>
      </c>
      <c r="G122" s="49">
        <f>VLOOKUP($A122,'Data Vlaue (Cr)'!$C:$FB,43)</f>
        <v>37</v>
      </c>
      <c r="H122" s="49">
        <f>VLOOKUP($A122,'Data Vlaue (Cr)'!$C:$FB,44)</f>
        <v>95</v>
      </c>
      <c r="I122" s="49">
        <f>VLOOKUP($A122,'Data Vlaue (Cr)'!$C:$FB,46)*100</f>
        <v>-60.62</v>
      </c>
      <c r="J122" s="51">
        <f>VLOOKUP($A122,'Data Vlaue (Cr)'!$C:$FB,59)</f>
        <v>102</v>
      </c>
      <c r="K122" s="51">
        <f>VLOOKUP($A122,'Data Vlaue (Cr)'!$C:$FB,60)</f>
        <v>264</v>
      </c>
      <c r="L122" s="51">
        <f>VLOOKUP($A122,'Data Vlaue (Cr)'!$C:$FB,62)*100</f>
        <v>-61.33</v>
      </c>
      <c r="M122" s="51">
        <f>VLOOKUP($A122,'Data Vlaue (Cr)'!$C:$FB,63)</f>
        <v>44</v>
      </c>
      <c r="N122" s="51">
        <f>VLOOKUP($A122,'Data Vlaue (Cr)'!$C:$FB,64)</f>
        <v>162</v>
      </c>
      <c r="O122" s="51">
        <f>VLOOKUP($A122,'Data Vlaue (Cr)'!$C:$FB,66)*100</f>
        <v>-72.89</v>
      </c>
    </row>
    <row r="123" spans="1:15" x14ac:dyDescent="0.25">
      <c r="A123" s="101" t="str">
        <f>'Data Vlaue (Cr)'!C118</f>
        <v>LODHA</v>
      </c>
      <c r="B123" s="50">
        <f>VLOOKUP($A123,'Data Vlaue (Cr)'!$C:$FB,8)</f>
        <v>1072.8</v>
      </c>
      <c r="C123" s="50">
        <f>VLOOKUP($A123,'Data Vlaue (Cr)'!$C:$FB,11)*100</f>
        <v>1.08</v>
      </c>
      <c r="D123" s="50">
        <f>VLOOKUP($A123,'Data Vlaue (Cr)'!$C:$FB,143)</f>
        <v>216.97</v>
      </c>
      <c r="E123" s="50">
        <f>VLOOKUP($A123,'Data Vlaue (Cr)'!$C:$FB,144)</f>
        <v>236.27</v>
      </c>
      <c r="F123" s="50">
        <f>VLOOKUP($A123,'Data Vlaue (Cr)'!$C:$FB,146)*100</f>
        <v>-8.17</v>
      </c>
      <c r="G123" s="49">
        <f>VLOOKUP($A123,'Data Vlaue (Cr)'!$C:$FB,43)</f>
        <v>58</v>
      </c>
      <c r="H123" s="49">
        <f>VLOOKUP($A123,'Data Vlaue (Cr)'!$C:$FB,44)</f>
        <v>79</v>
      </c>
      <c r="I123" s="49">
        <f>VLOOKUP($A123,'Data Vlaue (Cr)'!$C:$FB,46)*100</f>
        <v>-26.57</v>
      </c>
      <c r="J123" s="51">
        <f>VLOOKUP($A123,'Data Vlaue (Cr)'!$C:$FB,59)</f>
        <v>110</v>
      </c>
      <c r="K123" s="51">
        <f>VLOOKUP($A123,'Data Vlaue (Cr)'!$C:$FB,60)</f>
        <v>105</v>
      </c>
      <c r="L123" s="51">
        <f>VLOOKUP($A123,'Data Vlaue (Cr)'!$C:$FB,62)*100</f>
        <v>4.6899999999999995</v>
      </c>
      <c r="M123" s="51">
        <f>VLOOKUP($A123,'Data Vlaue (Cr)'!$C:$FB,63)</f>
        <v>44</v>
      </c>
      <c r="N123" s="51">
        <f>VLOOKUP($A123,'Data Vlaue (Cr)'!$C:$FB,64)</f>
        <v>48</v>
      </c>
      <c r="O123" s="51">
        <f>VLOOKUP($A123,'Data Vlaue (Cr)'!$C:$FB,66)*100</f>
        <v>-7.580000000000001</v>
      </c>
    </row>
    <row r="124" spans="1:15" x14ac:dyDescent="0.25">
      <c r="A124" s="101" t="str">
        <f>'Data Vlaue (Cr)'!C119</f>
        <v>LT</v>
      </c>
      <c r="B124" s="50">
        <f>VLOOKUP($A124,'Data Vlaue (Cr)'!$C:$FB,8)</f>
        <v>4140.3999999999996</v>
      </c>
      <c r="C124" s="50">
        <f>VLOOKUP($A124,'Data Vlaue (Cr)'!$C:$FB,11)*100</f>
        <v>1.39</v>
      </c>
      <c r="D124" s="50">
        <f>VLOOKUP($A124,'Data Vlaue (Cr)'!$C:$FB,143)</f>
        <v>3973.69</v>
      </c>
      <c r="E124" s="50">
        <f>VLOOKUP($A124,'Data Vlaue (Cr)'!$C:$FB,144)</f>
        <v>2836.19</v>
      </c>
      <c r="F124" s="50">
        <f>VLOOKUP($A124,'Data Vlaue (Cr)'!$C:$FB,146)*100</f>
        <v>40.11</v>
      </c>
      <c r="G124" s="49">
        <f>VLOOKUP($A124,'Data Vlaue (Cr)'!$C:$FB,43)</f>
        <v>566</v>
      </c>
      <c r="H124" s="49">
        <f>VLOOKUP($A124,'Data Vlaue (Cr)'!$C:$FB,44)</f>
        <v>513</v>
      </c>
      <c r="I124" s="49">
        <f>VLOOKUP($A124,'Data Vlaue (Cr)'!$C:$FB,46)*100</f>
        <v>10.199999999999999</v>
      </c>
      <c r="J124" s="51">
        <f>VLOOKUP($A124,'Data Vlaue (Cr)'!$C:$FB,59)</f>
        <v>2320</v>
      </c>
      <c r="K124" s="51">
        <f>VLOOKUP($A124,'Data Vlaue (Cr)'!$C:$FB,60)</f>
        <v>1502</v>
      </c>
      <c r="L124" s="51">
        <f>VLOOKUP($A124,'Data Vlaue (Cr)'!$C:$FB,62)*100</f>
        <v>54.410000000000004</v>
      </c>
      <c r="M124" s="51">
        <f>VLOOKUP($A124,'Data Vlaue (Cr)'!$C:$FB,63)</f>
        <v>1056</v>
      </c>
      <c r="N124" s="51">
        <f>VLOOKUP($A124,'Data Vlaue (Cr)'!$C:$FB,64)</f>
        <v>833</v>
      </c>
      <c r="O124" s="51">
        <f>VLOOKUP($A124,'Data Vlaue (Cr)'!$C:$FB,66)*100</f>
        <v>26.75</v>
      </c>
    </row>
    <row r="125" spans="1:15" x14ac:dyDescent="0.25">
      <c r="A125" s="101" t="str">
        <f>'Data Vlaue (Cr)'!C120</f>
        <v>LTF</v>
      </c>
      <c r="B125" s="50">
        <f>VLOOKUP($A125,'Data Vlaue (Cr)'!$C:$FB,8)</f>
        <v>317.25</v>
      </c>
      <c r="C125" s="50">
        <f>VLOOKUP($A125,'Data Vlaue (Cr)'!$C:$FB,11)*100</f>
        <v>0.41000000000000003</v>
      </c>
      <c r="D125" s="50">
        <f>VLOOKUP($A125,'Data Vlaue (Cr)'!$C:$FB,143)</f>
        <v>1957.55</v>
      </c>
      <c r="E125" s="50">
        <f>VLOOKUP($A125,'Data Vlaue (Cr)'!$C:$FB,144)</f>
        <v>3399.94</v>
      </c>
      <c r="F125" s="50">
        <f>VLOOKUP($A125,'Data Vlaue (Cr)'!$C:$FB,146)*100</f>
        <v>-42.42</v>
      </c>
      <c r="G125" s="49">
        <f>VLOOKUP($A125,'Data Vlaue (Cr)'!$C:$FB,43)</f>
        <v>386</v>
      </c>
      <c r="H125" s="49">
        <f>VLOOKUP($A125,'Data Vlaue (Cr)'!$C:$FB,44)</f>
        <v>672</v>
      </c>
      <c r="I125" s="49">
        <f>VLOOKUP($A125,'Data Vlaue (Cr)'!$C:$FB,46)*100</f>
        <v>-42.480000000000004</v>
      </c>
      <c r="J125" s="51">
        <f>VLOOKUP($A125,'Data Vlaue (Cr)'!$C:$FB,59)</f>
        <v>1096</v>
      </c>
      <c r="K125" s="51">
        <f>VLOOKUP($A125,'Data Vlaue (Cr)'!$C:$FB,60)</f>
        <v>1986</v>
      </c>
      <c r="L125" s="51">
        <f>VLOOKUP($A125,'Data Vlaue (Cr)'!$C:$FB,62)*100</f>
        <v>-44.83</v>
      </c>
      <c r="M125" s="51">
        <f>VLOOKUP($A125,'Data Vlaue (Cr)'!$C:$FB,63)</f>
        <v>429</v>
      </c>
      <c r="N125" s="51">
        <f>VLOOKUP($A125,'Data Vlaue (Cr)'!$C:$FB,64)</f>
        <v>727</v>
      </c>
      <c r="O125" s="51">
        <f>VLOOKUP($A125,'Data Vlaue (Cr)'!$C:$FB,66)*100</f>
        <v>-41.04</v>
      </c>
    </row>
    <row r="126" spans="1:15" x14ac:dyDescent="0.25">
      <c r="A126" s="101" t="str">
        <f>'Data Vlaue (Cr)'!C121</f>
        <v>LTIM</v>
      </c>
      <c r="B126" s="50">
        <f>VLOOKUP($A126,'Data Vlaue (Cr)'!$C:$FB,8)</f>
        <v>6112</v>
      </c>
      <c r="C126" s="50">
        <f>VLOOKUP($A126,'Data Vlaue (Cr)'!$C:$FB,11)*100</f>
        <v>0.8</v>
      </c>
      <c r="D126" s="50">
        <f>VLOOKUP($A126,'Data Vlaue (Cr)'!$C:$FB,143)</f>
        <v>602.01</v>
      </c>
      <c r="E126" s="50">
        <f>VLOOKUP($A126,'Data Vlaue (Cr)'!$C:$FB,144)</f>
        <v>657.95</v>
      </c>
      <c r="F126" s="50">
        <f>VLOOKUP($A126,'Data Vlaue (Cr)'!$C:$FB,146)*100</f>
        <v>-8.5</v>
      </c>
      <c r="G126" s="49">
        <f>VLOOKUP($A126,'Data Vlaue (Cr)'!$C:$FB,43)</f>
        <v>111</v>
      </c>
      <c r="H126" s="49">
        <f>VLOOKUP($A126,'Data Vlaue (Cr)'!$C:$FB,44)</f>
        <v>169</v>
      </c>
      <c r="I126" s="49">
        <f>VLOOKUP($A126,'Data Vlaue (Cr)'!$C:$FB,46)*100</f>
        <v>-34.28</v>
      </c>
      <c r="J126" s="51">
        <f>VLOOKUP($A126,'Data Vlaue (Cr)'!$C:$FB,59)</f>
        <v>320</v>
      </c>
      <c r="K126" s="51">
        <f>VLOOKUP($A126,'Data Vlaue (Cr)'!$C:$FB,60)</f>
        <v>298</v>
      </c>
      <c r="L126" s="51">
        <f>VLOOKUP($A126,'Data Vlaue (Cr)'!$C:$FB,62)*100</f>
        <v>7.5</v>
      </c>
      <c r="M126" s="51">
        <f>VLOOKUP($A126,'Data Vlaue (Cr)'!$C:$FB,63)</f>
        <v>159</v>
      </c>
      <c r="N126" s="51">
        <f>VLOOKUP($A126,'Data Vlaue (Cr)'!$C:$FB,64)</f>
        <v>186</v>
      </c>
      <c r="O126" s="51">
        <f>VLOOKUP($A126,'Data Vlaue (Cr)'!$C:$FB,66)*100</f>
        <v>-14.469999999999999</v>
      </c>
    </row>
    <row r="127" spans="1:15" x14ac:dyDescent="0.25">
      <c r="A127" s="101" t="str">
        <f>'Data Vlaue (Cr)'!C122</f>
        <v>LUPIN</v>
      </c>
      <c r="B127" s="50">
        <f>VLOOKUP($A127,'Data Vlaue (Cr)'!$C:$FB,8)</f>
        <v>2102.8000000000002</v>
      </c>
      <c r="C127" s="50">
        <f>VLOOKUP($A127,'Data Vlaue (Cr)'!$C:$FB,11)*100</f>
        <v>-0.32</v>
      </c>
      <c r="D127" s="50">
        <f>VLOOKUP($A127,'Data Vlaue (Cr)'!$C:$FB,143)</f>
        <v>474.01</v>
      </c>
      <c r="E127" s="50">
        <f>VLOOKUP($A127,'Data Vlaue (Cr)'!$C:$FB,144)</f>
        <v>716</v>
      </c>
      <c r="F127" s="50">
        <f>VLOOKUP($A127,'Data Vlaue (Cr)'!$C:$FB,146)*100</f>
        <v>-33.800000000000004</v>
      </c>
      <c r="G127" s="49">
        <f>VLOOKUP($A127,'Data Vlaue (Cr)'!$C:$FB,43)</f>
        <v>112</v>
      </c>
      <c r="H127" s="49">
        <f>VLOOKUP($A127,'Data Vlaue (Cr)'!$C:$FB,44)</f>
        <v>206</v>
      </c>
      <c r="I127" s="49">
        <f>VLOOKUP($A127,'Data Vlaue (Cr)'!$C:$FB,46)*100</f>
        <v>-45.78</v>
      </c>
      <c r="J127" s="51">
        <f>VLOOKUP($A127,'Data Vlaue (Cr)'!$C:$FB,59)</f>
        <v>238</v>
      </c>
      <c r="K127" s="51">
        <f>VLOOKUP($A127,'Data Vlaue (Cr)'!$C:$FB,60)</f>
        <v>328</v>
      </c>
      <c r="L127" s="51">
        <f>VLOOKUP($A127,'Data Vlaue (Cr)'!$C:$FB,62)*100</f>
        <v>-27.439999999999998</v>
      </c>
      <c r="M127" s="51">
        <f>VLOOKUP($A127,'Data Vlaue (Cr)'!$C:$FB,63)</f>
        <v>118</v>
      </c>
      <c r="N127" s="51">
        <f>VLOOKUP($A127,'Data Vlaue (Cr)'!$C:$FB,64)</f>
        <v>173</v>
      </c>
      <c r="O127" s="51">
        <f>VLOOKUP($A127,'Data Vlaue (Cr)'!$C:$FB,66)*100</f>
        <v>-31.44</v>
      </c>
    </row>
    <row r="128" spans="1:15" x14ac:dyDescent="0.25">
      <c r="A128" s="101" t="str">
        <f>'Data Vlaue (Cr)'!C123</f>
        <v>M&amp;M</v>
      </c>
      <c r="B128" s="50">
        <f>VLOOKUP($A128,'Data Vlaue (Cr)'!$C:$FB,8)</f>
        <v>3761</v>
      </c>
      <c r="C128" s="50">
        <f>VLOOKUP($A128,'Data Vlaue (Cr)'!$C:$FB,11)*100</f>
        <v>1.4000000000000001</v>
      </c>
      <c r="D128" s="50">
        <f>VLOOKUP($A128,'Data Vlaue (Cr)'!$C:$FB,143)</f>
        <v>6904.53</v>
      </c>
      <c r="E128" s="50">
        <f>VLOOKUP($A128,'Data Vlaue (Cr)'!$C:$FB,144)</f>
        <v>4562.8900000000003</v>
      </c>
      <c r="F128" s="50">
        <f>VLOOKUP($A128,'Data Vlaue (Cr)'!$C:$FB,146)*100</f>
        <v>51.32</v>
      </c>
      <c r="G128" s="49">
        <f>VLOOKUP($A128,'Data Vlaue (Cr)'!$C:$FB,43)</f>
        <v>667</v>
      </c>
      <c r="H128" s="49">
        <f>VLOOKUP($A128,'Data Vlaue (Cr)'!$C:$FB,44)</f>
        <v>708</v>
      </c>
      <c r="I128" s="49">
        <f>VLOOKUP($A128,'Data Vlaue (Cr)'!$C:$FB,46)*100</f>
        <v>-5.8500000000000005</v>
      </c>
      <c r="J128" s="51">
        <f>VLOOKUP($A128,'Data Vlaue (Cr)'!$C:$FB,59)</f>
        <v>4588</v>
      </c>
      <c r="K128" s="51">
        <f>VLOOKUP($A128,'Data Vlaue (Cr)'!$C:$FB,60)</f>
        <v>2668</v>
      </c>
      <c r="L128" s="51">
        <f>VLOOKUP($A128,'Data Vlaue (Cr)'!$C:$FB,62)*100</f>
        <v>71.960000000000008</v>
      </c>
      <c r="M128" s="51">
        <f>VLOOKUP($A128,'Data Vlaue (Cr)'!$C:$FB,63)</f>
        <v>1546</v>
      </c>
      <c r="N128" s="51">
        <f>VLOOKUP($A128,'Data Vlaue (Cr)'!$C:$FB,64)</f>
        <v>1215</v>
      </c>
      <c r="O128" s="51">
        <f>VLOOKUP($A128,'Data Vlaue (Cr)'!$C:$FB,66)*100</f>
        <v>27.279999999999998</v>
      </c>
    </row>
    <row r="129" spans="1:15" x14ac:dyDescent="0.25">
      <c r="A129" s="101" t="str">
        <f>'Data Vlaue (Cr)'!C124</f>
        <v>MANAPPURAM</v>
      </c>
      <c r="B129" s="50">
        <f>VLOOKUP($A129,'Data Vlaue (Cr)'!$C:$FB,8)</f>
        <v>314.10000000000002</v>
      </c>
      <c r="C129" s="50">
        <f>VLOOKUP($A129,'Data Vlaue (Cr)'!$C:$FB,11)*100</f>
        <v>1.7999999999999998</v>
      </c>
      <c r="D129" s="50">
        <f>VLOOKUP($A129,'Data Vlaue (Cr)'!$C:$FB,143)</f>
        <v>782.84</v>
      </c>
      <c r="E129" s="50">
        <f>VLOOKUP($A129,'Data Vlaue (Cr)'!$C:$FB,144)</f>
        <v>814.58</v>
      </c>
      <c r="F129" s="50">
        <f>VLOOKUP($A129,'Data Vlaue (Cr)'!$C:$FB,146)*100</f>
        <v>-3.9</v>
      </c>
      <c r="G129" s="49">
        <f>VLOOKUP($A129,'Data Vlaue (Cr)'!$C:$FB,43)</f>
        <v>195</v>
      </c>
      <c r="H129" s="49">
        <f>VLOOKUP($A129,'Data Vlaue (Cr)'!$C:$FB,44)</f>
        <v>250</v>
      </c>
      <c r="I129" s="49">
        <f>VLOOKUP($A129,'Data Vlaue (Cr)'!$C:$FB,46)*100</f>
        <v>-21.98</v>
      </c>
      <c r="J129" s="51">
        <f>VLOOKUP($A129,'Data Vlaue (Cr)'!$C:$FB,59)</f>
        <v>418</v>
      </c>
      <c r="K129" s="51">
        <f>VLOOKUP($A129,'Data Vlaue (Cr)'!$C:$FB,60)</f>
        <v>361</v>
      </c>
      <c r="L129" s="51">
        <f>VLOOKUP($A129,'Data Vlaue (Cr)'!$C:$FB,62)*100</f>
        <v>15.78</v>
      </c>
      <c r="M129" s="51">
        <f>VLOOKUP($A129,'Data Vlaue (Cr)'!$C:$FB,63)</f>
        <v>159</v>
      </c>
      <c r="N129" s="51">
        <f>VLOOKUP($A129,'Data Vlaue (Cr)'!$C:$FB,64)</f>
        <v>200</v>
      </c>
      <c r="O129" s="51">
        <f>VLOOKUP($A129,'Data Vlaue (Cr)'!$C:$FB,66)*100</f>
        <v>-20.47</v>
      </c>
    </row>
    <row r="130" spans="1:15" x14ac:dyDescent="0.25">
      <c r="A130" s="101" t="str">
        <f>'Data Vlaue (Cr)'!C125</f>
        <v>MANKIND</v>
      </c>
      <c r="B130" s="50">
        <f>VLOOKUP($A130,'Data Vlaue (Cr)'!$C:$FB,8)</f>
        <v>2164.6</v>
      </c>
      <c r="C130" s="50">
        <f>VLOOKUP($A130,'Data Vlaue (Cr)'!$C:$FB,11)*100</f>
        <v>-1.4500000000000002</v>
      </c>
      <c r="D130" s="50">
        <f>VLOOKUP($A130,'Data Vlaue (Cr)'!$C:$FB,143)</f>
        <v>135.25</v>
      </c>
      <c r="E130" s="50">
        <f>VLOOKUP($A130,'Data Vlaue (Cr)'!$C:$FB,144)</f>
        <v>263.5</v>
      </c>
      <c r="F130" s="50">
        <f>VLOOKUP($A130,'Data Vlaue (Cr)'!$C:$FB,146)*100</f>
        <v>-48.67</v>
      </c>
      <c r="G130" s="49">
        <f>VLOOKUP($A130,'Data Vlaue (Cr)'!$C:$FB,43)</f>
        <v>53</v>
      </c>
      <c r="H130" s="49">
        <f>VLOOKUP($A130,'Data Vlaue (Cr)'!$C:$FB,44)</f>
        <v>102</v>
      </c>
      <c r="I130" s="49">
        <f>VLOOKUP($A130,'Data Vlaue (Cr)'!$C:$FB,46)*100</f>
        <v>-48.1</v>
      </c>
      <c r="J130" s="51">
        <f>VLOOKUP($A130,'Data Vlaue (Cr)'!$C:$FB,59)</f>
        <v>57</v>
      </c>
      <c r="K130" s="51">
        <f>VLOOKUP($A130,'Data Vlaue (Cr)'!$C:$FB,60)</f>
        <v>119</v>
      </c>
      <c r="L130" s="51">
        <f>VLOOKUP($A130,'Data Vlaue (Cr)'!$C:$FB,62)*100</f>
        <v>-51.970000000000006</v>
      </c>
      <c r="M130" s="51">
        <f>VLOOKUP($A130,'Data Vlaue (Cr)'!$C:$FB,63)</f>
        <v>22</v>
      </c>
      <c r="N130" s="51">
        <f>VLOOKUP($A130,'Data Vlaue (Cr)'!$C:$FB,64)</f>
        <v>35</v>
      </c>
      <c r="O130" s="51">
        <f>VLOOKUP($A130,'Data Vlaue (Cr)'!$C:$FB,66)*100</f>
        <v>-36.880000000000003</v>
      </c>
    </row>
    <row r="131" spans="1:15" x14ac:dyDescent="0.25">
      <c r="A131" s="101" t="str">
        <f>'Data Vlaue (Cr)'!C126</f>
        <v>MARICO</v>
      </c>
      <c r="B131" s="50">
        <f>VLOOKUP($A131,'Data Vlaue (Cr)'!$C:$FB,8)</f>
        <v>760.45</v>
      </c>
      <c r="C131" s="50">
        <f>VLOOKUP($A131,'Data Vlaue (Cr)'!$C:$FB,11)*100</f>
        <v>1.31</v>
      </c>
      <c r="D131" s="50">
        <f>VLOOKUP($A131,'Data Vlaue (Cr)'!$C:$FB,143)</f>
        <v>676.59</v>
      </c>
      <c r="E131" s="50">
        <f>VLOOKUP($A131,'Data Vlaue (Cr)'!$C:$FB,144)</f>
        <v>509.98</v>
      </c>
      <c r="F131" s="50">
        <f>VLOOKUP($A131,'Data Vlaue (Cr)'!$C:$FB,146)*100</f>
        <v>32.67</v>
      </c>
      <c r="G131" s="49">
        <f>VLOOKUP($A131,'Data Vlaue (Cr)'!$C:$FB,43)</f>
        <v>170</v>
      </c>
      <c r="H131" s="49">
        <f>VLOOKUP($A131,'Data Vlaue (Cr)'!$C:$FB,44)</f>
        <v>160</v>
      </c>
      <c r="I131" s="49">
        <f>VLOOKUP($A131,'Data Vlaue (Cr)'!$C:$FB,46)*100</f>
        <v>6.38</v>
      </c>
      <c r="J131" s="51">
        <f>VLOOKUP($A131,'Data Vlaue (Cr)'!$C:$FB,59)</f>
        <v>354</v>
      </c>
      <c r="K131" s="51">
        <f>VLOOKUP($A131,'Data Vlaue (Cr)'!$C:$FB,60)</f>
        <v>264</v>
      </c>
      <c r="L131" s="51">
        <f>VLOOKUP($A131,'Data Vlaue (Cr)'!$C:$FB,62)*100</f>
        <v>34.06</v>
      </c>
      <c r="M131" s="51">
        <f>VLOOKUP($A131,'Data Vlaue (Cr)'!$C:$FB,63)</f>
        <v>149</v>
      </c>
      <c r="N131" s="51">
        <f>VLOOKUP($A131,'Data Vlaue (Cr)'!$C:$FB,64)</f>
        <v>87</v>
      </c>
      <c r="O131" s="51">
        <f>VLOOKUP($A131,'Data Vlaue (Cr)'!$C:$FB,66)*100</f>
        <v>71.44</v>
      </c>
    </row>
    <row r="132" spans="1:15" x14ac:dyDescent="0.25">
      <c r="A132" s="101" t="str">
        <f>'Data Vlaue (Cr)'!C127</f>
        <v>MARUTI</v>
      </c>
      <c r="B132" s="50">
        <f>VLOOKUP($A132,'Data Vlaue (Cr)'!$C:$FB,8)</f>
        <v>16708</v>
      </c>
      <c r="C132" s="50">
        <f>VLOOKUP($A132,'Data Vlaue (Cr)'!$C:$FB,11)*100</f>
        <v>6.9999999999999993E-2</v>
      </c>
      <c r="D132" s="50">
        <f>VLOOKUP($A132,'Data Vlaue (Cr)'!$C:$FB,143)</f>
        <v>5696.86</v>
      </c>
      <c r="E132" s="50">
        <f>VLOOKUP($A132,'Data Vlaue (Cr)'!$C:$FB,144)</f>
        <v>5560.94</v>
      </c>
      <c r="F132" s="50">
        <f>VLOOKUP($A132,'Data Vlaue (Cr)'!$C:$FB,146)*100</f>
        <v>2.44</v>
      </c>
      <c r="G132" s="49">
        <f>VLOOKUP($A132,'Data Vlaue (Cr)'!$C:$FB,43)</f>
        <v>517</v>
      </c>
      <c r="H132" s="49">
        <f>VLOOKUP($A132,'Data Vlaue (Cr)'!$C:$FB,44)</f>
        <v>532</v>
      </c>
      <c r="I132" s="49">
        <f>VLOOKUP($A132,'Data Vlaue (Cr)'!$C:$FB,46)*100</f>
        <v>-2.81</v>
      </c>
      <c r="J132" s="51">
        <f>VLOOKUP($A132,'Data Vlaue (Cr)'!$C:$FB,59)</f>
        <v>3042</v>
      </c>
      <c r="K132" s="51">
        <f>VLOOKUP($A132,'Data Vlaue (Cr)'!$C:$FB,60)</f>
        <v>3029</v>
      </c>
      <c r="L132" s="51">
        <f>VLOOKUP($A132,'Data Vlaue (Cr)'!$C:$FB,62)*100</f>
        <v>0.44</v>
      </c>
      <c r="M132" s="51">
        <f>VLOOKUP($A132,'Data Vlaue (Cr)'!$C:$FB,63)</f>
        <v>2066</v>
      </c>
      <c r="N132" s="51">
        <f>VLOOKUP($A132,'Data Vlaue (Cr)'!$C:$FB,64)</f>
        <v>1943</v>
      </c>
      <c r="O132" s="51">
        <f>VLOOKUP($A132,'Data Vlaue (Cr)'!$C:$FB,66)*100</f>
        <v>6.3</v>
      </c>
    </row>
    <row r="133" spans="1:15" x14ac:dyDescent="0.25">
      <c r="A133" s="101" t="str">
        <f>'Data Vlaue (Cr)'!C128</f>
        <v>MAXHEALTH</v>
      </c>
      <c r="B133" s="50">
        <f>VLOOKUP($A133,'Data Vlaue (Cr)'!$C:$FB,8)</f>
        <v>1049.4000000000001</v>
      </c>
      <c r="C133" s="50">
        <f>VLOOKUP($A133,'Data Vlaue (Cr)'!$C:$FB,11)*100</f>
        <v>0.41000000000000003</v>
      </c>
      <c r="D133" s="50">
        <f>VLOOKUP($A133,'Data Vlaue (Cr)'!$C:$FB,143)</f>
        <v>429.77</v>
      </c>
      <c r="E133" s="50">
        <f>VLOOKUP($A133,'Data Vlaue (Cr)'!$C:$FB,144)</f>
        <v>612.79999999999995</v>
      </c>
      <c r="F133" s="50">
        <f>VLOOKUP($A133,'Data Vlaue (Cr)'!$C:$FB,146)*100</f>
        <v>-29.87</v>
      </c>
      <c r="G133" s="49">
        <f>VLOOKUP($A133,'Data Vlaue (Cr)'!$C:$FB,43)</f>
        <v>123</v>
      </c>
      <c r="H133" s="49">
        <f>VLOOKUP($A133,'Data Vlaue (Cr)'!$C:$FB,44)</f>
        <v>186</v>
      </c>
      <c r="I133" s="49">
        <f>VLOOKUP($A133,'Data Vlaue (Cr)'!$C:$FB,46)*100</f>
        <v>-33.93</v>
      </c>
      <c r="J133" s="51">
        <f>VLOOKUP($A133,'Data Vlaue (Cr)'!$C:$FB,59)</f>
        <v>218</v>
      </c>
      <c r="K133" s="51">
        <f>VLOOKUP($A133,'Data Vlaue (Cr)'!$C:$FB,60)</f>
        <v>268</v>
      </c>
      <c r="L133" s="51">
        <f>VLOOKUP($A133,'Data Vlaue (Cr)'!$C:$FB,62)*100</f>
        <v>-18.78</v>
      </c>
      <c r="M133" s="51">
        <f>VLOOKUP($A133,'Data Vlaue (Cr)'!$C:$FB,63)</f>
        <v>81</v>
      </c>
      <c r="N133" s="51">
        <f>VLOOKUP($A133,'Data Vlaue (Cr)'!$C:$FB,64)</f>
        <v>148</v>
      </c>
      <c r="O133" s="51">
        <f>VLOOKUP($A133,'Data Vlaue (Cr)'!$C:$FB,66)*100</f>
        <v>-44.93</v>
      </c>
    </row>
    <row r="134" spans="1:15" x14ac:dyDescent="0.25">
      <c r="A134" s="101" t="str">
        <f>'Data Vlaue (Cr)'!C129</f>
        <v>MAZDOCK</v>
      </c>
      <c r="B134" s="50">
        <f>VLOOKUP($A134,'Data Vlaue (Cr)'!$C:$FB,8)</f>
        <v>2476.6999999999998</v>
      </c>
      <c r="C134" s="50">
        <f>VLOOKUP($A134,'Data Vlaue (Cr)'!$C:$FB,11)*100</f>
        <v>-0.54</v>
      </c>
      <c r="D134" s="50">
        <f>VLOOKUP($A134,'Data Vlaue (Cr)'!$C:$FB,143)</f>
        <v>1047.28</v>
      </c>
      <c r="E134" s="50">
        <f>VLOOKUP($A134,'Data Vlaue (Cr)'!$C:$FB,144)</f>
        <v>1743.86</v>
      </c>
      <c r="F134" s="50">
        <f>VLOOKUP($A134,'Data Vlaue (Cr)'!$C:$FB,146)*100</f>
        <v>-39.94</v>
      </c>
      <c r="G134" s="49">
        <f>VLOOKUP($A134,'Data Vlaue (Cr)'!$C:$FB,43)</f>
        <v>154</v>
      </c>
      <c r="H134" s="49">
        <f>VLOOKUP($A134,'Data Vlaue (Cr)'!$C:$FB,44)</f>
        <v>206</v>
      </c>
      <c r="I134" s="49">
        <f>VLOOKUP($A134,'Data Vlaue (Cr)'!$C:$FB,46)*100</f>
        <v>-25.330000000000002</v>
      </c>
      <c r="J134" s="51">
        <f>VLOOKUP($A134,'Data Vlaue (Cr)'!$C:$FB,59)</f>
        <v>610</v>
      </c>
      <c r="K134" s="51">
        <f>VLOOKUP($A134,'Data Vlaue (Cr)'!$C:$FB,60)</f>
        <v>1077</v>
      </c>
      <c r="L134" s="51">
        <f>VLOOKUP($A134,'Data Vlaue (Cr)'!$C:$FB,62)*100</f>
        <v>-43.309999999999995</v>
      </c>
      <c r="M134" s="51">
        <f>VLOOKUP($A134,'Data Vlaue (Cr)'!$C:$FB,63)</f>
        <v>240</v>
      </c>
      <c r="N134" s="51">
        <f>VLOOKUP($A134,'Data Vlaue (Cr)'!$C:$FB,64)</f>
        <v>386</v>
      </c>
      <c r="O134" s="51">
        <f>VLOOKUP($A134,'Data Vlaue (Cr)'!$C:$FB,66)*100</f>
        <v>-37.769999999999996</v>
      </c>
    </row>
    <row r="135" spans="1:15" x14ac:dyDescent="0.25">
      <c r="A135" s="101" t="str">
        <f>'Data Vlaue (Cr)'!C130</f>
        <v>MCX</v>
      </c>
      <c r="B135" s="50">
        <f>VLOOKUP($A135,'Data Vlaue (Cr)'!$C:$FB,8)</f>
        <v>10989</v>
      </c>
      <c r="C135" s="50">
        <f>VLOOKUP($A135,'Data Vlaue (Cr)'!$C:$FB,11)*100</f>
        <v>-1.32</v>
      </c>
      <c r="D135" s="50">
        <f>VLOOKUP($A135,'Data Vlaue (Cr)'!$C:$FB,143)</f>
        <v>5262.9</v>
      </c>
      <c r="E135" s="50">
        <f>VLOOKUP($A135,'Data Vlaue (Cr)'!$C:$FB,144)</f>
        <v>10531.68</v>
      </c>
      <c r="F135" s="50">
        <f>VLOOKUP($A135,'Data Vlaue (Cr)'!$C:$FB,146)*100</f>
        <v>-50.029999999999994</v>
      </c>
      <c r="G135" s="49">
        <f>VLOOKUP($A135,'Data Vlaue (Cr)'!$C:$FB,43)</f>
        <v>556</v>
      </c>
      <c r="H135" s="49">
        <f>VLOOKUP($A135,'Data Vlaue (Cr)'!$C:$FB,44)</f>
        <v>990</v>
      </c>
      <c r="I135" s="49">
        <f>VLOOKUP($A135,'Data Vlaue (Cr)'!$C:$FB,46)*100</f>
        <v>-43.9</v>
      </c>
      <c r="J135" s="51">
        <f>VLOOKUP($A135,'Data Vlaue (Cr)'!$C:$FB,59)</f>
        <v>2460</v>
      </c>
      <c r="K135" s="51">
        <f>VLOOKUP($A135,'Data Vlaue (Cr)'!$C:$FB,60)</f>
        <v>6289</v>
      </c>
      <c r="L135" s="51">
        <f>VLOOKUP($A135,'Data Vlaue (Cr)'!$C:$FB,62)*100</f>
        <v>-60.89</v>
      </c>
      <c r="M135" s="51">
        <f>VLOOKUP($A135,'Data Vlaue (Cr)'!$C:$FB,63)</f>
        <v>2162</v>
      </c>
      <c r="N135" s="51">
        <f>VLOOKUP($A135,'Data Vlaue (Cr)'!$C:$FB,64)</f>
        <v>2863</v>
      </c>
      <c r="O135" s="51">
        <f>VLOOKUP($A135,'Data Vlaue (Cr)'!$C:$FB,66)*100</f>
        <v>-24.490000000000002</v>
      </c>
    </row>
    <row r="136" spans="1:15" x14ac:dyDescent="0.25">
      <c r="A136" s="101" t="str">
        <f>'Data Vlaue (Cr)'!C131</f>
        <v>MFSL</v>
      </c>
      <c r="B136" s="50">
        <f>VLOOKUP($A136,'Data Vlaue (Cr)'!$C:$FB,8)</f>
        <v>1674</v>
      </c>
      <c r="C136" s="50">
        <f>VLOOKUP($A136,'Data Vlaue (Cr)'!$C:$FB,11)*100</f>
        <v>0.13</v>
      </c>
      <c r="D136" s="50">
        <f>VLOOKUP($A136,'Data Vlaue (Cr)'!$C:$FB,143)</f>
        <v>187.14</v>
      </c>
      <c r="E136" s="50">
        <f>VLOOKUP($A136,'Data Vlaue (Cr)'!$C:$FB,144)</f>
        <v>418.56</v>
      </c>
      <c r="F136" s="50">
        <f>VLOOKUP($A136,'Data Vlaue (Cr)'!$C:$FB,146)*100</f>
        <v>-55.289999999999992</v>
      </c>
      <c r="G136" s="49">
        <f>VLOOKUP($A136,'Data Vlaue (Cr)'!$C:$FB,43)</f>
        <v>79</v>
      </c>
      <c r="H136" s="49">
        <f>VLOOKUP($A136,'Data Vlaue (Cr)'!$C:$FB,44)</f>
        <v>201</v>
      </c>
      <c r="I136" s="49">
        <f>VLOOKUP($A136,'Data Vlaue (Cr)'!$C:$FB,46)*100</f>
        <v>-60.67</v>
      </c>
      <c r="J136" s="51">
        <f>VLOOKUP($A136,'Data Vlaue (Cr)'!$C:$FB,59)</f>
        <v>66</v>
      </c>
      <c r="K136" s="51">
        <f>VLOOKUP($A136,'Data Vlaue (Cr)'!$C:$FB,60)</f>
        <v>109</v>
      </c>
      <c r="L136" s="51">
        <f>VLOOKUP($A136,'Data Vlaue (Cr)'!$C:$FB,62)*100</f>
        <v>-39.1</v>
      </c>
      <c r="M136" s="51">
        <f>VLOOKUP($A136,'Data Vlaue (Cr)'!$C:$FB,63)</f>
        <v>39</v>
      </c>
      <c r="N136" s="51">
        <f>VLOOKUP($A136,'Data Vlaue (Cr)'!$C:$FB,64)</f>
        <v>106</v>
      </c>
      <c r="O136" s="51">
        <f>VLOOKUP($A136,'Data Vlaue (Cr)'!$C:$FB,66)*100</f>
        <v>-62.61</v>
      </c>
    </row>
    <row r="137" spans="1:15" x14ac:dyDescent="0.25">
      <c r="A137" s="101" t="str">
        <f>'Data Vlaue (Cr)'!C132</f>
        <v>MIDCPNIFTY</v>
      </c>
      <c r="B137" s="50">
        <f>VLOOKUP($A137,'Data Vlaue (Cr)'!$C:$FB,8)</f>
        <v>13843.6</v>
      </c>
      <c r="C137" s="50">
        <f>VLOOKUP($A137,'Data Vlaue (Cr)'!$C:$FB,11)*100</f>
        <v>0.48</v>
      </c>
      <c r="D137" s="50">
        <f>VLOOKUP($A137,'Data Vlaue (Cr)'!$C:$FB,143)</f>
        <v>28164.67</v>
      </c>
      <c r="E137" s="50">
        <f>VLOOKUP($A137,'Data Vlaue (Cr)'!$C:$FB,144)</f>
        <v>38693.870000000003</v>
      </c>
      <c r="F137" s="50">
        <f>VLOOKUP($A137,'Data Vlaue (Cr)'!$C:$FB,146)*100</f>
        <v>-27.21</v>
      </c>
      <c r="G137" s="49">
        <f>VLOOKUP($A137,'Data Vlaue (Cr)'!$C:$FB,43)</f>
        <v>622</v>
      </c>
      <c r="H137" s="49">
        <f>VLOOKUP($A137,'Data Vlaue (Cr)'!$C:$FB,44)</f>
        <v>1291</v>
      </c>
      <c r="I137" s="49">
        <f>VLOOKUP($A137,'Data Vlaue (Cr)'!$C:$FB,46)*100</f>
        <v>-51.78</v>
      </c>
      <c r="J137" s="51">
        <f>VLOOKUP($A137,'Data Vlaue (Cr)'!$C:$FB,59)</f>
        <v>13908</v>
      </c>
      <c r="K137" s="51">
        <f>VLOOKUP($A137,'Data Vlaue (Cr)'!$C:$FB,60)</f>
        <v>19140</v>
      </c>
      <c r="L137" s="51">
        <f>VLOOKUP($A137,'Data Vlaue (Cr)'!$C:$FB,62)*100</f>
        <v>-27.339999999999996</v>
      </c>
      <c r="M137" s="51">
        <f>VLOOKUP($A137,'Data Vlaue (Cr)'!$C:$FB,63)</f>
        <v>13622</v>
      </c>
      <c r="N137" s="51">
        <f>VLOOKUP($A137,'Data Vlaue (Cr)'!$C:$FB,64)</f>
        <v>18328</v>
      </c>
      <c r="O137" s="51">
        <f>VLOOKUP($A137,'Data Vlaue (Cr)'!$C:$FB,66)*100</f>
        <v>-25.679999999999996</v>
      </c>
    </row>
    <row r="138" spans="1:15" x14ac:dyDescent="0.25">
      <c r="A138" s="101" t="str">
        <f>'Data Vlaue (Cr)'!C133</f>
        <v>MOTHERSON</v>
      </c>
      <c r="B138" s="50">
        <f>VLOOKUP($A138,'Data Vlaue (Cr)'!$C:$FB,8)</f>
        <v>122.52</v>
      </c>
      <c r="C138" s="50">
        <f>VLOOKUP($A138,'Data Vlaue (Cr)'!$C:$FB,11)*100</f>
        <v>2.15</v>
      </c>
      <c r="D138" s="50">
        <f>VLOOKUP($A138,'Data Vlaue (Cr)'!$C:$FB,143)</f>
        <v>1345.32</v>
      </c>
      <c r="E138" s="50">
        <f>VLOOKUP($A138,'Data Vlaue (Cr)'!$C:$FB,144)</f>
        <v>682.33</v>
      </c>
      <c r="F138" s="50">
        <f>VLOOKUP($A138,'Data Vlaue (Cr)'!$C:$FB,146)*100</f>
        <v>97.17</v>
      </c>
      <c r="G138" s="49">
        <f>VLOOKUP($A138,'Data Vlaue (Cr)'!$C:$FB,43)</f>
        <v>301</v>
      </c>
      <c r="H138" s="49">
        <f>VLOOKUP($A138,'Data Vlaue (Cr)'!$C:$FB,44)</f>
        <v>196</v>
      </c>
      <c r="I138" s="49">
        <f>VLOOKUP($A138,'Data Vlaue (Cr)'!$C:$FB,46)*100</f>
        <v>53.94</v>
      </c>
      <c r="J138" s="51">
        <f>VLOOKUP($A138,'Data Vlaue (Cr)'!$C:$FB,59)</f>
        <v>772</v>
      </c>
      <c r="K138" s="51">
        <f>VLOOKUP($A138,'Data Vlaue (Cr)'!$C:$FB,60)</f>
        <v>357</v>
      </c>
      <c r="L138" s="51">
        <f>VLOOKUP($A138,'Data Vlaue (Cr)'!$C:$FB,62)*100</f>
        <v>116.06</v>
      </c>
      <c r="M138" s="51">
        <f>VLOOKUP($A138,'Data Vlaue (Cr)'!$C:$FB,63)</f>
        <v>253</v>
      </c>
      <c r="N138" s="51">
        <f>VLOOKUP($A138,'Data Vlaue (Cr)'!$C:$FB,64)</f>
        <v>128</v>
      </c>
      <c r="O138" s="51">
        <f>VLOOKUP($A138,'Data Vlaue (Cr)'!$C:$FB,66)*100</f>
        <v>98.16</v>
      </c>
    </row>
    <row r="139" spans="1:15" x14ac:dyDescent="0.25">
      <c r="A139" s="101" t="str">
        <f>'Data Vlaue (Cr)'!C134</f>
        <v>MPHASIS</v>
      </c>
      <c r="B139" s="50">
        <f>VLOOKUP($A139,'Data Vlaue (Cr)'!$C:$FB,8)</f>
        <v>2828.6</v>
      </c>
      <c r="C139" s="50">
        <f>VLOOKUP($A139,'Data Vlaue (Cr)'!$C:$FB,11)*100</f>
        <v>1.34</v>
      </c>
      <c r="D139" s="50">
        <f>VLOOKUP($A139,'Data Vlaue (Cr)'!$C:$FB,143)</f>
        <v>289.24</v>
      </c>
      <c r="E139" s="50">
        <f>VLOOKUP($A139,'Data Vlaue (Cr)'!$C:$FB,144)</f>
        <v>353.25</v>
      </c>
      <c r="F139" s="50">
        <f>VLOOKUP($A139,'Data Vlaue (Cr)'!$C:$FB,146)*100</f>
        <v>-18.12</v>
      </c>
      <c r="G139" s="49">
        <f>VLOOKUP($A139,'Data Vlaue (Cr)'!$C:$FB,43)</f>
        <v>78</v>
      </c>
      <c r="H139" s="49">
        <f>VLOOKUP($A139,'Data Vlaue (Cr)'!$C:$FB,44)</f>
        <v>109</v>
      </c>
      <c r="I139" s="49">
        <f>VLOOKUP($A139,'Data Vlaue (Cr)'!$C:$FB,46)*100</f>
        <v>-28.53</v>
      </c>
      <c r="J139" s="51">
        <f>VLOOKUP($A139,'Data Vlaue (Cr)'!$C:$FB,59)</f>
        <v>160</v>
      </c>
      <c r="K139" s="51">
        <f>VLOOKUP($A139,'Data Vlaue (Cr)'!$C:$FB,60)</f>
        <v>178</v>
      </c>
      <c r="L139" s="51">
        <f>VLOOKUP($A139,'Data Vlaue (Cr)'!$C:$FB,62)*100</f>
        <v>-10.220000000000001</v>
      </c>
      <c r="M139" s="51">
        <f>VLOOKUP($A139,'Data Vlaue (Cr)'!$C:$FB,63)</f>
        <v>45</v>
      </c>
      <c r="N139" s="51">
        <f>VLOOKUP($A139,'Data Vlaue (Cr)'!$C:$FB,64)</f>
        <v>60</v>
      </c>
      <c r="O139" s="51">
        <f>VLOOKUP($A139,'Data Vlaue (Cr)'!$C:$FB,66)*100</f>
        <v>-25.580000000000002</v>
      </c>
    </row>
    <row r="140" spans="1:15" x14ac:dyDescent="0.25">
      <c r="A140" s="101" t="str">
        <f>'Data Vlaue (Cr)'!C135</f>
        <v>MUTHOOTFIN</v>
      </c>
      <c r="B140" s="50">
        <f>VLOOKUP($A140,'Data Vlaue (Cr)'!$C:$FB,8)</f>
        <v>3839</v>
      </c>
      <c r="C140" s="50">
        <f>VLOOKUP($A140,'Data Vlaue (Cr)'!$C:$FB,11)*100</f>
        <v>0.72</v>
      </c>
      <c r="D140" s="50">
        <f>VLOOKUP($A140,'Data Vlaue (Cr)'!$C:$FB,143)</f>
        <v>1322.96</v>
      </c>
      <c r="E140" s="50">
        <f>VLOOKUP($A140,'Data Vlaue (Cr)'!$C:$FB,144)</f>
        <v>2633.26</v>
      </c>
      <c r="F140" s="50">
        <f>VLOOKUP($A140,'Data Vlaue (Cr)'!$C:$FB,146)*100</f>
        <v>-49.76</v>
      </c>
      <c r="G140" s="49">
        <f>VLOOKUP($A140,'Data Vlaue (Cr)'!$C:$FB,43)</f>
        <v>190</v>
      </c>
      <c r="H140" s="49">
        <f>VLOOKUP($A140,'Data Vlaue (Cr)'!$C:$FB,44)</f>
        <v>377</v>
      </c>
      <c r="I140" s="49">
        <f>VLOOKUP($A140,'Data Vlaue (Cr)'!$C:$FB,46)*100</f>
        <v>-49.61</v>
      </c>
      <c r="J140" s="51">
        <f>VLOOKUP($A140,'Data Vlaue (Cr)'!$C:$FB,59)</f>
        <v>675</v>
      </c>
      <c r="K140" s="51">
        <f>VLOOKUP($A140,'Data Vlaue (Cr)'!$C:$FB,60)</f>
        <v>1364</v>
      </c>
      <c r="L140" s="51">
        <f>VLOOKUP($A140,'Data Vlaue (Cr)'!$C:$FB,62)*100</f>
        <v>-50.51</v>
      </c>
      <c r="M140" s="51">
        <f>VLOOKUP($A140,'Data Vlaue (Cr)'!$C:$FB,63)</f>
        <v>443</v>
      </c>
      <c r="N140" s="51">
        <f>VLOOKUP($A140,'Data Vlaue (Cr)'!$C:$FB,64)</f>
        <v>862</v>
      </c>
      <c r="O140" s="51">
        <f>VLOOKUP($A140,'Data Vlaue (Cr)'!$C:$FB,66)*100</f>
        <v>-48.58</v>
      </c>
    </row>
    <row r="141" spans="1:15" x14ac:dyDescent="0.25">
      <c r="A141" s="101" t="str">
        <f>'Data Vlaue (Cr)'!C136</f>
        <v>NATIONALUM</v>
      </c>
      <c r="B141" s="50">
        <f>VLOOKUP($A141,'Data Vlaue (Cr)'!$C:$FB,8)</f>
        <v>314.60000000000002</v>
      </c>
      <c r="C141" s="50">
        <f>VLOOKUP($A141,'Data Vlaue (Cr)'!$C:$FB,11)*100</f>
        <v>0.1</v>
      </c>
      <c r="D141" s="50">
        <f>VLOOKUP($A141,'Data Vlaue (Cr)'!$C:$FB,143)</f>
        <v>1488.87</v>
      </c>
      <c r="E141" s="50">
        <f>VLOOKUP($A141,'Data Vlaue (Cr)'!$C:$FB,144)</f>
        <v>4582.1499999999996</v>
      </c>
      <c r="F141" s="50">
        <f>VLOOKUP($A141,'Data Vlaue (Cr)'!$C:$FB,146)*100</f>
        <v>-67.510000000000005</v>
      </c>
      <c r="G141" s="49">
        <f>VLOOKUP($A141,'Data Vlaue (Cr)'!$C:$FB,43)</f>
        <v>318</v>
      </c>
      <c r="H141" s="49">
        <f>VLOOKUP($A141,'Data Vlaue (Cr)'!$C:$FB,44)</f>
        <v>653</v>
      </c>
      <c r="I141" s="49">
        <f>VLOOKUP($A141,'Data Vlaue (Cr)'!$C:$FB,46)*100</f>
        <v>-51.339999999999996</v>
      </c>
      <c r="J141" s="51">
        <f>VLOOKUP($A141,'Data Vlaue (Cr)'!$C:$FB,59)</f>
        <v>748</v>
      </c>
      <c r="K141" s="51">
        <f>VLOOKUP($A141,'Data Vlaue (Cr)'!$C:$FB,60)</f>
        <v>2749</v>
      </c>
      <c r="L141" s="51">
        <f>VLOOKUP($A141,'Data Vlaue (Cr)'!$C:$FB,62)*100</f>
        <v>-72.78</v>
      </c>
      <c r="M141" s="51">
        <f>VLOOKUP($A141,'Data Vlaue (Cr)'!$C:$FB,63)</f>
        <v>384</v>
      </c>
      <c r="N141" s="51">
        <f>VLOOKUP($A141,'Data Vlaue (Cr)'!$C:$FB,64)</f>
        <v>999</v>
      </c>
      <c r="O141" s="51">
        <f>VLOOKUP($A141,'Data Vlaue (Cr)'!$C:$FB,66)*100</f>
        <v>-61.6</v>
      </c>
    </row>
    <row r="142" spans="1:15" x14ac:dyDescent="0.25">
      <c r="A142" s="101" t="str">
        <f>'Data Vlaue (Cr)'!C137</f>
        <v>NAUKRI</v>
      </c>
      <c r="B142" s="50">
        <f>VLOOKUP($A142,'Data Vlaue (Cr)'!$C:$FB,8)</f>
        <v>1340.9</v>
      </c>
      <c r="C142" s="50">
        <f>VLOOKUP($A142,'Data Vlaue (Cr)'!$C:$FB,11)*100</f>
        <v>0.54999999999999993</v>
      </c>
      <c r="D142" s="50">
        <f>VLOOKUP($A142,'Data Vlaue (Cr)'!$C:$FB,143)</f>
        <v>229.52</v>
      </c>
      <c r="E142" s="50">
        <f>VLOOKUP($A142,'Data Vlaue (Cr)'!$C:$FB,144)</f>
        <v>365.36</v>
      </c>
      <c r="F142" s="50">
        <f>VLOOKUP($A142,'Data Vlaue (Cr)'!$C:$FB,146)*100</f>
        <v>-37.18</v>
      </c>
      <c r="G142" s="49">
        <f>VLOOKUP($A142,'Data Vlaue (Cr)'!$C:$FB,43)</f>
        <v>52</v>
      </c>
      <c r="H142" s="49">
        <f>VLOOKUP($A142,'Data Vlaue (Cr)'!$C:$FB,44)</f>
        <v>92</v>
      </c>
      <c r="I142" s="49">
        <f>VLOOKUP($A142,'Data Vlaue (Cr)'!$C:$FB,46)*100</f>
        <v>-43</v>
      </c>
      <c r="J142" s="51">
        <f>VLOOKUP($A142,'Data Vlaue (Cr)'!$C:$FB,59)</f>
        <v>95</v>
      </c>
      <c r="K142" s="51">
        <f>VLOOKUP($A142,'Data Vlaue (Cr)'!$C:$FB,60)</f>
        <v>159</v>
      </c>
      <c r="L142" s="51">
        <f>VLOOKUP($A142,'Data Vlaue (Cr)'!$C:$FB,62)*100</f>
        <v>-40.339999999999996</v>
      </c>
      <c r="M142" s="51">
        <f>VLOOKUP($A142,'Data Vlaue (Cr)'!$C:$FB,63)</f>
        <v>80</v>
      </c>
      <c r="N142" s="51">
        <f>VLOOKUP($A142,'Data Vlaue (Cr)'!$C:$FB,64)</f>
        <v>110</v>
      </c>
      <c r="O142" s="51">
        <f>VLOOKUP($A142,'Data Vlaue (Cr)'!$C:$FB,66)*100</f>
        <v>-26.8</v>
      </c>
    </row>
    <row r="143" spans="1:15" x14ac:dyDescent="0.25">
      <c r="A143" s="101" t="str">
        <f>'Data Vlaue (Cr)'!C138</f>
        <v>NBCC</v>
      </c>
      <c r="B143" s="50">
        <f>VLOOKUP($A143,'Data Vlaue (Cr)'!$C:$FB,8)</f>
        <v>122.1</v>
      </c>
      <c r="C143" s="50">
        <f>VLOOKUP($A143,'Data Vlaue (Cr)'!$C:$FB,11)*100</f>
        <v>0.27</v>
      </c>
      <c r="D143" s="50">
        <f>VLOOKUP($A143,'Data Vlaue (Cr)'!$C:$FB,143)</f>
        <v>440.25</v>
      </c>
      <c r="E143" s="50">
        <f>VLOOKUP($A143,'Data Vlaue (Cr)'!$C:$FB,144)</f>
        <v>427.78</v>
      </c>
      <c r="F143" s="50">
        <f>VLOOKUP($A143,'Data Vlaue (Cr)'!$C:$FB,146)*100</f>
        <v>2.92</v>
      </c>
      <c r="G143" s="49">
        <f>VLOOKUP($A143,'Data Vlaue (Cr)'!$C:$FB,43)</f>
        <v>107</v>
      </c>
      <c r="H143" s="49">
        <f>VLOOKUP($A143,'Data Vlaue (Cr)'!$C:$FB,44)</f>
        <v>116</v>
      </c>
      <c r="I143" s="49">
        <f>VLOOKUP($A143,'Data Vlaue (Cr)'!$C:$FB,46)*100</f>
        <v>-7.32</v>
      </c>
      <c r="J143" s="51">
        <f>VLOOKUP($A143,'Data Vlaue (Cr)'!$C:$FB,59)</f>
        <v>238</v>
      </c>
      <c r="K143" s="51">
        <f>VLOOKUP($A143,'Data Vlaue (Cr)'!$C:$FB,60)</f>
        <v>219</v>
      </c>
      <c r="L143" s="51">
        <f>VLOOKUP($A143,'Data Vlaue (Cr)'!$C:$FB,62)*100</f>
        <v>8.64</v>
      </c>
      <c r="M143" s="51">
        <f>VLOOKUP($A143,'Data Vlaue (Cr)'!$C:$FB,63)</f>
        <v>84</v>
      </c>
      <c r="N143" s="51">
        <f>VLOOKUP($A143,'Data Vlaue (Cr)'!$C:$FB,64)</f>
        <v>82</v>
      </c>
      <c r="O143" s="51">
        <f>VLOOKUP($A143,'Data Vlaue (Cr)'!$C:$FB,66)*100</f>
        <v>2.5299999999999998</v>
      </c>
    </row>
    <row r="144" spans="1:15" x14ac:dyDescent="0.25">
      <c r="A144" s="101" t="str">
        <f>'Data Vlaue (Cr)'!C139</f>
        <v>NESTLEIND</v>
      </c>
      <c r="B144" s="50">
        <f>VLOOKUP($A144,'Data Vlaue (Cr)'!$C:$FB,8)</f>
        <v>1295</v>
      </c>
      <c r="C144" s="50">
        <f>VLOOKUP($A144,'Data Vlaue (Cr)'!$C:$FB,11)*100</f>
        <v>0.54</v>
      </c>
      <c r="D144" s="50">
        <f>VLOOKUP($A144,'Data Vlaue (Cr)'!$C:$FB,143)</f>
        <v>615.88</v>
      </c>
      <c r="E144" s="50">
        <f>VLOOKUP($A144,'Data Vlaue (Cr)'!$C:$FB,144)</f>
        <v>782.01</v>
      </c>
      <c r="F144" s="50">
        <f>VLOOKUP($A144,'Data Vlaue (Cr)'!$C:$FB,146)*100</f>
        <v>-21.240000000000002</v>
      </c>
      <c r="G144" s="49">
        <f>VLOOKUP($A144,'Data Vlaue (Cr)'!$C:$FB,43)</f>
        <v>138</v>
      </c>
      <c r="H144" s="49">
        <f>VLOOKUP($A144,'Data Vlaue (Cr)'!$C:$FB,44)</f>
        <v>210</v>
      </c>
      <c r="I144" s="49">
        <f>VLOOKUP($A144,'Data Vlaue (Cr)'!$C:$FB,46)*100</f>
        <v>-34.47</v>
      </c>
      <c r="J144" s="51">
        <f>VLOOKUP($A144,'Data Vlaue (Cr)'!$C:$FB,59)</f>
        <v>352</v>
      </c>
      <c r="K144" s="51">
        <f>VLOOKUP($A144,'Data Vlaue (Cr)'!$C:$FB,60)</f>
        <v>407</v>
      </c>
      <c r="L144" s="51">
        <f>VLOOKUP($A144,'Data Vlaue (Cr)'!$C:$FB,62)*100</f>
        <v>-13.719999999999999</v>
      </c>
      <c r="M144" s="51">
        <f>VLOOKUP($A144,'Data Vlaue (Cr)'!$C:$FB,63)</f>
        <v>120</v>
      </c>
      <c r="N144" s="51">
        <f>VLOOKUP($A144,'Data Vlaue (Cr)'!$C:$FB,64)</f>
        <v>161</v>
      </c>
      <c r="O144" s="51">
        <f>VLOOKUP($A144,'Data Vlaue (Cr)'!$C:$FB,66)*100</f>
        <v>-25.480000000000004</v>
      </c>
    </row>
    <row r="145" spans="1:15" x14ac:dyDescent="0.25">
      <c r="A145" s="101" t="str">
        <f>'Data Vlaue (Cr)'!C140</f>
        <v>NHPC</v>
      </c>
      <c r="B145" s="50">
        <f>VLOOKUP($A145,'Data Vlaue (Cr)'!$C:$FB,8)</f>
        <v>79.56</v>
      </c>
      <c r="C145" s="50">
        <f>VLOOKUP($A145,'Data Vlaue (Cr)'!$C:$FB,11)*100</f>
        <v>0.43</v>
      </c>
      <c r="D145" s="50">
        <f>VLOOKUP($A145,'Data Vlaue (Cr)'!$C:$FB,143)</f>
        <v>288.95</v>
      </c>
      <c r="E145" s="50">
        <f>VLOOKUP($A145,'Data Vlaue (Cr)'!$C:$FB,144)</f>
        <v>498.26</v>
      </c>
      <c r="F145" s="50">
        <f>VLOOKUP($A145,'Data Vlaue (Cr)'!$C:$FB,146)*100</f>
        <v>-42.01</v>
      </c>
      <c r="G145" s="49">
        <f>VLOOKUP($A145,'Data Vlaue (Cr)'!$C:$FB,43)</f>
        <v>47</v>
      </c>
      <c r="H145" s="49">
        <f>VLOOKUP($A145,'Data Vlaue (Cr)'!$C:$FB,44)</f>
        <v>102</v>
      </c>
      <c r="I145" s="49">
        <f>VLOOKUP($A145,'Data Vlaue (Cr)'!$C:$FB,46)*100</f>
        <v>-54.11</v>
      </c>
      <c r="J145" s="51">
        <f>VLOOKUP($A145,'Data Vlaue (Cr)'!$C:$FB,59)</f>
        <v>168</v>
      </c>
      <c r="K145" s="51">
        <f>VLOOKUP($A145,'Data Vlaue (Cr)'!$C:$FB,60)</f>
        <v>295</v>
      </c>
      <c r="L145" s="51">
        <f>VLOOKUP($A145,'Data Vlaue (Cr)'!$C:$FB,62)*100</f>
        <v>-42.870000000000005</v>
      </c>
      <c r="M145" s="51">
        <f>VLOOKUP($A145,'Data Vlaue (Cr)'!$C:$FB,63)</f>
        <v>66</v>
      </c>
      <c r="N145" s="51">
        <f>VLOOKUP($A145,'Data Vlaue (Cr)'!$C:$FB,64)</f>
        <v>84</v>
      </c>
      <c r="O145" s="51">
        <f>VLOOKUP($A145,'Data Vlaue (Cr)'!$C:$FB,66)*100</f>
        <v>-21.990000000000002</v>
      </c>
    </row>
    <row r="146" spans="1:15" x14ac:dyDescent="0.25">
      <c r="A146" s="101" t="str">
        <f>'Data Vlaue (Cr)'!C141</f>
        <v>NIFTY</v>
      </c>
      <c r="B146" s="50">
        <f>VLOOKUP($A146,'Data Vlaue (Cr)'!$C:$FB,8)</f>
        <v>26146.55</v>
      </c>
      <c r="C146" s="50">
        <f>VLOOKUP($A146,'Data Vlaue (Cr)'!$C:$FB,11)*100</f>
        <v>0.06</v>
      </c>
      <c r="D146" s="50">
        <f>VLOOKUP($A146,'Data Vlaue (Cr)'!$C:$FB,143)</f>
        <v>8343622.8700000001</v>
      </c>
      <c r="E146" s="50">
        <f>VLOOKUP($A146,'Data Vlaue (Cr)'!$C:$FB,144)</f>
        <v>10055561.59</v>
      </c>
      <c r="F146" s="50">
        <f>VLOOKUP($A146,'Data Vlaue (Cr)'!$C:$FB,146)*100</f>
        <v>-17.02</v>
      </c>
      <c r="G146" s="49">
        <f>VLOOKUP($A146,'Data Vlaue (Cr)'!$C:$FB,43)</f>
        <v>5794</v>
      </c>
      <c r="H146" s="49">
        <f>VLOOKUP($A146,'Data Vlaue (Cr)'!$C:$FB,44)</f>
        <v>13772</v>
      </c>
      <c r="I146" s="49">
        <f>VLOOKUP($A146,'Data Vlaue (Cr)'!$C:$FB,46)*100</f>
        <v>-57.930000000000007</v>
      </c>
      <c r="J146" s="51">
        <f>VLOOKUP($A146,'Data Vlaue (Cr)'!$C:$FB,59)</f>
        <v>4089113</v>
      </c>
      <c r="K146" s="51">
        <f>VLOOKUP($A146,'Data Vlaue (Cr)'!$C:$FB,60)</f>
        <v>5383926</v>
      </c>
      <c r="L146" s="51">
        <f>VLOOKUP($A146,'Data Vlaue (Cr)'!$C:$FB,62)*100</f>
        <v>-24.05</v>
      </c>
      <c r="M146" s="51">
        <f>VLOOKUP($A146,'Data Vlaue (Cr)'!$C:$FB,63)</f>
        <v>4284978</v>
      </c>
      <c r="N146" s="51">
        <f>VLOOKUP($A146,'Data Vlaue (Cr)'!$C:$FB,64)</f>
        <v>4713873</v>
      </c>
      <c r="O146" s="51">
        <f>VLOOKUP($A146,'Data Vlaue (Cr)'!$C:$FB,66)*100</f>
        <v>-9.1</v>
      </c>
    </row>
    <row r="147" spans="1:15" x14ac:dyDescent="0.25">
      <c r="A147" s="101" t="str">
        <f>'Data Vlaue (Cr)'!C142</f>
        <v>NIFTYNXT50</v>
      </c>
      <c r="B147" s="50">
        <f>VLOOKUP($A147,'Data Vlaue (Cr)'!$C:$FB,8)</f>
        <v>69675.399999999994</v>
      </c>
      <c r="C147" s="50">
        <f>VLOOKUP($A147,'Data Vlaue (Cr)'!$C:$FB,11)*100</f>
        <v>0.44999999999999996</v>
      </c>
      <c r="D147" s="50">
        <f>VLOOKUP($A147,'Data Vlaue (Cr)'!$C:$FB,143)</f>
        <v>128.26</v>
      </c>
      <c r="E147" s="50">
        <f>VLOOKUP($A147,'Data Vlaue (Cr)'!$C:$FB,144)</f>
        <v>141.66999999999999</v>
      </c>
      <c r="F147" s="50">
        <f>VLOOKUP($A147,'Data Vlaue (Cr)'!$C:$FB,146)*100</f>
        <v>-9.4600000000000009</v>
      </c>
      <c r="G147" s="49">
        <f>VLOOKUP($A147,'Data Vlaue (Cr)'!$C:$FB,43)</f>
        <v>40</v>
      </c>
      <c r="H147" s="49">
        <f>VLOOKUP($A147,'Data Vlaue (Cr)'!$C:$FB,44)</f>
        <v>72</v>
      </c>
      <c r="I147" s="49">
        <f>VLOOKUP($A147,'Data Vlaue (Cr)'!$C:$FB,46)*100</f>
        <v>-44.66</v>
      </c>
      <c r="J147" s="51">
        <f>VLOOKUP($A147,'Data Vlaue (Cr)'!$C:$FB,59)</f>
        <v>53</v>
      </c>
      <c r="K147" s="51">
        <f>VLOOKUP($A147,'Data Vlaue (Cr)'!$C:$FB,60)</f>
        <v>53</v>
      </c>
      <c r="L147" s="51">
        <f>VLOOKUP($A147,'Data Vlaue (Cr)'!$C:$FB,62)*100</f>
        <v>1</v>
      </c>
      <c r="M147" s="51">
        <f>VLOOKUP($A147,'Data Vlaue (Cr)'!$C:$FB,63)</f>
        <v>35</v>
      </c>
      <c r="N147" s="51">
        <f>VLOOKUP($A147,'Data Vlaue (Cr)'!$C:$FB,64)</f>
        <v>17</v>
      </c>
      <c r="O147" s="51">
        <f>VLOOKUP($A147,'Data Vlaue (Cr)'!$C:$FB,66)*100</f>
        <v>107.28999999999999</v>
      </c>
    </row>
    <row r="148" spans="1:15" x14ac:dyDescent="0.25">
      <c r="A148" s="101" t="str">
        <f>'Data Vlaue (Cr)'!C143</f>
        <v>NMDC</v>
      </c>
      <c r="B148" s="50">
        <f>VLOOKUP($A148,'Data Vlaue (Cr)'!$C:$FB,8)</f>
        <v>83.66</v>
      </c>
      <c r="C148" s="50">
        <f>VLOOKUP($A148,'Data Vlaue (Cr)'!$C:$FB,11)*100</f>
        <v>0.59</v>
      </c>
      <c r="D148" s="50">
        <f>VLOOKUP($A148,'Data Vlaue (Cr)'!$C:$FB,143)</f>
        <v>926.57</v>
      </c>
      <c r="E148" s="50">
        <f>VLOOKUP($A148,'Data Vlaue (Cr)'!$C:$FB,144)</f>
        <v>1872.82</v>
      </c>
      <c r="F148" s="50">
        <f>VLOOKUP($A148,'Data Vlaue (Cr)'!$C:$FB,146)*100</f>
        <v>-50.529999999999994</v>
      </c>
      <c r="G148" s="49">
        <f>VLOOKUP($A148,'Data Vlaue (Cr)'!$C:$FB,43)</f>
        <v>227</v>
      </c>
      <c r="H148" s="49">
        <f>VLOOKUP($A148,'Data Vlaue (Cr)'!$C:$FB,44)</f>
        <v>512</v>
      </c>
      <c r="I148" s="49">
        <f>VLOOKUP($A148,'Data Vlaue (Cr)'!$C:$FB,46)*100</f>
        <v>-55.76</v>
      </c>
      <c r="J148" s="51">
        <f>VLOOKUP($A148,'Data Vlaue (Cr)'!$C:$FB,59)</f>
        <v>485</v>
      </c>
      <c r="K148" s="51">
        <f>VLOOKUP($A148,'Data Vlaue (Cr)'!$C:$FB,60)</f>
        <v>936</v>
      </c>
      <c r="L148" s="51">
        <f>VLOOKUP($A148,'Data Vlaue (Cr)'!$C:$FB,62)*100</f>
        <v>-48.16</v>
      </c>
      <c r="M148" s="51">
        <f>VLOOKUP($A148,'Data Vlaue (Cr)'!$C:$FB,63)</f>
        <v>204</v>
      </c>
      <c r="N148" s="51">
        <f>VLOOKUP($A148,'Data Vlaue (Cr)'!$C:$FB,64)</f>
        <v>395</v>
      </c>
      <c r="O148" s="51">
        <f>VLOOKUP($A148,'Data Vlaue (Cr)'!$C:$FB,66)*100</f>
        <v>-48.35</v>
      </c>
    </row>
    <row r="149" spans="1:15" x14ac:dyDescent="0.25">
      <c r="A149" s="101" t="str">
        <f>'Data Vlaue (Cr)'!C144</f>
        <v>NTPC</v>
      </c>
      <c r="B149" s="50">
        <f>VLOOKUP($A149,'Data Vlaue (Cr)'!$C:$FB,8)</f>
        <v>336.3</v>
      </c>
      <c r="C149" s="50">
        <f>VLOOKUP($A149,'Data Vlaue (Cr)'!$C:$FB,11)*100</f>
        <v>2.0500000000000003</v>
      </c>
      <c r="D149" s="50">
        <f>VLOOKUP($A149,'Data Vlaue (Cr)'!$C:$FB,143)</f>
        <v>2763.92</v>
      </c>
      <c r="E149" s="50">
        <f>VLOOKUP($A149,'Data Vlaue (Cr)'!$C:$FB,144)</f>
        <v>2142.35</v>
      </c>
      <c r="F149" s="50">
        <f>VLOOKUP($A149,'Data Vlaue (Cr)'!$C:$FB,146)*100</f>
        <v>29.01</v>
      </c>
      <c r="G149" s="49">
        <f>VLOOKUP($A149,'Data Vlaue (Cr)'!$C:$FB,43)</f>
        <v>420</v>
      </c>
      <c r="H149" s="49">
        <f>VLOOKUP($A149,'Data Vlaue (Cr)'!$C:$FB,44)</f>
        <v>286</v>
      </c>
      <c r="I149" s="49">
        <f>VLOOKUP($A149,'Data Vlaue (Cr)'!$C:$FB,46)*100</f>
        <v>46.839999999999996</v>
      </c>
      <c r="J149" s="51">
        <f>VLOOKUP($A149,'Data Vlaue (Cr)'!$C:$FB,59)</f>
        <v>1575</v>
      </c>
      <c r="K149" s="51">
        <f>VLOOKUP($A149,'Data Vlaue (Cr)'!$C:$FB,60)</f>
        <v>1264</v>
      </c>
      <c r="L149" s="51">
        <f>VLOOKUP($A149,'Data Vlaue (Cr)'!$C:$FB,62)*100</f>
        <v>24.6</v>
      </c>
      <c r="M149" s="51">
        <f>VLOOKUP($A149,'Data Vlaue (Cr)'!$C:$FB,63)</f>
        <v>751</v>
      </c>
      <c r="N149" s="51">
        <f>VLOOKUP($A149,'Data Vlaue (Cr)'!$C:$FB,64)</f>
        <v>609</v>
      </c>
      <c r="O149" s="51">
        <f>VLOOKUP($A149,'Data Vlaue (Cr)'!$C:$FB,66)*100</f>
        <v>23.330000000000002</v>
      </c>
    </row>
    <row r="150" spans="1:15" x14ac:dyDescent="0.25">
      <c r="A150" s="101" t="str">
        <f>'Data Vlaue (Cr)'!C145</f>
        <v>NUVAMA</v>
      </c>
      <c r="B150" s="50">
        <f>VLOOKUP($A150,'Data Vlaue (Cr)'!$C:$FB,8)</f>
        <v>1458.5</v>
      </c>
      <c r="C150" s="50">
        <f>VLOOKUP($A150,'Data Vlaue (Cr)'!$C:$FB,11)*100</f>
        <v>-1.49</v>
      </c>
      <c r="D150" s="50">
        <f>VLOOKUP($A150,'Data Vlaue (Cr)'!$C:$FB,143)</f>
        <v>220.5</v>
      </c>
      <c r="E150" s="50">
        <f>VLOOKUP($A150,'Data Vlaue (Cr)'!$C:$FB,144)</f>
        <v>369.03</v>
      </c>
      <c r="F150" s="50">
        <f>VLOOKUP($A150,'Data Vlaue (Cr)'!$C:$FB,146)*100</f>
        <v>-40.25</v>
      </c>
      <c r="G150" s="49">
        <f>VLOOKUP($A150,'Data Vlaue (Cr)'!$C:$FB,43)</f>
        <v>52</v>
      </c>
      <c r="H150" s="49">
        <f>VLOOKUP($A150,'Data Vlaue (Cr)'!$C:$FB,44)</f>
        <v>69</v>
      </c>
      <c r="I150" s="49">
        <f>VLOOKUP($A150,'Data Vlaue (Cr)'!$C:$FB,46)*100</f>
        <v>-24.310000000000002</v>
      </c>
      <c r="J150" s="51">
        <f>VLOOKUP($A150,'Data Vlaue (Cr)'!$C:$FB,59)</f>
        <v>102</v>
      </c>
      <c r="K150" s="51">
        <f>VLOOKUP($A150,'Data Vlaue (Cr)'!$C:$FB,60)</f>
        <v>205</v>
      </c>
      <c r="L150" s="51">
        <f>VLOOKUP($A150,'Data Vlaue (Cr)'!$C:$FB,62)*100</f>
        <v>-50.519999999999996</v>
      </c>
      <c r="M150" s="51">
        <f>VLOOKUP($A150,'Data Vlaue (Cr)'!$C:$FB,63)</f>
        <v>61</v>
      </c>
      <c r="N150" s="51">
        <f>VLOOKUP($A150,'Data Vlaue (Cr)'!$C:$FB,64)</f>
        <v>82</v>
      </c>
      <c r="O150" s="51">
        <f>VLOOKUP($A150,'Data Vlaue (Cr)'!$C:$FB,66)*100</f>
        <v>-24.62</v>
      </c>
    </row>
    <row r="151" spans="1:15" x14ac:dyDescent="0.25">
      <c r="A151" s="101" t="str">
        <f>'Data Vlaue (Cr)'!C146</f>
        <v>NYKAA</v>
      </c>
      <c r="B151" s="50">
        <f>VLOOKUP($A151,'Data Vlaue (Cr)'!$C:$FB,8)</f>
        <v>265.75</v>
      </c>
      <c r="C151" s="50">
        <f>VLOOKUP($A151,'Data Vlaue (Cr)'!$C:$FB,11)*100</f>
        <v>0.22999999999999998</v>
      </c>
      <c r="D151" s="50">
        <f>VLOOKUP($A151,'Data Vlaue (Cr)'!$C:$FB,143)</f>
        <v>337.56</v>
      </c>
      <c r="E151" s="50">
        <f>VLOOKUP($A151,'Data Vlaue (Cr)'!$C:$FB,144)</f>
        <v>702.9</v>
      </c>
      <c r="F151" s="50">
        <f>VLOOKUP($A151,'Data Vlaue (Cr)'!$C:$FB,146)*100</f>
        <v>-51.980000000000004</v>
      </c>
      <c r="G151" s="49">
        <f>VLOOKUP($A151,'Data Vlaue (Cr)'!$C:$FB,43)</f>
        <v>89</v>
      </c>
      <c r="H151" s="49">
        <f>VLOOKUP($A151,'Data Vlaue (Cr)'!$C:$FB,44)</f>
        <v>192</v>
      </c>
      <c r="I151" s="49">
        <f>VLOOKUP($A151,'Data Vlaue (Cr)'!$C:$FB,46)*100</f>
        <v>-53.43</v>
      </c>
      <c r="J151" s="51">
        <f>VLOOKUP($A151,'Data Vlaue (Cr)'!$C:$FB,59)</f>
        <v>180</v>
      </c>
      <c r="K151" s="51">
        <f>VLOOKUP($A151,'Data Vlaue (Cr)'!$C:$FB,60)</f>
        <v>385</v>
      </c>
      <c r="L151" s="51">
        <f>VLOOKUP($A151,'Data Vlaue (Cr)'!$C:$FB,62)*100</f>
        <v>-53.25</v>
      </c>
      <c r="M151" s="51">
        <f>VLOOKUP($A151,'Data Vlaue (Cr)'!$C:$FB,63)</f>
        <v>61</v>
      </c>
      <c r="N151" s="51">
        <f>VLOOKUP($A151,'Data Vlaue (Cr)'!$C:$FB,64)</f>
        <v>116</v>
      </c>
      <c r="O151" s="51">
        <f>VLOOKUP($A151,'Data Vlaue (Cr)'!$C:$FB,66)*100</f>
        <v>-47.099999999999994</v>
      </c>
    </row>
    <row r="152" spans="1:15" x14ac:dyDescent="0.25">
      <c r="A152" s="101" t="str">
        <f>'Data Vlaue (Cr)'!C147</f>
        <v>OBEROIRLTY</v>
      </c>
      <c r="B152" s="50">
        <f>VLOOKUP($A152,'Data Vlaue (Cr)'!$C:$FB,8)</f>
        <v>1695.9</v>
      </c>
      <c r="C152" s="50">
        <f>VLOOKUP($A152,'Data Vlaue (Cr)'!$C:$FB,11)*100</f>
        <v>1.51</v>
      </c>
      <c r="D152" s="50">
        <f>VLOOKUP($A152,'Data Vlaue (Cr)'!$C:$FB,143)</f>
        <v>209.18</v>
      </c>
      <c r="E152" s="50">
        <f>VLOOKUP($A152,'Data Vlaue (Cr)'!$C:$FB,144)</f>
        <v>205.51</v>
      </c>
      <c r="F152" s="50">
        <f>VLOOKUP($A152,'Data Vlaue (Cr)'!$C:$FB,146)*100</f>
        <v>1.79</v>
      </c>
      <c r="G152" s="49">
        <f>VLOOKUP($A152,'Data Vlaue (Cr)'!$C:$FB,43)</f>
        <v>74</v>
      </c>
      <c r="H152" s="49">
        <f>VLOOKUP($A152,'Data Vlaue (Cr)'!$C:$FB,44)</f>
        <v>67</v>
      </c>
      <c r="I152" s="49">
        <f>VLOOKUP($A152,'Data Vlaue (Cr)'!$C:$FB,46)*100</f>
        <v>10.220000000000001</v>
      </c>
      <c r="J152" s="51">
        <f>VLOOKUP($A152,'Data Vlaue (Cr)'!$C:$FB,59)</f>
        <v>101</v>
      </c>
      <c r="K152" s="51">
        <f>VLOOKUP($A152,'Data Vlaue (Cr)'!$C:$FB,60)</f>
        <v>89</v>
      </c>
      <c r="L152" s="51">
        <f>VLOOKUP($A152,'Data Vlaue (Cr)'!$C:$FB,62)*100</f>
        <v>14.31</v>
      </c>
      <c r="M152" s="51">
        <f>VLOOKUP($A152,'Data Vlaue (Cr)'!$C:$FB,63)</f>
        <v>32</v>
      </c>
      <c r="N152" s="51">
        <f>VLOOKUP($A152,'Data Vlaue (Cr)'!$C:$FB,64)</f>
        <v>48</v>
      </c>
      <c r="O152" s="51">
        <f>VLOOKUP($A152,'Data Vlaue (Cr)'!$C:$FB,66)*100</f>
        <v>-33.619999999999997</v>
      </c>
    </row>
    <row r="153" spans="1:15" x14ac:dyDescent="0.25">
      <c r="A153" s="101" t="str">
        <f>'Data Vlaue (Cr)'!C148</f>
        <v>OFSS</v>
      </c>
      <c r="B153" s="50">
        <f>VLOOKUP($A153,'Data Vlaue (Cr)'!$C:$FB,8)</f>
        <v>7687.5</v>
      </c>
      <c r="C153" s="50">
        <f>VLOOKUP($A153,'Data Vlaue (Cr)'!$C:$FB,11)*100</f>
        <v>0.01</v>
      </c>
      <c r="D153" s="50">
        <f>VLOOKUP($A153,'Data Vlaue (Cr)'!$C:$FB,143)</f>
        <v>365.73</v>
      </c>
      <c r="E153" s="50">
        <f>VLOOKUP($A153,'Data Vlaue (Cr)'!$C:$FB,144)</f>
        <v>464.95</v>
      </c>
      <c r="F153" s="50">
        <f>VLOOKUP($A153,'Data Vlaue (Cr)'!$C:$FB,146)*100</f>
        <v>-21.34</v>
      </c>
      <c r="G153" s="49">
        <f>VLOOKUP($A153,'Data Vlaue (Cr)'!$C:$FB,43)</f>
        <v>57</v>
      </c>
      <c r="H153" s="49">
        <f>VLOOKUP($A153,'Data Vlaue (Cr)'!$C:$FB,44)</f>
        <v>85</v>
      </c>
      <c r="I153" s="49">
        <f>VLOOKUP($A153,'Data Vlaue (Cr)'!$C:$FB,46)*100</f>
        <v>-33.76</v>
      </c>
      <c r="J153" s="51">
        <f>VLOOKUP($A153,'Data Vlaue (Cr)'!$C:$FB,59)</f>
        <v>173</v>
      </c>
      <c r="K153" s="51">
        <f>VLOOKUP($A153,'Data Vlaue (Cr)'!$C:$FB,60)</f>
        <v>208</v>
      </c>
      <c r="L153" s="51">
        <f>VLOOKUP($A153,'Data Vlaue (Cr)'!$C:$FB,62)*100</f>
        <v>-17.010000000000002</v>
      </c>
      <c r="M153" s="51">
        <f>VLOOKUP($A153,'Data Vlaue (Cr)'!$C:$FB,63)</f>
        <v>139</v>
      </c>
      <c r="N153" s="51">
        <f>VLOOKUP($A153,'Data Vlaue (Cr)'!$C:$FB,64)</f>
        <v>174</v>
      </c>
      <c r="O153" s="51">
        <f>VLOOKUP($A153,'Data Vlaue (Cr)'!$C:$FB,66)*100</f>
        <v>-19.98</v>
      </c>
    </row>
    <row r="154" spans="1:15" x14ac:dyDescent="0.25">
      <c r="A154" s="101" t="str">
        <f>'Data Vlaue (Cr)'!C149</f>
        <v>OIL</v>
      </c>
      <c r="B154" s="50">
        <f>VLOOKUP($A154,'Data Vlaue (Cr)'!$C:$FB,8)</f>
        <v>427.55</v>
      </c>
      <c r="C154" s="50">
        <f>VLOOKUP($A154,'Data Vlaue (Cr)'!$C:$FB,11)*100</f>
        <v>0.75</v>
      </c>
      <c r="D154" s="50">
        <f>VLOOKUP($A154,'Data Vlaue (Cr)'!$C:$FB,143)</f>
        <v>374.71</v>
      </c>
      <c r="E154" s="50">
        <f>VLOOKUP($A154,'Data Vlaue (Cr)'!$C:$FB,144)</f>
        <v>1131.3699999999999</v>
      </c>
      <c r="F154" s="50">
        <f>VLOOKUP($A154,'Data Vlaue (Cr)'!$C:$FB,146)*100</f>
        <v>-66.88</v>
      </c>
      <c r="G154" s="49">
        <f>VLOOKUP($A154,'Data Vlaue (Cr)'!$C:$FB,43)</f>
        <v>68</v>
      </c>
      <c r="H154" s="49">
        <f>VLOOKUP($A154,'Data Vlaue (Cr)'!$C:$FB,44)</f>
        <v>158</v>
      </c>
      <c r="I154" s="49">
        <f>VLOOKUP($A154,'Data Vlaue (Cr)'!$C:$FB,46)*100</f>
        <v>-56.98</v>
      </c>
      <c r="J154" s="51">
        <f>VLOOKUP($A154,'Data Vlaue (Cr)'!$C:$FB,59)</f>
        <v>204</v>
      </c>
      <c r="K154" s="51">
        <f>VLOOKUP($A154,'Data Vlaue (Cr)'!$C:$FB,60)</f>
        <v>733</v>
      </c>
      <c r="L154" s="51">
        <f>VLOOKUP($A154,'Data Vlaue (Cr)'!$C:$FB,62)*100</f>
        <v>-72.17</v>
      </c>
      <c r="M154" s="51">
        <f>VLOOKUP($A154,'Data Vlaue (Cr)'!$C:$FB,63)</f>
        <v>94</v>
      </c>
      <c r="N154" s="51">
        <f>VLOOKUP($A154,'Data Vlaue (Cr)'!$C:$FB,64)</f>
        <v>212</v>
      </c>
      <c r="O154" s="51">
        <f>VLOOKUP($A154,'Data Vlaue (Cr)'!$C:$FB,66)*100</f>
        <v>-55.53</v>
      </c>
    </row>
    <row r="155" spans="1:15" x14ac:dyDescent="0.25">
      <c r="A155" s="101" t="str">
        <f>'Data Vlaue (Cr)'!C150</f>
        <v>ONGC</v>
      </c>
      <c r="B155" s="50">
        <f>VLOOKUP($A155,'Data Vlaue (Cr)'!$C:$FB,8)</f>
        <v>237.94</v>
      </c>
      <c r="C155" s="50">
        <f>VLOOKUP($A155,'Data Vlaue (Cr)'!$C:$FB,11)*100</f>
        <v>-1.02</v>
      </c>
      <c r="D155" s="50">
        <f>VLOOKUP($A155,'Data Vlaue (Cr)'!$C:$FB,143)</f>
        <v>1903.5</v>
      </c>
      <c r="E155" s="50">
        <f>VLOOKUP($A155,'Data Vlaue (Cr)'!$C:$FB,144)</f>
        <v>2200.1999999999998</v>
      </c>
      <c r="F155" s="50">
        <f>VLOOKUP($A155,'Data Vlaue (Cr)'!$C:$FB,146)*100</f>
        <v>-13.48</v>
      </c>
      <c r="G155" s="49">
        <f>VLOOKUP($A155,'Data Vlaue (Cr)'!$C:$FB,43)</f>
        <v>244</v>
      </c>
      <c r="H155" s="49">
        <f>VLOOKUP($A155,'Data Vlaue (Cr)'!$C:$FB,44)</f>
        <v>399</v>
      </c>
      <c r="I155" s="49">
        <f>VLOOKUP($A155,'Data Vlaue (Cr)'!$C:$FB,46)*100</f>
        <v>-38.97</v>
      </c>
      <c r="J155" s="51">
        <f>VLOOKUP($A155,'Data Vlaue (Cr)'!$C:$FB,59)</f>
        <v>1166</v>
      </c>
      <c r="K155" s="51">
        <f>VLOOKUP($A155,'Data Vlaue (Cr)'!$C:$FB,60)</f>
        <v>1179</v>
      </c>
      <c r="L155" s="51">
        <f>VLOOKUP($A155,'Data Vlaue (Cr)'!$C:$FB,62)*100</f>
        <v>-1.1199999999999999</v>
      </c>
      <c r="M155" s="51">
        <f>VLOOKUP($A155,'Data Vlaue (Cr)'!$C:$FB,63)</f>
        <v>450</v>
      </c>
      <c r="N155" s="51">
        <f>VLOOKUP($A155,'Data Vlaue (Cr)'!$C:$FB,64)</f>
        <v>586</v>
      </c>
      <c r="O155" s="51">
        <f>VLOOKUP($A155,'Data Vlaue (Cr)'!$C:$FB,66)*100</f>
        <v>-23.11</v>
      </c>
    </row>
    <row r="156" spans="1:15" x14ac:dyDescent="0.25">
      <c r="A156" s="101" t="str">
        <f>'Data Vlaue (Cr)'!C151</f>
        <v>PAGEIND</v>
      </c>
      <c r="B156" s="50">
        <f>VLOOKUP($A156,'Data Vlaue (Cr)'!$C:$FB,8)</f>
        <v>35645</v>
      </c>
      <c r="C156" s="50">
        <f>VLOOKUP($A156,'Data Vlaue (Cr)'!$C:$FB,11)*100</f>
        <v>-1.1100000000000001</v>
      </c>
      <c r="D156" s="50">
        <f>VLOOKUP($A156,'Data Vlaue (Cr)'!$C:$FB,143)</f>
        <v>534.78</v>
      </c>
      <c r="E156" s="50">
        <f>VLOOKUP($A156,'Data Vlaue (Cr)'!$C:$FB,144)</f>
        <v>338.13</v>
      </c>
      <c r="F156" s="50">
        <f>VLOOKUP($A156,'Data Vlaue (Cr)'!$C:$FB,146)*100</f>
        <v>58.160000000000004</v>
      </c>
      <c r="G156" s="49">
        <f>VLOOKUP($A156,'Data Vlaue (Cr)'!$C:$FB,43)</f>
        <v>60</v>
      </c>
      <c r="H156" s="49">
        <f>VLOOKUP($A156,'Data Vlaue (Cr)'!$C:$FB,44)</f>
        <v>66</v>
      </c>
      <c r="I156" s="49">
        <f>VLOOKUP($A156,'Data Vlaue (Cr)'!$C:$FB,46)*100</f>
        <v>-8.58</v>
      </c>
      <c r="J156" s="51">
        <f>VLOOKUP($A156,'Data Vlaue (Cr)'!$C:$FB,59)</f>
        <v>315</v>
      </c>
      <c r="K156" s="51">
        <f>VLOOKUP($A156,'Data Vlaue (Cr)'!$C:$FB,60)</f>
        <v>187</v>
      </c>
      <c r="L156" s="51">
        <f>VLOOKUP($A156,'Data Vlaue (Cr)'!$C:$FB,62)*100</f>
        <v>68.39</v>
      </c>
      <c r="M156" s="51">
        <f>VLOOKUP($A156,'Data Vlaue (Cr)'!$C:$FB,63)</f>
        <v>132</v>
      </c>
      <c r="N156" s="51">
        <f>VLOOKUP($A156,'Data Vlaue (Cr)'!$C:$FB,64)</f>
        <v>75</v>
      </c>
      <c r="O156" s="51">
        <f>VLOOKUP($A156,'Data Vlaue (Cr)'!$C:$FB,66)*100</f>
        <v>76.94</v>
      </c>
    </row>
    <row r="157" spans="1:15" x14ac:dyDescent="0.25">
      <c r="A157" s="101" t="str">
        <f>'Data Vlaue (Cr)'!C152</f>
        <v>PATANJALI</v>
      </c>
      <c r="B157" s="50">
        <f>VLOOKUP($A157,'Data Vlaue (Cr)'!$C:$FB,8)</f>
        <v>552.54999999999995</v>
      </c>
      <c r="C157" s="50">
        <f>VLOOKUP($A157,'Data Vlaue (Cr)'!$C:$FB,11)*100</f>
        <v>1.29</v>
      </c>
      <c r="D157" s="50">
        <f>VLOOKUP($A157,'Data Vlaue (Cr)'!$C:$FB,143)</f>
        <v>334.13</v>
      </c>
      <c r="E157" s="50">
        <f>VLOOKUP($A157,'Data Vlaue (Cr)'!$C:$FB,144)</f>
        <v>752</v>
      </c>
      <c r="F157" s="50">
        <f>VLOOKUP($A157,'Data Vlaue (Cr)'!$C:$FB,146)*100</f>
        <v>-55.57</v>
      </c>
      <c r="G157" s="49">
        <f>VLOOKUP($A157,'Data Vlaue (Cr)'!$C:$FB,43)</f>
        <v>197</v>
      </c>
      <c r="H157" s="49">
        <f>VLOOKUP($A157,'Data Vlaue (Cr)'!$C:$FB,44)</f>
        <v>287</v>
      </c>
      <c r="I157" s="49">
        <f>VLOOKUP($A157,'Data Vlaue (Cr)'!$C:$FB,46)*100</f>
        <v>-31.180000000000003</v>
      </c>
      <c r="J157" s="51">
        <f>VLOOKUP($A157,'Data Vlaue (Cr)'!$C:$FB,59)</f>
        <v>93</v>
      </c>
      <c r="K157" s="51">
        <f>VLOOKUP($A157,'Data Vlaue (Cr)'!$C:$FB,60)</f>
        <v>289</v>
      </c>
      <c r="L157" s="51">
        <f>VLOOKUP($A157,'Data Vlaue (Cr)'!$C:$FB,62)*100</f>
        <v>-67.650000000000006</v>
      </c>
      <c r="M157" s="51">
        <f>VLOOKUP($A157,'Data Vlaue (Cr)'!$C:$FB,63)</f>
        <v>41</v>
      </c>
      <c r="N157" s="51">
        <f>VLOOKUP($A157,'Data Vlaue (Cr)'!$C:$FB,64)</f>
        <v>178</v>
      </c>
      <c r="O157" s="51">
        <f>VLOOKUP($A157,'Data Vlaue (Cr)'!$C:$FB,66)*100</f>
        <v>-77.05</v>
      </c>
    </row>
    <row r="158" spans="1:15" x14ac:dyDescent="0.25">
      <c r="A158" s="101" t="str">
        <f>'Data Vlaue (Cr)'!C153</f>
        <v>PAYTM</v>
      </c>
      <c r="B158" s="50">
        <f>VLOOKUP($A158,'Data Vlaue (Cr)'!$C:$FB,8)</f>
        <v>1291.7</v>
      </c>
      <c r="C158" s="50">
        <f>VLOOKUP($A158,'Data Vlaue (Cr)'!$C:$FB,11)*100</f>
        <v>-0.54999999999999993</v>
      </c>
      <c r="D158" s="50">
        <f>VLOOKUP($A158,'Data Vlaue (Cr)'!$C:$FB,143)</f>
        <v>818.21</v>
      </c>
      <c r="E158" s="50">
        <f>VLOOKUP($A158,'Data Vlaue (Cr)'!$C:$FB,144)</f>
        <v>1107.57</v>
      </c>
      <c r="F158" s="50">
        <f>VLOOKUP($A158,'Data Vlaue (Cr)'!$C:$FB,146)*100</f>
        <v>-26.13</v>
      </c>
      <c r="G158" s="49">
        <f>VLOOKUP($A158,'Data Vlaue (Cr)'!$C:$FB,43)</f>
        <v>165</v>
      </c>
      <c r="H158" s="49">
        <f>VLOOKUP($A158,'Data Vlaue (Cr)'!$C:$FB,44)</f>
        <v>253</v>
      </c>
      <c r="I158" s="49">
        <f>VLOOKUP($A158,'Data Vlaue (Cr)'!$C:$FB,46)*100</f>
        <v>-34.83</v>
      </c>
      <c r="J158" s="51">
        <f>VLOOKUP($A158,'Data Vlaue (Cr)'!$C:$FB,59)</f>
        <v>452</v>
      </c>
      <c r="K158" s="51">
        <f>VLOOKUP($A158,'Data Vlaue (Cr)'!$C:$FB,60)</f>
        <v>599</v>
      </c>
      <c r="L158" s="51">
        <f>VLOOKUP($A158,'Data Vlaue (Cr)'!$C:$FB,62)*100</f>
        <v>-24.44</v>
      </c>
      <c r="M158" s="51">
        <f>VLOOKUP($A158,'Data Vlaue (Cr)'!$C:$FB,63)</f>
        <v>174</v>
      </c>
      <c r="N158" s="51">
        <f>VLOOKUP($A158,'Data Vlaue (Cr)'!$C:$FB,64)</f>
        <v>222</v>
      </c>
      <c r="O158" s="51">
        <f>VLOOKUP($A158,'Data Vlaue (Cr)'!$C:$FB,66)*100</f>
        <v>-21.5</v>
      </c>
    </row>
    <row r="159" spans="1:15" x14ac:dyDescent="0.25">
      <c r="A159" s="101" t="str">
        <f>'Data Vlaue (Cr)'!C154</f>
        <v>PERSISTENT</v>
      </c>
      <c r="B159" s="50">
        <f>VLOOKUP($A159,'Data Vlaue (Cr)'!$C:$FB,8)</f>
        <v>6282.5</v>
      </c>
      <c r="C159" s="50">
        <f>VLOOKUP($A159,'Data Vlaue (Cr)'!$C:$FB,11)*100</f>
        <v>0.16999999999999998</v>
      </c>
      <c r="D159" s="50">
        <f>VLOOKUP($A159,'Data Vlaue (Cr)'!$C:$FB,143)</f>
        <v>559.11</v>
      </c>
      <c r="E159" s="50">
        <f>VLOOKUP($A159,'Data Vlaue (Cr)'!$C:$FB,144)</f>
        <v>985.32</v>
      </c>
      <c r="F159" s="50">
        <f>VLOOKUP($A159,'Data Vlaue (Cr)'!$C:$FB,146)*100</f>
        <v>-43.26</v>
      </c>
      <c r="G159" s="49">
        <f>VLOOKUP($A159,'Data Vlaue (Cr)'!$C:$FB,43)</f>
        <v>125</v>
      </c>
      <c r="H159" s="49">
        <f>VLOOKUP($A159,'Data Vlaue (Cr)'!$C:$FB,44)</f>
        <v>252</v>
      </c>
      <c r="I159" s="49">
        <f>VLOOKUP($A159,'Data Vlaue (Cr)'!$C:$FB,46)*100</f>
        <v>-50.56</v>
      </c>
      <c r="J159" s="51">
        <f>VLOOKUP($A159,'Data Vlaue (Cr)'!$C:$FB,59)</f>
        <v>286</v>
      </c>
      <c r="K159" s="51">
        <f>VLOOKUP($A159,'Data Vlaue (Cr)'!$C:$FB,60)</f>
        <v>461</v>
      </c>
      <c r="L159" s="51">
        <f>VLOOKUP($A159,'Data Vlaue (Cr)'!$C:$FB,62)*100</f>
        <v>-37.86</v>
      </c>
      <c r="M159" s="51">
        <f>VLOOKUP($A159,'Data Vlaue (Cr)'!$C:$FB,63)</f>
        <v>137</v>
      </c>
      <c r="N159" s="51">
        <f>VLOOKUP($A159,'Data Vlaue (Cr)'!$C:$FB,64)</f>
        <v>256</v>
      </c>
      <c r="O159" s="51">
        <f>VLOOKUP($A159,'Data Vlaue (Cr)'!$C:$FB,66)*100</f>
        <v>-46.489999999999995</v>
      </c>
    </row>
    <row r="160" spans="1:15" x14ac:dyDescent="0.25">
      <c r="A160" s="101" t="str">
        <f>'Data Vlaue (Cr)'!C155</f>
        <v>PETRONET</v>
      </c>
      <c r="B160" s="50">
        <f>VLOOKUP($A160,'Data Vlaue (Cr)'!$C:$FB,8)</f>
        <v>288.10000000000002</v>
      </c>
      <c r="C160" s="50">
        <f>VLOOKUP($A160,'Data Vlaue (Cr)'!$C:$FB,11)*100</f>
        <v>1.41</v>
      </c>
      <c r="D160" s="50">
        <f>VLOOKUP($A160,'Data Vlaue (Cr)'!$C:$FB,143)</f>
        <v>633.11</v>
      </c>
      <c r="E160" s="50">
        <f>VLOOKUP($A160,'Data Vlaue (Cr)'!$C:$FB,144)</f>
        <v>1220.78</v>
      </c>
      <c r="F160" s="50">
        <f>VLOOKUP($A160,'Data Vlaue (Cr)'!$C:$FB,146)*100</f>
        <v>-48.14</v>
      </c>
      <c r="G160" s="49">
        <f>VLOOKUP($A160,'Data Vlaue (Cr)'!$C:$FB,43)</f>
        <v>106</v>
      </c>
      <c r="H160" s="49">
        <f>VLOOKUP($A160,'Data Vlaue (Cr)'!$C:$FB,44)</f>
        <v>271</v>
      </c>
      <c r="I160" s="49">
        <f>VLOOKUP($A160,'Data Vlaue (Cr)'!$C:$FB,46)*100</f>
        <v>-60.629999999999995</v>
      </c>
      <c r="J160" s="51">
        <f>VLOOKUP($A160,'Data Vlaue (Cr)'!$C:$FB,59)</f>
        <v>367</v>
      </c>
      <c r="K160" s="51">
        <f>VLOOKUP($A160,'Data Vlaue (Cr)'!$C:$FB,60)</f>
        <v>536</v>
      </c>
      <c r="L160" s="51">
        <f>VLOOKUP($A160,'Data Vlaue (Cr)'!$C:$FB,62)*100</f>
        <v>-31.580000000000002</v>
      </c>
      <c r="M160" s="51">
        <f>VLOOKUP($A160,'Data Vlaue (Cr)'!$C:$FB,63)</f>
        <v>160</v>
      </c>
      <c r="N160" s="51">
        <f>VLOOKUP($A160,'Data Vlaue (Cr)'!$C:$FB,64)</f>
        <v>437</v>
      </c>
      <c r="O160" s="51">
        <f>VLOOKUP($A160,'Data Vlaue (Cr)'!$C:$FB,66)*100</f>
        <v>-63.449999999999996</v>
      </c>
    </row>
    <row r="161" spans="1:15" x14ac:dyDescent="0.25">
      <c r="A161" s="101" t="str">
        <f>'Data Vlaue (Cr)'!C156</f>
        <v>PFC</v>
      </c>
      <c r="B161" s="50">
        <f>VLOOKUP($A161,'Data Vlaue (Cr)'!$C:$FB,8)</f>
        <v>363.15</v>
      </c>
      <c r="C161" s="50">
        <f>VLOOKUP($A161,'Data Vlaue (Cr)'!$C:$FB,11)*100</f>
        <v>2.1800000000000002</v>
      </c>
      <c r="D161" s="50">
        <f>VLOOKUP($A161,'Data Vlaue (Cr)'!$C:$FB,143)</f>
        <v>3024.62</v>
      </c>
      <c r="E161" s="50">
        <f>VLOOKUP($A161,'Data Vlaue (Cr)'!$C:$FB,144)</f>
        <v>1932.41</v>
      </c>
      <c r="F161" s="50">
        <f>VLOOKUP($A161,'Data Vlaue (Cr)'!$C:$FB,146)*100</f>
        <v>56.52</v>
      </c>
      <c r="G161" s="49">
        <f>VLOOKUP($A161,'Data Vlaue (Cr)'!$C:$FB,43)</f>
        <v>461</v>
      </c>
      <c r="H161" s="49">
        <f>VLOOKUP($A161,'Data Vlaue (Cr)'!$C:$FB,44)</f>
        <v>357</v>
      </c>
      <c r="I161" s="49">
        <f>VLOOKUP($A161,'Data Vlaue (Cr)'!$C:$FB,46)*100</f>
        <v>29.23</v>
      </c>
      <c r="J161" s="51">
        <f>VLOOKUP($A161,'Data Vlaue (Cr)'!$C:$FB,59)</f>
        <v>2081</v>
      </c>
      <c r="K161" s="51">
        <f>VLOOKUP($A161,'Data Vlaue (Cr)'!$C:$FB,60)</f>
        <v>1055</v>
      </c>
      <c r="L161" s="51">
        <f>VLOOKUP($A161,'Data Vlaue (Cr)'!$C:$FB,62)*100</f>
        <v>97.17</v>
      </c>
      <c r="M161" s="51">
        <f>VLOOKUP($A161,'Data Vlaue (Cr)'!$C:$FB,63)</f>
        <v>431</v>
      </c>
      <c r="N161" s="51">
        <f>VLOOKUP($A161,'Data Vlaue (Cr)'!$C:$FB,64)</f>
        <v>520</v>
      </c>
      <c r="O161" s="51">
        <f>VLOOKUP($A161,'Data Vlaue (Cr)'!$C:$FB,66)*100</f>
        <v>-17.11</v>
      </c>
    </row>
    <row r="162" spans="1:15" x14ac:dyDescent="0.25">
      <c r="A162" s="101" t="str">
        <f>'Data Vlaue (Cr)'!C157</f>
        <v>PGEL</v>
      </c>
      <c r="B162" s="50">
        <f>VLOOKUP($A162,'Data Vlaue (Cr)'!$C:$FB,8)</f>
        <v>578.95000000000005</v>
      </c>
      <c r="C162" s="50">
        <f>VLOOKUP($A162,'Data Vlaue (Cr)'!$C:$FB,11)*100</f>
        <v>0.63</v>
      </c>
      <c r="D162" s="50">
        <f>VLOOKUP($A162,'Data Vlaue (Cr)'!$C:$FB,143)</f>
        <v>201.23</v>
      </c>
      <c r="E162" s="50">
        <f>VLOOKUP($A162,'Data Vlaue (Cr)'!$C:$FB,144)</f>
        <v>754.84</v>
      </c>
      <c r="F162" s="50">
        <f>VLOOKUP($A162,'Data Vlaue (Cr)'!$C:$FB,146)*100</f>
        <v>-73.34</v>
      </c>
      <c r="G162" s="49">
        <f>VLOOKUP($A162,'Data Vlaue (Cr)'!$C:$FB,43)</f>
        <v>54</v>
      </c>
      <c r="H162" s="49">
        <f>VLOOKUP($A162,'Data Vlaue (Cr)'!$C:$FB,44)</f>
        <v>190</v>
      </c>
      <c r="I162" s="49">
        <f>VLOOKUP($A162,'Data Vlaue (Cr)'!$C:$FB,46)*100</f>
        <v>-71.709999999999994</v>
      </c>
      <c r="J162" s="51">
        <f>VLOOKUP($A162,'Data Vlaue (Cr)'!$C:$FB,59)</f>
        <v>99</v>
      </c>
      <c r="K162" s="51">
        <f>VLOOKUP($A162,'Data Vlaue (Cr)'!$C:$FB,60)</f>
        <v>376</v>
      </c>
      <c r="L162" s="51">
        <f>VLOOKUP($A162,'Data Vlaue (Cr)'!$C:$FB,62)*100</f>
        <v>-73.72999999999999</v>
      </c>
      <c r="M162" s="51">
        <f>VLOOKUP($A162,'Data Vlaue (Cr)'!$C:$FB,63)</f>
        <v>44</v>
      </c>
      <c r="N162" s="51">
        <f>VLOOKUP($A162,'Data Vlaue (Cr)'!$C:$FB,64)</f>
        <v>173</v>
      </c>
      <c r="O162" s="51">
        <f>VLOOKUP($A162,'Data Vlaue (Cr)'!$C:$FB,66)*100</f>
        <v>-74.47</v>
      </c>
    </row>
    <row r="163" spans="1:15" x14ac:dyDescent="0.25">
      <c r="A163" s="101" t="str">
        <f>'Data Vlaue (Cr)'!C158</f>
        <v>PHOENIXLTD</v>
      </c>
      <c r="B163" s="50">
        <f>VLOOKUP($A163,'Data Vlaue (Cr)'!$C:$FB,8)</f>
        <v>1872.7</v>
      </c>
      <c r="C163" s="50">
        <f>VLOOKUP($A163,'Data Vlaue (Cr)'!$C:$FB,11)*100</f>
        <v>1.04</v>
      </c>
      <c r="D163" s="50">
        <f>VLOOKUP($A163,'Data Vlaue (Cr)'!$C:$FB,143)</f>
        <v>182.88</v>
      </c>
      <c r="E163" s="50">
        <f>VLOOKUP($A163,'Data Vlaue (Cr)'!$C:$FB,144)</f>
        <v>119.91</v>
      </c>
      <c r="F163" s="50">
        <f>VLOOKUP($A163,'Data Vlaue (Cr)'!$C:$FB,146)*100</f>
        <v>52.52</v>
      </c>
      <c r="G163" s="49">
        <f>VLOOKUP($A163,'Data Vlaue (Cr)'!$C:$FB,43)</f>
        <v>67</v>
      </c>
      <c r="H163" s="49">
        <f>VLOOKUP($A163,'Data Vlaue (Cr)'!$C:$FB,44)</f>
        <v>54</v>
      </c>
      <c r="I163" s="49">
        <f>VLOOKUP($A163,'Data Vlaue (Cr)'!$C:$FB,46)*100</f>
        <v>25.34</v>
      </c>
      <c r="J163" s="51">
        <f>VLOOKUP($A163,'Data Vlaue (Cr)'!$C:$FB,59)</f>
        <v>87</v>
      </c>
      <c r="K163" s="51">
        <f>VLOOKUP($A163,'Data Vlaue (Cr)'!$C:$FB,60)</f>
        <v>38</v>
      </c>
      <c r="L163" s="51">
        <f>VLOOKUP($A163,'Data Vlaue (Cr)'!$C:$FB,62)*100</f>
        <v>125.51</v>
      </c>
      <c r="M163" s="51">
        <f>VLOOKUP($A163,'Data Vlaue (Cr)'!$C:$FB,63)</f>
        <v>27</v>
      </c>
      <c r="N163" s="51">
        <f>VLOOKUP($A163,'Data Vlaue (Cr)'!$C:$FB,64)</f>
        <v>28</v>
      </c>
      <c r="O163" s="51">
        <f>VLOOKUP($A163,'Data Vlaue (Cr)'!$C:$FB,66)*100</f>
        <v>-2.59</v>
      </c>
    </row>
    <row r="164" spans="1:15" x14ac:dyDescent="0.25">
      <c r="A164" s="101" t="str">
        <f>'Data Vlaue (Cr)'!C159</f>
        <v>PIDILITIND</v>
      </c>
      <c r="B164" s="50">
        <f>VLOOKUP($A164,'Data Vlaue (Cr)'!$C:$FB,8)</f>
        <v>1469.3</v>
      </c>
      <c r="C164" s="50">
        <f>VLOOKUP($A164,'Data Vlaue (Cr)'!$C:$FB,11)*100</f>
        <v>-0.88</v>
      </c>
      <c r="D164" s="50">
        <f>VLOOKUP($A164,'Data Vlaue (Cr)'!$C:$FB,143)</f>
        <v>189.6</v>
      </c>
      <c r="E164" s="50">
        <f>VLOOKUP($A164,'Data Vlaue (Cr)'!$C:$FB,144)</f>
        <v>593.82000000000005</v>
      </c>
      <c r="F164" s="50">
        <f>VLOOKUP($A164,'Data Vlaue (Cr)'!$C:$FB,146)*100</f>
        <v>-68.069999999999993</v>
      </c>
      <c r="G164" s="49">
        <f>VLOOKUP($A164,'Data Vlaue (Cr)'!$C:$FB,43)</f>
        <v>60</v>
      </c>
      <c r="H164" s="49">
        <f>VLOOKUP($A164,'Data Vlaue (Cr)'!$C:$FB,44)</f>
        <v>188</v>
      </c>
      <c r="I164" s="49">
        <f>VLOOKUP($A164,'Data Vlaue (Cr)'!$C:$FB,46)*100</f>
        <v>-67.900000000000006</v>
      </c>
      <c r="J164" s="51">
        <f>VLOOKUP($A164,'Data Vlaue (Cr)'!$C:$FB,59)</f>
        <v>86</v>
      </c>
      <c r="K164" s="51">
        <f>VLOOKUP($A164,'Data Vlaue (Cr)'!$C:$FB,60)</f>
        <v>290</v>
      </c>
      <c r="L164" s="51">
        <f>VLOOKUP($A164,'Data Vlaue (Cr)'!$C:$FB,62)*100</f>
        <v>-70.399999999999991</v>
      </c>
      <c r="M164" s="51">
        <f>VLOOKUP($A164,'Data Vlaue (Cr)'!$C:$FB,63)</f>
        <v>41</v>
      </c>
      <c r="N164" s="51">
        <f>VLOOKUP($A164,'Data Vlaue (Cr)'!$C:$FB,64)</f>
        <v>109</v>
      </c>
      <c r="O164" s="51">
        <f>VLOOKUP($A164,'Data Vlaue (Cr)'!$C:$FB,66)*100</f>
        <v>-62.470000000000006</v>
      </c>
    </row>
    <row r="165" spans="1:15" x14ac:dyDescent="0.25">
      <c r="A165" s="101" t="str">
        <f>'Data Vlaue (Cr)'!C160</f>
        <v>PIIND</v>
      </c>
      <c r="B165" s="50">
        <f>VLOOKUP($A165,'Data Vlaue (Cr)'!$C:$FB,8)</f>
        <v>3219.1</v>
      </c>
      <c r="C165" s="50">
        <f>VLOOKUP($A165,'Data Vlaue (Cr)'!$C:$FB,11)*100</f>
        <v>-0.59</v>
      </c>
      <c r="D165" s="50">
        <f>VLOOKUP($A165,'Data Vlaue (Cr)'!$C:$FB,143)</f>
        <v>176.94</v>
      </c>
      <c r="E165" s="50">
        <f>VLOOKUP($A165,'Data Vlaue (Cr)'!$C:$FB,144)</f>
        <v>217.04</v>
      </c>
      <c r="F165" s="50">
        <f>VLOOKUP($A165,'Data Vlaue (Cr)'!$C:$FB,146)*100</f>
        <v>-18.48</v>
      </c>
      <c r="G165" s="49">
        <f>VLOOKUP($A165,'Data Vlaue (Cr)'!$C:$FB,43)</f>
        <v>69</v>
      </c>
      <c r="H165" s="49">
        <f>VLOOKUP($A165,'Data Vlaue (Cr)'!$C:$FB,44)</f>
        <v>89</v>
      </c>
      <c r="I165" s="49">
        <f>VLOOKUP($A165,'Data Vlaue (Cr)'!$C:$FB,46)*100</f>
        <v>-22.189999999999998</v>
      </c>
      <c r="J165" s="51">
        <f>VLOOKUP($A165,'Data Vlaue (Cr)'!$C:$FB,59)</f>
        <v>73</v>
      </c>
      <c r="K165" s="51">
        <f>VLOOKUP($A165,'Data Vlaue (Cr)'!$C:$FB,60)</f>
        <v>86</v>
      </c>
      <c r="L165" s="51">
        <f>VLOOKUP($A165,'Data Vlaue (Cr)'!$C:$FB,62)*100</f>
        <v>-15.03</v>
      </c>
      <c r="M165" s="51">
        <f>VLOOKUP($A165,'Data Vlaue (Cr)'!$C:$FB,63)</f>
        <v>32</v>
      </c>
      <c r="N165" s="51">
        <f>VLOOKUP($A165,'Data Vlaue (Cr)'!$C:$FB,64)</f>
        <v>39</v>
      </c>
      <c r="O165" s="51">
        <f>VLOOKUP($A165,'Data Vlaue (Cr)'!$C:$FB,66)*100</f>
        <v>-16.079999999999998</v>
      </c>
    </row>
    <row r="166" spans="1:15" x14ac:dyDescent="0.25">
      <c r="A166" s="101" t="str">
        <f>'Data Vlaue (Cr)'!C161</f>
        <v>PNB</v>
      </c>
      <c r="B166" s="50">
        <f>VLOOKUP($A166,'Data Vlaue (Cr)'!$C:$FB,8)</f>
        <v>123.94</v>
      </c>
      <c r="C166" s="50">
        <f>VLOOKUP($A166,'Data Vlaue (Cr)'!$C:$FB,11)*100</f>
        <v>0.28999999999999998</v>
      </c>
      <c r="D166" s="50">
        <f>VLOOKUP($A166,'Data Vlaue (Cr)'!$C:$FB,143)</f>
        <v>1285.27</v>
      </c>
      <c r="E166" s="50">
        <f>VLOOKUP($A166,'Data Vlaue (Cr)'!$C:$FB,144)</f>
        <v>3142.27</v>
      </c>
      <c r="F166" s="50">
        <f>VLOOKUP($A166,'Data Vlaue (Cr)'!$C:$FB,146)*100</f>
        <v>-59.099999999999994</v>
      </c>
      <c r="G166" s="49">
        <f>VLOOKUP($A166,'Data Vlaue (Cr)'!$C:$FB,43)</f>
        <v>385</v>
      </c>
      <c r="H166" s="49">
        <f>VLOOKUP($A166,'Data Vlaue (Cr)'!$C:$FB,44)</f>
        <v>731</v>
      </c>
      <c r="I166" s="49">
        <f>VLOOKUP($A166,'Data Vlaue (Cr)'!$C:$FB,46)*100</f>
        <v>-47.3</v>
      </c>
      <c r="J166" s="51">
        <f>VLOOKUP($A166,'Data Vlaue (Cr)'!$C:$FB,59)</f>
        <v>505</v>
      </c>
      <c r="K166" s="51">
        <f>VLOOKUP($A166,'Data Vlaue (Cr)'!$C:$FB,60)</f>
        <v>1332</v>
      </c>
      <c r="L166" s="51">
        <f>VLOOKUP($A166,'Data Vlaue (Cr)'!$C:$FB,62)*100</f>
        <v>-62.06</v>
      </c>
      <c r="M166" s="51">
        <f>VLOOKUP($A166,'Data Vlaue (Cr)'!$C:$FB,63)</f>
        <v>379</v>
      </c>
      <c r="N166" s="51">
        <f>VLOOKUP($A166,'Data Vlaue (Cr)'!$C:$FB,64)</f>
        <v>1051</v>
      </c>
      <c r="O166" s="51">
        <f>VLOOKUP($A166,'Data Vlaue (Cr)'!$C:$FB,66)*100</f>
        <v>-63.92</v>
      </c>
    </row>
    <row r="167" spans="1:15" x14ac:dyDescent="0.25">
      <c r="A167" s="101" t="str">
        <f>'Data Vlaue (Cr)'!C162</f>
        <v>PNBHOUSING</v>
      </c>
      <c r="B167" s="50">
        <f>VLOOKUP($A167,'Data Vlaue (Cr)'!$C:$FB,8)</f>
        <v>986.6</v>
      </c>
      <c r="C167" s="50">
        <f>VLOOKUP($A167,'Data Vlaue (Cr)'!$C:$FB,11)*100</f>
        <v>3.6900000000000004</v>
      </c>
      <c r="D167" s="50">
        <f>VLOOKUP($A167,'Data Vlaue (Cr)'!$C:$FB,143)</f>
        <v>2311.81</v>
      </c>
      <c r="E167" s="50">
        <f>VLOOKUP($A167,'Data Vlaue (Cr)'!$C:$FB,144)</f>
        <v>352.3</v>
      </c>
      <c r="F167" s="50">
        <f>VLOOKUP($A167,'Data Vlaue (Cr)'!$C:$FB,146)*100</f>
        <v>556.20000000000005</v>
      </c>
      <c r="G167" s="49">
        <f>VLOOKUP($A167,'Data Vlaue (Cr)'!$C:$FB,43)</f>
        <v>445</v>
      </c>
      <c r="H167" s="49">
        <f>VLOOKUP($A167,'Data Vlaue (Cr)'!$C:$FB,44)</f>
        <v>140</v>
      </c>
      <c r="I167" s="49">
        <f>VLOOKUP($A167,'Data Vlaue (Cr)'!$C:$FB,46)*100</f>
        <v>218.27</v>
      </c>
      <c r="J167" s="51">
        <f>VLOOKUP($A167,'Data Vlaue (Cr)'!$C:$FB,59)</f>
        <v>1455</v>
      </c>
      <c r="K167" s="51">
        <f>VLOOKUP($A167,'Data Vlaue (Cr)'!$C:$FB,60)</f>
        <v>158</v>
      </c>
      <c r="L167" s="51">
        <f>VLOOKUP($A167,'Data Vlaue (Cr)'!$C:$FB,62)*100</f>
        <v>818.93999999999994</v>
      </c>
      <c r="M167" s="51">
        <f>VLOOKUP($A167,'Data Vlaue (Cr)'!$C:$FB,63)</f>
        <v>364</v>
      </c>
      <c r="N167" s="51">
        <f>VLOOKUP($A167,'Data Vlaue (Cr)'!$C:$FB,64)</f>
        <v>61</v>
      </c>
      <c r="O167" s="51">
        <f>VLOOKUP($A167,'Data Vlaue (Cr)'!$C:$FB,66)*100</f>
        <v>494.43</v>
      </c>
    </row>
    <row r="168" spans="1:15" x14ac:dyDescent="0.25">
      <c r="A168" s="101" t="str">
        <f>'Data Vlaue (Cr)'!C163</f>
        <v>POLICYBZR</v>
      </c>
      <c r="B168" s="50">
        <f>VLOOKUP($A168,'Data Vlaue (Cr)'!$C:$FB,8)</f>
        <v>1805.8</v>
      </c>
      <c r="C168" s="50">
        <f>VLOOKUP($A168,'Data Vlaue (Cr)'!$C:$FB,11)*100</f>
        <v>-1.08</v>
      </c>
      <c r="D168" s="50">
        <f>VLOOKUP($A168,'Data Vlaue (Cr)'!$C:$FB,143)</f>
        <v>1131.3599999999999</v>
      </c>
      <c r="E168" s="50">
        <f>VLOOKUP($A168,'Data Vlaue (Cr)'!$C:$FB,144)</f>
        <v>1207.58</v>
      </c>
      <c r="F168" s="50">
        <f>VLOOKUP($A168,'Data Vlaue (Cr)'!$C:$FB,146)*100</f>
        <v>-6.3100000000000005</v>
      </c>
      <c r="G168" s="49">
        <f>VLOOKUP($A168,'Data Vlaue (Cr)'!$C:$FB,43)</f>
        <v>250</v>
      </c>
      <c r="H168" s="49">
        <f>VLOOKUP($A168,'Data Vlaue (Cr)'!$C:$FB,44)</f>
        <v>270</v>
      </c>
      <c r="I168" s="49">
        <f>VLOOKUP($A168,'Data Vlaue (Cr)'!$C:$FB,46)*100</f>
        <v>-7.3599999999999994</v>
      </c>
      <c r="J168" s="51">
        <f>VLOOKUP($A168,'Data Vlaue (Cr)'!$C:$FB,59)</f>
        <v>400</v>
      </c>
      <c r="K168" s="51">
        <f>VLOOKUP($A168,'Data Vlaue (Cr)'!$C:$FB,60)</f>
        <v>431</v>
      </c>
      <c r="L168" s="51">
        <f>VLOOKUP($A168,'Data Vlaue (Cr)'!$C:$FB,62)*100</f>
        <v>-7.1099999999999994</v>
      </c>
      <c r="M168" s="51">
        <f>VLOOKUP($A168,'Data Vlaue (Cr)'!$C:$FB,63)</f>
        <v>456</v>
      </c>
      <c r="N168" s="51">
        <f>VLOOKUP($A168,'Data Vlaue (Cr)'!$C:$FB,64)</f>
        <v>472</v>
      </c>
      <c r="O168" s="51">
        <f>VLOOKUP($A168,'Data Vlaue (Cr)'!$C:$FB,66)*100</f>
        <v>-3.36</v>
      </c>
    </row>
    <row r="169" spans="1:15" x14ac:dyDescent="0.25">
      <c r="A169" s="101" t="str">
        <f>'Data Vlaue (Cr)'!C164</f>
        <v>POLYCAB</v>
      </c>
      <c r="B169" s="50">
        <f>VLOOKUP($A169,'Data Vlaue (Cr)'!$C:$FB,8)</f>
        <v>7673</v>
      </c>
      <c r="C169" s="50">
        <f>VLOOKUP($A169,'Data Vlaue (Cr)'!$C:$FB,11)*100</f>
        <v>0.71000000000000008</v>
      </c>
      <c r="D169" s="50">
        <f>VLOOKUP($A169,'Data Vlaue (Cr)'!$C:$FB,143)</f>
        <v>1418.42</v>
      </c>
      <c r="E169" s="50">
        <f>VLOOKUP($A169,'Data Vlaue (Cr)'!$C:$FB,144)</f>
        <v>1366.3</v>
      </c>
      <c r="F169" s="50">
        <f>VLOOKUP($A169,'Data Vlaue (Cr)'!$C:$FB,146)*100</f>
        <v>3.81</v>
      </c>
      <c r="G169" s="49">
        <f>VLOOKUP($A169,'Data Vlaue (Cr)'!$C:$FB,43)</f>
        <v>216</v>
      </c>
      <c r="H169" s="49">
        <f>VLOOKUP($A169,'Data Vlaue (Cr)'!$C:$FB,44)</f>
        <v>265</v>
      </c>
      <c r="I169" s="49">
        <f>VLOOKUP($A169,'Data Vlaue (Cr)'!$C:$FB,46)*100</f>
        <v>-18.66</v>
      </c>
      <c r="J169" s="51">
        <f>VLOOKUP($A169,'Data Vlaue (Cr)'!$C:$FB,59)</f>
        <v>783</v>
      </c>
      <c r="K169" s="51">
        <f>VLOOKUP($A169,'Data Vlaue (Cr)'!$C:$FB,60)</f>
        <v>706</v>
      </c>
      <c r="L169" s="51">
        <f>VLOOKUP($A169,'Data Vlaue (Cr)'!$C:$FB,62)*100</f>
        <v>10.93</v>
      </c>
      <c r="M169" s="51">
        <f>VLOOKUP($A169,'Data Vlaue (Cr)'!$C:$FB,63)</f>
        <v>409</v>
      </c>
      <c r="N169" s="51">
        <f>VLOOKUP($A169,'Data Vlaue (Cr)'!$C:$FB,64)</f>
        <v>387</v>
      </c>
      <c r="O169" s="51">
        <f>VLOOKUP($A169,'Data Vlaue (Cr)'!$C:$FB,66)*100</f>
        <v>5.79</v>
      </c>
    </row>
    <row r="170" spans="1:15" x14ac:dyDescent="0.25">
      <c r="A170" s="101" t="str">
        <f>'Data Vlaue (Cr)'!C165</f>
        <v>POWERGRID</v>
      </c>
      <c r="B170" s="50">
        <f>VLOOKUP($A170,'Data Vlaue (Cr)'!$C:$FB,8)</f>
        <v>266.8</v>
      </c>
      <c r="C170" s="50">
        <f>VLOOKUP($A170,'Data Vlaue (Cr)'!$C:$FB,11)*100</f>
        <v>0.83</v>
      </c>
      <c r="D170" s="50">
        <f>VLOOKUP($A170,'Data Vlaue (Cr)'!$C:$FB,143)</f>
        <v>782.91</v>
      </c>
      <c r="E170" s="50">
        <f>VLOOKUP($A170,'Data Vlaue (Cr)'!$C:$FB,144)</f>
        <v>963.95</v>
      </c>
      <c r="F170" s="50">
        <f>VLOOKUP($A170,'Data Vlaue (Cr)'!$C:$FB,146)*100</f>
        <v>-18.78</v>
      </c>
      <c r="G170" s="49">
        <f>VLOOKUP($A170,'Data Vlaue (Cr)'!$C:$FB,43)</f>
        <v>144</v>
      </c>
      <c r="H170" s="49">
        <f>VLOOKUP($A170,'Data Vlaue (Cr)'!$C:$FB,44)</f>
        <v>216</v>
      </c>
      <c r="I170" s="49">
        <f>VLOOKUP($A170,'Data Vlaue (Cr)'!$C:$FB,46)*100</f>
        <v>-33.629999999999995</v>
      </c>
      <c r="J170" s="51">
        <f>VLOOKUP($A170,'Data Vlaue (Cr)'!$C:$FB,59)</f>
        <v>461</v>
      </c>
      <c r="K170" s="51">
        <f>VLOOKUP($A170,'Data Vlaue (Cr)'!$C:$FB,60)</f>
        <v>515</v>
      </c>
      <c r="L170" s="51">
        <f>VLOOKUP($A170,'Data Vlaue (Cr)'!$C:$FB,62)*100</f>
        <v>-10.52</v>
      </c>
      <c r="M170" s="51">
        <f>VLOOKUP($A170,'Data Vlaue (Cr)'!$C:$FB,63)</f>
        <v>167</v>
      </c>
      <c r="N170" s="51">
        <f>VLOOKUP($A170,'Data Vlaue (Cr)'!$C:$FB,64)</f>
        <v>233</v>
      </c>
      <c r="O170" s="51">
        <f>VLOOKUP($A170,'Data Vlaue (Cr)'!$C:$FB,66)*100</f>
        <v>-28.360000000000003</v>
      </c>
    </row>
    <row r="171" spans="1:15" x14ac:dyDescent="0.25">
      <c r="A171" s="101" t="str">
        <f>'Data Vlaue (Cr)'!C166</f>
        <v>POWERINDIA</v>
      </c>
      <c r="B171" s="50">
        <f>VLOOKUP($A171,'Data Vlaue (Cr)'!$C:$FB,8)</f>
        <v>18482</v>
      </c>
      <c r="C171" s="50">
        <f>VLOOKUP($A171,'Data Vlaue (Cr)'!$C:$FB,11)*100</f>
        <v>0.94000000000000006</v>
      </c>
      <c r="D171" s="50">
        <f>VLOOKUP($A171,'Data Vlaue (Cr)'!$C:$FB,143)</f>
        <v>146.78</v>
      </c>
      <c r="E171" s="50">
        <f>VLOOKUP($A171,'Data Vlaue (Cr)'!$C:$FB,144)</f>
        <v>262.7</v>
      </c>
      <c r="F171" s="50">
        <f>VLOOKUP($A171,'Data Vlaue (Cr)'!$C:$FB,146)*100</f>
        <v>-44.13</v>
      </c>
      <c r="G171" s="49">
        <f>VLOOKUP($A171,'Data Vlaue (Cr)'!$C:$FB,43)</f>
        <v>44</v>
      </c>
      <c r="H171" s="49">
        <f>VLOOKUP($A171,'Data Vlaue (Cr)'!$C:$FB,44)</f>
        <v>88</v>
      </c>
      <c r="I171" s="49">
        <f>VLOOKUP($A171,'Data Vlaue (Cr)'!$C:$FB,46)*100</f>
        <v>-50.42</v>
      </c>
      <c r="J171" s="51">
        <f>VLOOKUP($A171,'Data Vlaue (Cr)'!$C:$FB,59)</f>
        <v>74</v>
      </c>
      <c r="K171" s="51">
        <f>VLOOKUP($A171,'Data Vlaue (Cr)'!$C:$FB,60)</f>
        <v>136</v>
      </c>
      <c r="L171" s="51">
        <f>VLOOKUP($A171,'Data Vlaue (Cr)'!$C:$FB,62)*100</f>
        <v>-45.129999999999995</v>
      </c>
      <c r="M171" s="51">
        <f>VLOOKUP($A171,'Data Vlaue (Cr)'!$C:$FB,63)</f>
        <v>24</v>
      </c>
      <c r="N171" s="51">
        <f>VLOOKUP($A171,'Data Vlaue (Cr)'!$C:$FB,64)</f>
        <v>32</v>
      </c>
      <c r="O171" s="51">
        <f>VLOOKUP($A171,'Data Vlaue (Cr)'!$C:$FB,66)*100</f>
        <v>-24.93</v>
      </c>
    </row>
    <row r="172" spans="1:15" x14ac:dyDescent="0.25">
      <c r="A172" s="101" t="str">
        <f>'Data Vlaue (Cr)'!C167</f>
        <v>PPLPHARMA</v>
      </c>
      <c r="B172" s="50">
        <f>VLOOKUP($A172,'Data Vlaue (Cr)'!$C:$FB,8)</f>
        <v>169.88</v>
      </c>
      <c r="C172" s="50">
        <f>VLOOKUP($A172,'Data Vlaue (Cr)'!$C:$FB,11)*100</f>
        <v>-1.35</v>
      </c>
      <c r="D172" s="50">
        <f>VLOOKUP($A172,'Data Vlaue (Cr)'!$C:$FB,143)</f>
        <v>96.21</v>
      </c>
      <c r="E172" s="50">
        <f>VLOOKUP($A172,'Data Vlaue (Cr)'!$C:$FB,144)</f>
        <v>102.71</v>
      </c>
      <c r="F172" s="50">
        <f>VLOOKUP($A172,'Data Vlaue (Cr)'!$C:$FB,146)*100</f>
        <v>-6.3299999999999992</v>
      </c>
      <c r="G172" s="49">
        <f>VLOOKUP($A172,'Data Vlaue (Cr)'!$C:$FB,43)</f>
        <v>33</v>
      </c>
      <c r="H172" s="49">
        <f>VLOOKUP($A172,'Data Vlaue (Cr)'!$C:$FB,44)</f>
        <v>41</v>
      </c>
      <c r="I172" s="49">
        <f>VLOOKUP($A172,'Data Vlaue (Cr)'!$C:$FB,46)*100</f>
        <v>-17.829999999999998</v>
      </c>
      <c r="J172" s="51">
        <f>VLOOKUP($A172,'Data Vlaue (Cr)'!$C:$FB,59)</f>
        <v>40</v>
      </c>
      <c r="K172" s="51">
        <f>VLOOKUP($A172,'Data Vlaue (Cr)'!$C:$FB,60)</f>
        <v>50</v>
      </c>
      <c r="L172" s="51">
        <f>VLOOKUP($A172,'Data Vlaue (Cr)'!$C:$FB,62)*100</f>
        <v>-18.5</v>
      </c>
      <c r="M172" s="51">
        <f>VLOOKUP($A172,'Data Vlaue (Cr)'!$C:$FB,63)</f>
        <v>19</v>
      </c>
      <c r="N172" s="51">
        <f>VLOOKUP($A172,'Data Vlaue (Cr)'!$C:$FB,64)</f>
        <v>7</v>
      </c>
      <c r="O172" s="51">
        <f>VLOOKUP($A172,'Data Vlaue (Cr)'!$C:$FB,66)*100</f>
        <v>174.67999999999998</v>
      </c>
    </row>
    <row r="173" spans="1:15" x14ac:dyDescent="0.25">
      <c r="A173" s="101" t="str">
        <f>'Data Vlaue (Cr)'!C168</f>
        <v>PREMIERENE</v>
      </c>
      <c r="B173" s="50">
        <f>VLOOKUP($A173,'Data Vlaue (Cr)'!$C:$FB,8)</f>
        <v>847.2</v>
      </c>
      <c r="C173" s="50">
        <f>VLOOKUP($A173,'Data Vlaue (Cr)'!$C:$FB,11)*100</f>
        <v>0.6</v>
      </c>
      <c r="D173" s="50">
        <f>VLOOKUP($A173,'Data Vlaue (Cr)'!$C:$FB,143)</f>
        <v>101.83</v>
      </c>
      <c r="E173" s="50">
        <f>VLOOKUP($A173,'Data Vlaue (Cr)'!$C:$FB,144)</f>
        <v>303.89999999999998</v>
      </c>
      <c r="F173" s="50">
        <f>VLOOKUP($A173,'Data Vlaue (Cr)'!$C:$FB,146)*100</f>
        <v>-66.490000000000009</v>
      </c>
      <c r="G173" s="49">
        <f>VLOOKUP($A173,'Data Vlaue (Cr)'!$C:$FB,43)</f>
        <v>29</v>
      </c>
      <c r="H173" s="49">
        <f>VLOOKUP($A173,'Data Vlaue (Cr)'!$C:$FB,44)</f>
        <v>110</v>
      </c>
      <c r="I173" s="49">
        <f>VLOOKUP($A173,'Data Vlaue (Cr)'!$C:$FB,46)*100</f>
        <v>-73.400000000000006</v>
      </c>
      <c r="J173" s="51">
        <f>VLOOKUP($A173,'Data Vlaue (Cr)'!$C:$FB,59)</f>
        <v>44</v>
      </c>
      <c r="K173" s="51">
        <f>VLOOKUP($A173,'Data Vlaue (Cr)'!$C:$FB,60)</f>
        <v>109</v>
      </c>
      <c r="L173" s="51">
        <f>VLOOKUP($A173,'Data Vlaue (Cr)'!$C:$FB,62)*100</f>
        <v>-59.68</v>
      </c>
      <c r="M173" s="51">
        <f>VLOOKUP($A173,'Data Vlaue (Cr)'!$C:$FB,63)</f>
        <v>27</v>
      </c>
      <c r="N173" s="51">
        <f>VLOOKUP($A173,'Data Vlaue (Cr)'!$C:$FB,64)</f>
        <v>81</v>
      </c>
      <c r="O173" s="51">
        <f>VLOOKUP($A173,'Data Vlaue (Cr)'!$C:$FB,66)*100</f>
        <v>-66.86999999999999</v>
      </c>
    </row>
    <row r="174" spans="1:15" x14ac:dyDescent="0.25">
      <c r="A174" s="101" t="str">
        <f>'Data Vlaue (Cr)'!C169</f>
        <v>PRESTIGE</v>
      </c>
      <c r="B174" s="50">
        <f>VLOOKUP($A174,'Data Vlaue (Cr)'!$C:$FB,8)</f>
        <v>1604.1</v>
      </c>
      <c r="C174" s="50">
        <f>VLOOKUP($A174,'Data Vlaue (Cr)'!$C:$FB,11)*100</f>
        <v>0.57999999999999996</v>
      </c>
      <c r="D174" s="50">
        <f>VLOOKUP($A174,'Data Vlaue (Cr)'!$C:$FB,143)</f>
        <v>224.7</v>
      </c>
      <c r="E174" s="50">
        <f>VLOOKUP($A174,'Data Vlaue (Cr)'!$C:$FB,144)</f>
        <v>225.55</v>
      </c>
      <c r="F174" s="50">
        <f>VLOOKUP($A174,'Data Vlaue (Cr)'!$C:$FB,146)*100</f>
        <v>-0.38</v>
      </c>
      <c r="G174" s="49">
        <f>VLOOKUP($A174,'Data Vlaue (Cr)'!$C:$FB,43)</f>
        <v>91</v>
      </c>
      <c r="H174" s="49">
        <f>VLOOKUP($A174,'Data Vlaue (Cr)'!$C:$FB,44)</f>
        <v>91</v>
      </c>
      <c r="I174" s="49">
        <f>VLOOKUP($A174,'Data Vlaue (Cr)'!$C:$FB,46)*100</f>
        <v>-0.16</v>
      </c>
      <c r="J174" s="51">
        <f>VLOOKUP($A174,'Data Vlaue (Cr)'!$C:$FB,59)</f>
        <v>97</v>
      </c>
      <c r="K174" s="51">
        <f>VLOOKUP($A174,'Data Vlaue (Cr)'!$C:$FB,60)</f>
        <v>90</v>
      </c>
      <c r="L174" s="51">
        <f>VLOOKUP($A174,'Data Vlaue (Cr)'!$C:$FB,62)*100</f>
        <v>7.9799999999999995</v>
      </c>
      <c r="M174" s="51">
        <f>VLOOKUP($A174,'Data Vlaue (Cr)'!$C:$FB,63)</f>
        <v>34</v>
      </c>
      <c r="N174" s="51">
        <f>VLOOKUP($A174,'Data Vlaue (Cr)'!$C:$FB,64)</f>
        <v>43</v>
      </c>
      <c r="O174" s="51">
        <f>VLOOKUP($A174,'Data Vlaue (Cr)'!$C:$FB,66)*100</f>
        <v>-21.78</v>
      </c>
    </row>
    <row r="175" spans="1:15" x14ac:dyDescent="0.25">
      <c r="A175" s="101" t="str">
        <f>'Data Vlaue (Cr)'!C170</f>
        <v>RBLBANK</v>
      </c>
      <c r="B175" s="50">
        <f>VLOOKUP($A175,'Data Vlaue (Cr)'!$C:$FB,8)</f>
        <v>315.3</v>
      </c>
      <c r="C175" s="50">
        <f>VLOOKUP($A175,'Data Vlaue (Cr)'!$C:$FB,11)*100</f>
        <v>-0.16</v>
      </c>
      <c r="D175" s="50">
        <f>VLOOKUP($A175,'Data Vlaue (Cr)'!$C:$FB,143)</f>
        <v>776.11</v>
      </c>
      <c r="E175" s="50">
        <f>VLOOKUP($A175,'Data Vlaue (Cr)'!$C:$FB,144)</f>
        <v>1655.07</v>
      </c>
      <c r="F175" s="50">
        <f>VLOOKUP($A175,'Data Vlaue (Cr)'!$C:$FB,146)*100</f>
        <v>-53.11</v>
      </c>
      <c r="G175" s="49">
        <f>VLOOKUP($A175,'Data Vlaue (Cr)'!$C:$FB,43)</f>
        <v>193</v>
      </c>
      <c r="H175" s="49">
        <f>VLOOKUP($A175,'Data Vlaue (Cr)'!$C:$FB,44)</f>
        <v>460</v>
      </c>
      <c r="I175" s="49">
        <f>VLOOKUP($A175,'Data Vlaue (Cr)'!$C:$FB,46)*100</f>
        <v>-58.08</v>
      </c>
      <c r="J175" s="51">
        <f>VLOOKUP($A175,'Data Vlaue (Cr)'!$C:$FB,59)</f>
        <v>393</v>
      </c>
      <c r="K175" s="51">
        <f>VLOOKUP($A175,'Data Vlaue (Cr)'!$C:$FB,60)</f>
        <v>776</v>
      </c>
      <c r="L175" s="51">
        <f>VLOOKUP($A175,'Data Vlaue (Cr)'!$C:$FB,62)*100</f>
        <v>-49.44</v>
      </c>
      <c r="M175" s="51">
        <f>VLOOKUP($A175,'Data Vlaue (Cr)'!$C:$FB,63)</f>
        <v>183</v>
      </c>
      <c r="N175" s="51">
        <f>VLOOKUP($A175,'Data Vlaue (Cr)'!$C:$FB,64)</f>
        <v>415</v>
      </c>
      <c r="O175" s="51">
        <f>VLOOKUP($A175,'Data Vlaue (Cr)'!$C:$FB,66)*100</f>
        <v>-55.900000000000006</v>
      </c>
    </row>
    <row r="176" spans="1:15" x14ac:dyDescent="0.25">
      <c r="A176" s="101" t="str">
        <f>'Data Vlaue (Cr)'!C171</f>
        <v>RECLTD</v>
      </c>
      <c r="B176" s="50">
        <f>VLOOKUP($A176,'Data Vlaue (Cr)'!$C:$FB,8)</f>
        <v>367.7</v>
      </c>
      <c r="C176" s="50">
        <f>VLOOKUP($A176,'Data Vlaue (Cr)'!$C:$FB,11)*100</f>
        <v>3.05</v>
      </c>
      <c r="D176" s="50">
        <f>VLOOKUP($A176,'Data Vlaue (Cr)'!$C:$FB,143)</f>
        <v>5110.55</v>
      </c>
      <c r="E176" s="50">
        <f>VLOOKUP($A176,'Data Vlaue (Cr)'!$C:$FB,144)</f>
        <v>2785.22</v>
      </c>
      <c r="F176" s="50">
        <f>VLOOKUP($A176,'Data Vlaue (Cr)'!$C:$FB,146)*100</f>
        <v>83.49</v>
      </c>
      <c r="G176" s="49">
        <f>VLOOKUP($A176,'Data Vlaue (Cr)'!$C:$FB,43)</f>
        <v>762</v>
      </c>
      <c r="H176" s="49">
        <f>VLOOKUP($A176,'Data Vlaue (Cr)'!$C:$FB,44)</f>
        <v>498</v>
      </c>
      <c r="I176" s="49">
        <f>VLOOKUP($A176,'Data Vlaue (Cr)'!$C:$FB,46)*100</f>
        <v>53.1</v>
      </c>
      <c r="J176" s="51">
        <f>VLOOKUP($A176,'Data Vlaue (Cr)'!$C:$FB,59)</f>
        <v>3384</v>
      </c>
      <c r="K176" s="51">
        <f>VLOOKUP($A176,'Data Vlaue (Cr)'!$C:$FB,60)</f>
        <v>1639</v>
      </c>
      <c r="L176" s="51">
        <f>VLOOKUP($A176,'Data Vlaue (Cr)'!$C:$FB,62)*100</f>
        <v>106.39</v>
      </c>
      <c r="M176" s="51">
        <f>VLOOKUP($A176,'Data Vlaue (Cr)'!$C:$FB,63)</f>
        <v>864</v>
      </c>
      <c r="N176" s="51">
        <f>VLOOKUP($A176,'Data Vlaue (Cr)'!$C:$FB,64)</f>
        <v>641</v>
      </c>
      <c r="O176" s="51">
        <f>VLOOKUP($A176,'Data Vlaue (Cr)'!$C:$FB,66)*100</f>
        <v>34.79</v>
      </c>
    </row>
    <row r="177" spans="1:15" x14ac:dyDescent="0.25">
      <c r="A177" s="101" t="str">
        <f>'Data Vlaue (Cr)'!C172</f>
        <v>RELIANCE</v>
      </c>
      <c r="B177" s="50">
        <f>VLOOKUP($A177,'Data Vlaue (Cr)'!$C:$FB,8)</f>
        <v>1575.6</v>
      </c>
      <c r="C177" s="50">
        <f>VLOOKUP($A177,'Data Vlaue (Cr)'!$C:$FB,11)*100</f>
        <v>0.33</v>
      </c>
      <c r="D177" s="50">
        <f>VLOOKUP($A177,'Data Vlaue (Cr)'!$C:$FB,143)</f>
        <v>14292.53</v>
      </c>
      <c r="E177" s="50">
        <f>VLOOKUP($A177,'Data Vlaue (Cr)'!$C:$FB,144)</f>
        <v>15132.19</v>
      </c>
      <c r="F177" s="50">
        <f>VLOOKUP($A177,'Data Vlaue (Cr)'!$C:$FB,146)*100</f>
        <v>-5.55</v>
      </c>
      <c r="G177" s="49">
        <f>VLOOKUP($A177,'Data Vlaue (Cr)'!$C:$FB,43)</f>
        <v>1275</v>
      </c>
      <c r="H177" s="49">
        <f>VLOOKUP($A177,'Data Vlaue (Cr)'!$C:$FB,44)</f>
        <v>1801</v>
      </c>
      <c r="I177" s="49">
        <f>VLOOKUP($A177,'Data Vlaue (Cr)'!$C:$FB,46)*100</f>
        <v>-29.2</v>
      </c>
      <c r="J177" s="51">
        <f>VLOOKUP($A177,'Data Vlaue (Cr)'!$C:$FB,59)</f>
        <v>8703</v>
      </c>
      <c r="K177" s="51">
        <f>VLOOKUP($A177,'Data Vlaue (Cr)'!$C:$FB,60)</f>
        <v>8596</v>
      </c>
      <c r="L177" s="51">
        <f>VLOOKUP($A177,'Data Vlaue (Cr)'!$C:$FB,62)*100</f>
        <v>1.25</v>
      </c>
      <c r="M177" s="51">
        <f>VLOOKUP($A177,'Data Vlaue (Cr)'!$C:$FB,63)</f>
        <v>4071</v>
      </c>
      <c r="N177" s="51">
        <f>VLOOKUP($A177,'Data Vlaue (Cr)'!$C:$FB,64)</f>
        <v>4652</v>
      </c>
      <c r="O177" s="51">
        <f>VLOOKUP($A177,'Data Vlaue (Cr)'!$C:$FB,66)*100</f>
        <v>-12.5</v>
      </c>
    </row>
    <row r="178" spans="1:15" x14ac:dyDescent="0.25">
      <c r="A178" s="101" t="str">
        <f>'Data Vlaue (Cr)'!C173</f>
        <v>RVNL</v>
      </c>
      <c r="B178" s="50">
        <f>VLOOKUP($A178,'Data Vlaue (Cr)'!$C:$FB,8)</f>
        <v>361.5</v>
      </c>
      <c r="C178" s="50">
        <f>VLOOKUP($A178,'Data Vlaue (Cr)'!$C:$FB,11)*100</f>
        <v>1.1900000000000002</v>
      </c>
      <c r="D178" s="50">
        <f>VLOOKUP($A178,'Data Vlaue (Cr)'!$C:$FB,143)</f>
        <v>1676.07</v>
      </c>
      <c r="E178" s="50">
        <f>VLOOKUP($A178,'Data Vlaue (Cr)'!$C:$FB,144)</f>
        <v>2756.17</v>
      </c>
      <c r="F178" s="50">
        <f>VLOOKUP($A178,'Data Vlaue (Cr)'!$C:$FB,146)*100</f>
        <v>-39.190000000000005</v>
      </c>
      <c r="G178" s="49">
        <f>VLOOKUP($A178,'Data Vlaue (Cr)'!$C:$FB,43)</f>
        <v>203</v>
      </c>
      <c r="H178" s="49">
        <f>VLOOKUP($A178,'Data Vlaue (Cr)'!$C:$FB,44)</f>
        <v>338</v>
      </c>
      <c r="I178" s="49">
        <f>VLOOKUP($A178,'Data Vlaue (Cr)'!$C:$FB,46)*100</f>
        <v>-39.82</v>
      </c>
      <c r="J178" s="51">
        <f>VLOOKUP($A178,'Data Vlaue (Cr)'!$C:$FB,59)</f>
        <v>1095</v>
      </c>
      <c r="K178" s="51">
        <f>VLOOKUP($A178,'Data Vlaue (Cr)'!$C:$FB,60)</f>
        <v>1747</v>
      </c>
      <c r="L178" s="51">
        <f>VLOOKUP($A178,'Data Vlaue (Cr)'!$C:$FB,62)*100</f>
        <v>-37.35</v>
      </c>
      <c r="M178" s="51">
        <f>VLOOKUP($A178,'Data Vlaue (Cr)'!$C:$FB,63)</f>
        <v>286</v>
      </c>
      <c r="N178" s="51">
        <f>VLOOKUP($A178,'Data Vlaue (Cr)'!$C:$FB,64)</f>
        <v>513</v>
      </c>
      <c r="O178" s="51">
        <f>VLOOKUP($A178,'Data Vlaue (Cr)'!$C:$FB,66)*100</f>
        <v>-44.14</v>
      </c>
    </row>
    <row r="179" spans="1:15" x14ac:dyDescent="0.25">
      <c r="A179" s="101" t="str">
        <f>'Data Vlaue (Cr)'!C174</f>
        <v>SAIL</v>
      </c>
      <c r="B179" s="50">
        <f>VLOOKUP($A179,'Data Vlaue (Cr)'!$C:$FB,8)</f>
        <v>148.44999999999999</v>
      </c>
      <c r="C179" s="50">
        <f>VLOOKUP($A179,'Data Vlaue (Cr)'!$C:$FB,11)*100</f>
        <v>0.9900000000000001</v>
      </c>
      <c r="D179" s="50">
        <f>VLOOKUP($A179,'Data Vlaue (Cr)'!$C:$FB,143)</f>
        <v>2143.58</v>
      </c>
      <c r="E179" s="50">
        <f>VLOOKUP($A179,'Data Vlaue (Cr)'!$C:$FB,144)</f>
        <v>7552.32</v>
      </c>
      <c r="F179" s="50">
        <f>VLOOKUP($A179,'Data Vlaue (Cr)'!$C:$FB,146)*100</f>
        <v>-71.61999999999999</v>
      </c>
      <c r="G179" s="49">
        <f>VLOOKUP($A179,'Data Vlaue (Cr)'!$C:$FB,43)</f>
        <v>484</v>
      </c>
      <c r="H179" s="49">
        <f>VLOOKUP($A179,'Data Vlaue (Cr)'!$C:$FB,44)</f>
        <v>1639</v>
      </c>
      <c r="I179" s="49">
        <f>VLOOKUP($A179,'Data Vlaue (Cr)'!$C:$FB,46)*100</f>
        <v>-70.430000000000007</v>
      </c>
      <c r="J179" s="51">
        <f>VLOOKUP($A179,'Data Vlaue (Cr)'!$C:$FB,59)</f>
        <v>1002</v>
      </c>
      <c r="K179" s="51">
        <f>VLOOKUP($A179,'Data Vlaue (Cr)'!$C:$FB,60)</f>
        <v>3755</v>
      </c>
      <c r="L179" s="51">
        <f>VLOOKUP($A179,'Data Vlaue (Cr)'!$C:$FB,62)*100</f>
        <v>-73.319999999999993</v>
      </c>
      <c r="M179" s="51">
        <f>VLOOKUP($A179,'Data Vlaue (Cr)'!$C:$FB,63)</f>
        <v>629</v>
      </c>
      <c r="N179" s="51">
        <f>VLOOKUP($A179,'Data Vlaue (Cr)'!$C:$FB,64)</f>
        <v>2134</v>
      </c>
      <c r="O179" s="51">
        <f>VLOOKUP($A179,'Data Vlaue (Cr)'!$C:$FB,66)*100</f>
        <v>-70.53</v>
      </c>
    </row>
    <row r="180" spans="1:15" x14ac:dyDescent="0.25">
      <c r="A180" s="101" t="str">
        <f>'Data Vlaue (Cr)'!C175</f>
        <v>SAMMAANCAP</v>
      </c>
      <c r="B180" s="50">
        <f>VLOOKUP($A180,'Data Vlaue (Cr)'!$C:$FB,8)</f>
        <v>144.21</v>
      </c>
      <c r="C180" s="50">
        <f>VLOOKUP($A180,'Data Vlaue (Cr)'!$C:$FB,11)*100</f>
        <v>-0.98</v>
      </c>
      <c r="D180" s="50">
        <f>VLOOKUP($A180,'Data Vlaue (Cr)'!$C:$FB,143)</f>
        <v>508.76</v>
      </c>
      <c r="E180" s="50">
        <f>VLOOKUP($A180,'Data Vlaue (Cr)'!$C:$FB,144)</f>
        <v>2555.69</v>
      </c>
      <c r="F180" s="50">
        <f>VLOOKUP($A180,'Data Vlaue (Cr)'!$C:$FB,146)*100</f>
        <v>-80.089999999999989</v>
      </c>
      <c r="G180" s="49">
        <f>VLOOKUP($A180,'Data Vlaue (Cr)'!$C:$FB,43)</f>
        <v>121</v>
      </c>
      <c r="H180" s="49">
        <f>VLOOKUP($A180,'Data Vlaue (Cr)'!$C:$FB,44)</f>
        <v>655</v>
      </c>
      <c r="I180" s="49">
        <f>VLOOKUP($A180,'Data Vlaue (Cr)'!$C:$FB,46)*100</f>
        <v>-81.61</v>
      </c>
      <c r="J180" s="51">
        <f>VLOOKUP($A180,'Data Vlaue (Cr)'!$C:$FB,59)</f>
        <v>203</v>
      </c>
      <c r="K180" s="51">
        <f>VLOOKUP($A180,'Data Vlaue (Cr)'!$C:$FB,60)</f>
        <v>1243</v>
      </c>
      <c r="L180" s="51">
        <f>VLOOKUP($A180,'Data Vlaue (Cr)'!$C:$FB,62)*100</f>
        <v>-83.69</v>
      </c>
      <c r="M180" s="51">
        <f>VLOOKUP($A180,'Data Vlaue (Cr)'!$C:$FB,63)</f>
        <v>175</v>
      </c>
      <c r="N180" s="51">
        <f>VLOOKUP($A180,'Data Vlaue (Cr)'!$C:$FB,64)</f>
        <v>550</v>
      </c>
      <c r="O180" s="51">
        <f>VLOOKUP($A180,'Data Vlaue (Cr)'!$C:$FB,66)*100</f>
        <v>-68.150000000000006</v>
      </c>
    </row>
    <row r="181" spans="1:15" x14ac:dyDescent="0.25">
      <c r="A181" s="101" t="str">
        <f>'Data Vlaue (Cr)'!C176</f>
        <v>SBICARD</v>
      </c>
      <c r="B181" s="50">
        <f>VLOOKUP($A181,'Data Vlaue (Cr)'!$C:$FB,8)</f>
        <v>859.5</v>
      </c>
      <c r="C181" s="50">
        <f>VLOOKUP($A181,'Data Vlaue (Cr)'!$C:$FB,11)*100</f>
        <v>-0.26</v>
      </c>
      <c r="D181" s="50">
        <f>VLOOKUP($A181,'Data Vlaue (Cr)'!$C:$FB,143)</f>
        <v>456.89</v>
      </c>
      <c r="E181" s="50">
        <f>VLOOKUP($A181,'Data Vlaue (Cr)'!$C:$FB,144)</f>
        <v>1257.8699999999999</v>
      </c>
      <c r="F181" s="50">
        <f>VLOOKUP($A181,'Data Vlaue (Cr)'!$C:$FB,146)*100</f>
        <v>-63.680000000000007</v>
      </c>
      <c r="G181" s="49">
        <f>VLOOKUP($A181,'Data Vlaue (Cr)'!$C:$FB,43)</f>
        <v>148</v>
      </c>
      <c r="H181" s="49">
        <f>VLOOKUP($A181,'Data Vlaue (Cr)'!$C:$FB,44)</f>
        <v>343</v>
      </c>
      <c r="I181" s="49">
        <f>VLOOKUP($A181,'Data Vlaue (Cr)'!$C:$FB,46)*100</f>
        <v>-56.96</v>
      </c>
      <c r="J181" s="51">
        <f>VLOOKUP($A181,'Data Vlaue (Cr)'!$C:$FB,59)</f>
        <v>183</v>
      </c>
      <c r="K181" s="51">
        <f>VLOOKUP($A181,'Data Vlaue (Cr)'!$C:$FB,60)</f>
        <v>580</v>
      </c>
      <c r="L181" s="51">
        <f>VLOOKUP($A181,'Data Vlaue (Cr)'!$C:$FB,62)*100</f>
        <v>-68.45</v>
      </c>
      <c r="M181" s="51">
        <f>VLOOKUP($A181,'Data Vlaue (Cr)'!$C:$FB,63)</f>
        <v>118</v>
      </c>
      <c r="N181" s="51">
        <f>VLOOKUP($A181,'Data Vlaue (Cr)'!$C:$FB,64)</f>
        <v>311</v>
      </c>
      <c r="O181" s="51">
        <f>VLOOKUP($A181,'Data Vlaue (Cr)'!$C:$FB,66)*100</f>
        <v>-62.050000000000004</v>
      </c>
    </row>
    <row r="182" spans="1:15" x14ac:dyDescent="0.25">
      <c r="A182" s="101" t="str">
        <f>'Data Vlaue (Cr)'!C177</f>
        <v>SBILIFE</v>
      </c>
      <c r="B182" s="50">
        <f>VLOOKUP($A182,'Data Vlaue (Cr)'!$C:$FB,8)</f>
        <v>2040.4</v>
      </c>
      <c r="C182" s="50">
        <f>VLOOKUP($A182,'Data Vlaue (Cr)'!$C:$FB,11)*100</f>
        <v>0.27</v>
      </c>
      <c r="D182" s="50">
        <f>VLOOKUP($A182,'Data Vlaue (Cr)'!$C:$FB,143)</f>
        <v>487.71</v>
      </c>
      <c r="E182" s="50">
        <f>VLOOKUP($A182,'Data Vlaue (Cr)'!$C:$FB,144)</f>
        <v>1199.6300000000001</v>
      </c>
      <c r="F182" s="50">
        <f>VLOOKUP($A182,'Data Vlaue (Cr)'!$C:$FB,146)*100</f>
        <v>-59.34</v>
      </c>
      <c r="G182" s="49">
        <f>VLOOKUP($A182,'Data Vlaue (Cr)'!$C:$FB,43)</f>
        <v>101</v>
      </c>
      <c r="H182" s="49">
        <f>VLOOKUP($A182,'Data Vlaue (Cr)'!$C:$FB,44)</f>
        <v>209</v>
      </c>
      <c r="I182" s="49">
        <f>VLOOKUP($A182,'Data Vlaue (Cr)'!$C:$FB,46)*100</f>
        <v>-51.859999999999992</v>
      </c>
      <c r="J182" s="51">
        <f>VLOOKUP($A182,'Data Vlaue (Cr)'!$C:$FB,59)</f>
        <v>245</v>
      </c>
      <c r="K182" s="51">
        <f>VLOOKUP($A182,'Data Vlaue (Cr)'!$C:$FB,60)</f>
        <v>744</v>
      </c>
      <c r="L182" s="51">
        <f>VLOOKUP($A182,'Data Vlaue (Cr)'!$C:$FB,62)*100</f>
        <v>-67.11</v>
      </c>
      <c r="M182" s="51">
        <f>VLOOKUP($A182,'Data Vlaue (Cr)'!$C:$FB,63)</f>
        <v>137</v>
      </c>
      <c r="N182" s="51">
        <f>VLOOKUP($A182,'Data Vlaue (Cr)'!$C:$FB,64)</f>
        <v>233</v>
      </c>
      <c r="O182" s="51">
        <f>VLOOKUP($A182,'Data Vlaue (Cr)'!$C:$FB,66)*100</f>
        <v>-40.97</v>
      </c>
    </row>
    <row r="183" spans="1:15" x14ac:dyDescent="0.25">
      <c r="A183" s="101" t="str">
        <f>'Data Vlaue (Cr)'!C178</f>
        <v>SBIN</v>
      </c>
      <c r="B183" s="50">
        <f>VLOOKUP($A183,'Data Vlaue (Cr)'!$C:$FB,8)</f>
        <v>984.75</v>
      </c>
      <c r="C183" s="50">
        <f>VLOOKUP($A183,'Data Vlaue (Cr)'!$C:$FB,11)*100</f>
        <v>0.26</v>
      </c>
      <c r="D183" s="50">
        <f>VLOOKUP($A183,'Data Vlaue (Cr)'!$C:$FB,143)</f>
        <v>5141.07</v>
      </c>
      <c r="E183" s="50">
        <f>VLOOKUP($A183,'Data Vlaue (Cr)'!$C:$FB,144)</f>
        <v>7124.53</v>
      </c>
      <c r="F183" s="50">
        <f>VLOOKUP($A183,'Data Vlaue (Cr)'!$C:$FB,146)*100</f>
        <v>-27.839999999999996</v>
      </c>
      <c r="G183" s="49">
        <f>VLOOKUP($A183,'Data Vlaue (Cr)'!$C:$FB,43)</f>
        <v>569</v>
      </c>
      <c r="H183" s="49">
        <f>VLOOKUP($A183,'Data Vlaue (Cr)'!$C:$FB,44)</f>
        <v>924</v>
      </c>
      <c r="I183" s="49">
        <f>VLOOKUP($A183,'Data Vlaue (Cr)'!$C:$FB,46)*100</f>
        <v>-38.450000000000003</v>
      </c>
      <c r="J183" s="51">
        <f>VLOOKUP($A183,'Data Vlaue (Cr)'!$C:$FB,59)</f>
        <v>2843</v>
      </c>
      <c r="K183" s="51">
        <f>VLOOKUP($A183,'Data Vlaue (Cr)'!$C:$FB,60)</f>
        <v>3687</v>
      </c>
      <c r="L183" s="51">
        <f>VLOOKUP($A183,'Data Vlaue (Cr)'!$C:$FB,62)*100</f>
        <v>-22.88</v>
      </c>
      <c r="M183" s="51">
        <f>VLOOKUP($A183,'Data Vlaue (Cr)'!$C:$FB,63)</f>
        <v>1678</v>
      </c>
      <c r="N183" s="51">
        <f>VLOOKUP($A183,'Data Vlaue (Cr)'!$C:$FB,64)</f>
        <v>2474</v>
      </c>
      <c r="O183" s="51">
        <f>VLOOKUP($A183,'Data Vlaue (Cr)'!$C:$FB,66)*100</f>
        <v>-32.18</v>
      </c>
    </row>
    <row r="184" spans="1:15" x14ac:dyDescent="0.25">
      <c r="A184" s="101" t="str">
        <f>'Data Vlaue (Cr)'!C179</f>
        <v>SHREECEM</v>
      </c>
      <c r="B184" s="50">
        <f>VLOOKUP($A184,'Data Vlaue (Cr)'!$C:$FB,8)</f>
        <v>26835</v>
      </c>
      <c r="C184" s="50">
        <f>VLOOKUP($A184,'Data Vlaue (Cr)'!$C:$FB,11)*100</f>
        <v>0.98</v>
      </c>
      <c r="D184" s="50">
        <f>VLOOKUP($A184,'Data Vlaue (Cr)'!$C:$FB,143)</f>
        <v>275.76</v>
      </c>
      <c r="E184" s="50">
        <f>VLOOKUP($A184,'Data Vlaue (Cr)'!$C:$FB,144)</f>
        <v>200.99</v>
      </c>
      <c r="F184" s="50">
        <f>VLOOKUP($A184,'Data Vlaue (Cr)'!$C:$FB,146)*100</f>
        <v>37.200000000000003</v>
      </c>
      <c r="G184" s="49">
        <f>VLOOKUP($A184,'Data Vlaue (Cr)'!$C:$FB,43)</f>
        <v>76</v>
      </c>
      <c r="H184" s="49">
        <f>VLOOKUP($A184,'Data Vlaue (Cr)'!$C:$FB,44)</f>
        <v>98</v>
      </c>
      <c r="I184" s="49">
        <f>VLOOKUP($A184,'Data Vlaue (Cr)'!$C:$FB,46)*100</f>
        <v>-21.82</v>
      </c>
      <c r="J184" s="51">
        <f>VLOOKUP($A184,'Data Vlaue (Cr)'!$C:$FB,59)</f>
        <v>117</v>
      </c>
      <c r="K184" s="51">
        <f>VLOOKUP($A184,'Data Vlaue (Cr)'!$C:$FB,60)</f>
        <v>72</v>
      </c>
      <c r="L184" s="51">
        <f>VLOOKUP($A184,'Data Vlaue (Cr)'!$C:$FB,62)*100</f>
        <v>63.23</v>
      </c>
      <c r="M184" s="51">
        <f>VLOOKUP($A184,'Data Vlaue (Cr)'!$C:$FB,63)</f>
        <v>86</v>
      </c>
      <c r="N184" s="51">
        <f>VLOOKUP($A184,'Data Vlaue (Cr)'!$C:$FB,64)</f>
        <v>32</v>
      </c>
      <c r="O184" s="51">
        <f>VLOOKUP($A184,'Data Vlaue (Cr)'!$C:$FB,66)*100</f>
        <v>164.51</v>
      </c>
    </row>
    <row r="185" spans="1:15" x14ac:dyDescent="0.25">
      <c r="A185" s="101" t="str">
        <f>'Data Vlaue (Cr)'!C180</f>
        <v>SHRIRAMFIN</v>
      </c>
      <c r="B185" s="50">
        <f>VLOOKUP($A185,'Data Vlaue (Cr)'!$C:$FB,8)</f>
        <v>1019.7</v>
      </c>
      <c r="C185" s="50">
        <f>VLOOKUP($A185,'Data Vlaue (Cr)'!$C:$FB,11)*100</f>
        <v>2.36</v>
      </c>
      <c r="D185" s="50">
        <f>VLOOKUP($A185,'Data Vlaue (Cr)'!$C:$FB,143)</f>
        <v>4730.88</v>
      </c>
      <c r="E185" s="50">
        <f>VLOOKUP($A185,'Data Vlaue (Cr)'!$C:$FB,144)</f>
        <v>5578.98</v>
      </c>
      <c r="F185" s="50">
        <f>VLOOKUP($A185,'Data Vlaue (Cr)'!$C:$FB,146)*100</f>
        <v>-15.2</v>
      </c>
      <c r="G185" s="49">
        <f>VLOOKUP($A185,'Data Vlaue (Cr)'!$C:$FB,43)</f>
        <v>656</v>
      </c>
      <c r="H185" s="49">
        <f>VLOOKUP($A185,'Data Vlaue (Cr)'!$C:$FB,44)</f>
        <v>1105</v>
      </c>
      <c r="I185" s="49">
        <f>VLOOKUP($A185,'Data Vlaue (Cr)'!$C:$FB,46)*100</f>
        <v>-40.57</v>
      </c>
      <c r="J185" s="51">
        <f>VLOOKUP($A185,'Data Vlaue (Cr)'!$C:$FB,59)</f>
        <v>2668</v>
      </c>
      <c r="K185" s="51">
        <f>VLOOKUP($A185,'Data Vlaue (Cr)'!$C:$FB,60)</f>
        <v>3056</v>
      </c>
      <c r="L185" s="51">
        <f>VLOOKUP($A185,'Data Vlaue (Cr)'!$C:$FB,62)*100</f>
        <v>-12.7</v>
      </c>
      <c r="M185" s="51">
        <f>VLOOKUP($A185,'Data Vlaue (Cr)'!$C:$FB,63)</f>
        <v>1374</v>
      </c>
      <c r="N185" s="51">
        <f>VLOOKUP($A185,'Data Vlaue (Cr)'!$C:$FB,64)</f>
        <v>1485</v>
      </c>
      <c r="O185" s="51">
        <f>VLOOKUP($A185,'Data Vlaue (Cr)'!$C:$FB,66)*100</f>
        <v>-7.4499999999999993</v>
      </c>
    </row>
    <row r="186" spans="1:15" x14ac:dyDescent="0.25">
      <c r="A186" s="101" t="str">
        <f>'Data Vlaue (Cr)'!C181</f>
        <v>SIEMENS</v>
      </c>
      <c r="B186" s="50">
        <f>VLOOKUP($A186,'Data Vlaue (Cr)'!$C:$FB,8)</f>
        <v>3091.3</v>
      </c>
      <c r="C186" s="50">
        <f>VLOOKUP($A186,'Data Vlaue (Cr)'!$C:$FB,11)*100</f>
        <v>0.91</v>
      </c>
      <c r="D186" s="50">
        <f>VLOOKUP($A186,'Data Vlaue (Cr)'!$C:$FB,143)</f>
        <v>398.75</v>
      </c>
      <c r="E186" s="50">
        <f>VLOOKUP($A186,'Data Vlaue (Cr)'!$C:$FB,144)</f>
        <v>831.09</v>
      </c>
      <c r="F186" s="50">
        <f>VLOOKUP($A186,'Data Vlaue (Cr)'!$C:$FB,146)*100</f>
        <v>-52.019999999999996</v>
      </c>
      <c r="G186" s="49">
        <f>VLOOKUP($A186,'Data Vlaue (Cr)'!$C:$FB,43)</f>
        <v>67</v>
      </c>
      <c r="H186" s="49">
        <f>VLOOKUP($A186,'Data Vlaue (Cr)'!$C:$FB,44)</f>
        <v>100</v>
      </c>
      <c r="I186" s="49">
        <f>VLOOKUP($A186,'Data Vlaue (Cr)'!$C:$FB,46)*100</f>
        <v>-32.300000000000004</v>
      </c>
      <c r="J186" s="51">
        <f>VLOOKUP($A186,'Data Vlaue (Cr)'!$C:$FB,59)</f>
        <v>235</v>
      </c>
      <c r="K186" s="51">
        <f>VLOOKUP($A186,'Data Vlaue (Cr)'!$C:$FB,60)</f>
        <v>536</v>
      </c>
      <c r="L186" s="51">
        <f>VLOOKUP($A186,'Data Vlaue (Cr)'!$C:$FB,62)*100</f>
        <v>-56.13</v>
      </c>
      <c r="M186" s="51">
        <f>VLOOKUP($A186,'Data Vlaue (Cr)'!$C:$FB,63)</f>
        <v>89</v>
      </c>
      <c r="N186" s="51">
        <f>VLOOKUP($A186,'Data Vlaue (Cr)'!$C:$FB,64)</f>
        <v>186</v>
      </c>
      <c r="O186" s="51">
        <f>VLOOKUP($A186,'Data Vlaue (Cr)'!$C:$FB,66)*100</f>
        <v>-52.019999999999996</v>
      </c>
    </row>
    <row r="187" spans="1:15" x14ac:dyDescent="0.25">
      <c r="A187" s="101" t="str">
        <f>'Data Vlaue (Cr)'!C182</f>
        <v>SOLARINDS</v>
      </c>
      <c r="B187" s="50">
        <f>VLOOKUP($A187,'Data Vlaue (Cr)'!$C:$FB,8)</f>
        <v>12166</v>
      </c>
      <c r="C187" s="50">
        <f>VLOOKUP($A187,'Data Vlaue (Cr)'!$C:$FB,11)*100</f>
        <v>-0.70000000000000007</v>
      </c>
      <c r="D187" s="50">
        <f>VLOOKUP($A187,'Data Vlaue (Cr)'!$C:$FB,143)</f>
        <v>671.7</v>
      </c>
      <c r="E187" s="50">
        <f>VLOOKUP($A187,'Data Vlaue (Cr)'!$C:$FB,144)</f>
        <v>1511.11</v>
      </c>
      <c r="F187" s="50">
        <f>VLOOKUP($A187,'Data Vlaue (Cr)'!$C:$FB,146)*100</f>
        <v>-55.55</v>
      </c>
      <c r="G187" s="49">
        <f>VLOOKUP($A187,'Data Vlaue (Cr)'!$C:$FB,43)</f>
        <v>79</v>
      </c>
      <c r="H187" s="49">
        <f>VLOOKUP($A187,'Data Vlaue (Cr)'!$C:$FB,44)</f>
        <v>210</v>
      </c>
      <c r="I187" s="49">
        <f>VLOOKUP($A187,'Data Vlaue (Cr)'!$C:$FB,46)*100</f>
        <v>-62.41</v>
      </c>
      <c r="J187" s="51">
        <f>VLOOKUP($A187,'Data Vlaue (Cr)'!$C:$FB,59)</f>
        <v>376</v>
      </c>
      <c r="K187" s="51">
        <f>VLOOKUP($A187,'Data Vlaue (Cr)'!$C:$FB,60)</f>
        <v>947</v>
      </c>
      <c r="L187" s="51">
        <f>VLOOKUP($A187,'Data Vlaue (Cr)'!$C:$FB,62)*100</f>
        <v>-60.309999999999995</v>
      </c>
      <c r="M187" s="51">
        <f>VLOOKUP($A187,'Data Vlaue (Cr)'!$C:$FB,63)</f>
        <v>192</v>
      </c>
      <c r="N187" s="51">
        <f>VLOOKUP($A187,'Data Vlaue (Cr)'!$C:$FB,64)</f>
        <v>279</v>
      </c>
      <c r="O187" s="51">
        <f>VLOOKUP($A187,'Data Vlaue (Cr)'!$C:$FB,66)*100</f>
        <v>-31.380000000000003</v>
      </c>
    </row>
    <row r="188" spans="1:15" x14ac:dyDescent="0.25">
      <c r="A188" s="101" t="str">
        <f>'Data Vlaue (Cr)'!C183</f>
        <v>SONACOMS</v>
      </c>
      <c r="B188" s="50">
        <f>VLOOKUP($A188,'Data Vlaue (Cr)'!$C:$FB,8)</f>
        <v>474.3</v>
      </c>
      <c r="C188" s="50">
        <f>VLOOKUP($A188,'Data Vlaue (Cr)'!$C:$FB,11)*100</f>
        <v>-1.06</v>
      </c>
      <c r="D188" s="50">
        <f>VLOOKUP($A188,'Data Vlaue (Cr)'!$C:$FB,143)</f>
        <v>97.77</v>
      </c>
      <c r="E188" s="50">
        <f>VLOOKUP($A188,'Data Vlaue (Cr)'!$C:$FB,144)</f>
        <v>153.38999999999999</v>
      </c>
      <c r="F188" s="50">
        <f>VLOOKUP($A188,'Data Vlaue (Cr)'!$C:$FB,146)*100</f>
        <v>-36.26</v>
      </c>
      <c r="G188" s="49">
        <f>VLOOKUP($A188,'Data Vlaue (Cr)'!$C:$FB,43)</f>
        <v>37</v>
      </c>
      <c r="H188" s="49">
        <f>VLOOKUP($A188,'Data Vlaue (Cr)'!$C:$FB,44)</f>
        <v>62</v>
      </c>
      <c r="I188" s="49">
        <f>VLOOKUP($A188,'Data Vlaue (Cr)'!$C:$FB,46)*100</f>
        <v>-39.410000000000004</v>
      </c>
      <c r="J188" s="51">
        <f>VLOOKUP($A188,'Data Vlaue (Cr)'!$C:$FB,59)</f>
        <v>43</v>
      </c>
      <c r="K188" s="51">
        <f>VLOOKUP($A188,'Data Vlaue (Cr)'!$C:$FB,60)</f>
        <v>59</v>
      </c>
      <c r="L188" s="51">
        <f>VLOOKUP($A188,'Data Vlaue (Cr)'!$C:$FB,62)*100</f>
        <v>-26.939999999999998</v>
      </c>
      <c r="M188" s="51">
        <f>VLOOKUP($A188,'Data Vlaue (Cr)'!$C:$FB,63)</f>
        <v>15</v>
      </c>
      <c r="N188" s="51">
        <f>VLOOKUP($A188,'Data Vlaue (Cr)'!$C:$FB,64)</f>
        <v>28</v>
      </c>
      <c r="O188" s="51">
        <f>VLOOKUP($A188,'Data Vlaue (Cr)'!$C:$FB,66)*100</f>
        <v>-46.300000000000004</v>
      </c>
    </row>
    <row r="189" spans="1:15" x14ac:dyDescent="0.25">
      <c r="A189" s="101" t="str">
        <f>'Data Vlaue (Cr)'!C215</f>
        <v>ZYDUSLIFE</v>
      </c>
      <c r="B189" s="50">
        <f>VLOOKUP($A189,'Data Vlaue (Cr)'!$C:$FB,8)</f>
        <v>915.05</v>
      </c>
      <c r="C189" s="50">
        <f>VLOOKUP($A189,'Data Vlaue (Cr)'!$C:$FB,11)*100</f>
        <v>0.08</v>
      </c>
      <c r="D189" s="50">
        <f>VLOOKUP($A189,'Data Vlaue (Cr)'!$C:$FB,143)</f>
        <v>267.16000000000003</v>
      </c>
      <c r="E189" s="50">
        <f>VLOOKUP($A189,'Data Vlaue (Cr)'!$C:$FB,144)</f>
        <v>389.49</v>
      </c>
      <c r="F189" s="50">
        <f>VLOOKUP($A189,'Data Vlaue (Cr)'!$C:$FB,146)*100</f>
        <v>-31.41</v>
      </c>
      <c r="G189" s="49">
        <f>VLOOKUP($A189,'Data Vlaue (Cr)'!$C:$FB,43)</f>
        <v>61</v>
      </c>
      <c r="H189" s="49">
        <f>VLOOKUP($A189,'Data Vlaue (Cr)'!$C:$FB,44)</f>
        <v>105</v>
      </c>
      <c r="I189" s="49">
        <f>VLOOKUP($A189,'Data Vlaue (Cr)'!$C:$FB,46)*100</f>
        <v>-42.059999999999995</v>
      </c>
      <c r="J189" s="51">
        <f>VLOOKUP($A189,'Data Vlaue (Cr)'!$C:$FB,59)</f>
        <v>130</v>
      </c>
      <c r="K189" s="51">
        <f>VLOOKUP($A189,'Data Vlaue (Cr)'!$C:$FB,60)</f>
        <v>174</v>
      </c>
      <c r="L189" s="51">
        <f>VLOOKUP($A189,'Data Vlaue (Cr)'!$C:$FB,62)*100</f>
        <v>-25.119999999999997</v>
      </c>
      <c r="M189" s="51">
        <f>VLOOKUP($A189,'Data Vlaue (Cr)'!$C:$FB,63)</f>
        <v>74</v>
      </c>
      <c r="N189" s="51">
        <f>VLOOKUP($A189,'Data Vlaue (Cr)'!$C:$FB,64)</f>
        <v>105</v>
      </c>
      <c r="O189" s="51">
        <f>VLOOKUP($A189,'Data Vlaue (Cr)'!$C:$FB,66)*100</f>
        <v>-30.009999999999998</v>
      </c>
    </row>
    <row r="190" spans="1:15" x14ac:dyDescent="0.25">
      <c r="A190" s="101"/>
      <c r="B190" s="50"/>
      <c r="C190" s="50"/>
      <c r="D190" s="50"/>
      <c r="E190" s="50"/>
      <c r="F190" s="50"/>
      <c r="G190" s="49"/>
      <c r="H190" s="49"/>
      <c r="I190" s="49"/>
      <c r="J190" s="51"/>
      <c r="K190" s="51"/>
      <c r="L190" s="51"/>
      <c r="M190" s="51"/>
      <c r="N190" s="51"/>
      <c r="O190" s="51"/>
    </row>
    <row r="191" spans="1:15" x14ac:dyDescent="0.25">
      <c r="A191" s="101"/>
      <c r="B191" s="50"/>
      <c r="C191" s="50"/>
      <c r="D191" s="50"/>
      <c r="E191" s="50"/>
      <c r="F191" s="50"/>
      <c r="G191" s="49"/>
      <c r="H191" s="49"/>
      <c r="I191" s="49"/>
      <c r="J191" s="51"/>
      <c r="K191" s="51"/>
      <c r="L191" s="51"/>
      <c r="M191" s="51"/>
      <c r="N191" s="51"/>
      <c r="O191" s="51"/>
    </row>
    <row r="192" spans="1:15" x14ac:dyDescent="0.25">
      <c r="A192" s="101"/>
      <c r="B192" s="50"/>
      <c r="C192" s="50"/>
      <c r="D192" s="50"/>
      <c r="E192" s="50"/>
      <c r="F192" s="50"/>
      <c r="G192" s="49"/>
      <c r="H192" s="49"/>
      <c r="I192" s="49"/>
      <c r="J192" s="51"/>
      <c r="K192" s="51"/>
      <c r="L192" s="51"/>
      <c r="M192" s="51"/>
      <c r="N192" s="51"/>
      <c r="O192" s="51"/>
    </row>
    <row r="193" spans="1:15" x14ac:dyDescent="0.25">
      <c r="A193" s="101"/>
      <c r="B193" s="50"/>
      <c r="C193" s="50"/>
      <c r="D193" s="50"/>
      <c r="E193" s="50"/>
      <c r="F193" s="50"/>
      <c r="G193" s="49"/>
      <c r="H193" s="49"/>
      <c r="I193" s="49"/>
      <c r="J193" s="51"/>
      <c r="K193" s="51"/>
      <c r="L193" s="51"/>
      <c r="M193" s="51"/>
      <c r="N193" s="51"/>
      <c r="O193" s="51"/>
    </row>
    <row r="194" spans="1:15" x14ac:dyDescent="0.25">
      <c r="A194" s="101"/>
      <c r="B194" s="50"/>
      <c r="C194" s="50"/>
      <c r="D194" s="50"/>
      <c r="E194" s="50"/>
      <c r="F194" s="50"/>
      <c r="G194" s="49"/>
      <c r="H194" s="49"/>
      <c r="I194" s="49"/>
      <c r="J194" s="51"/>
      <c r="K194" s="51"/>
      <c r="L194" s="51"/>
      <c r="M194" s="51"/>
      <c r="N194" s="51"/>
      <c r="O194" s="51"/>
    </row>
    <row r="195" spans="1:15" x14ac:dyDescent="0.25">
      <c r="A195" s="101"/>
      <c r="B195" s="50"/>
      <c r="C195" s="50"/>
      <c r="D195" s="50"/>
      <c r="E195" s="50"/>
      <c r="F195" s="50"/>
      <c r="G195" s="49"/>
      <c r="H195" s="49"/>
      <c r="I195" s="49"/>
      <c r="J195" s="51"/>
      <c r="K195" s="51"/>
      <c r="L195" s="51"/>
      <c r="M195" s="51"/>
      <c r="N195" s="51"/>
      <c r="O195" s="51"/>
    </row>
    <row r="196" spans="1:15" x14ac:dyDescent="0.25">
      <c r="A196" s="101"/>
      <c r="B196" s="50"/>
      <c r="C196" s="50"/>
      <c r="D196" s="50"/>
      <c r="E196" s="50"/>
      <c r="F196" s="50"/>
      <c r="G196" s="49"/>
      <c r="H196" s="49"/>
      <c r="I196" s="49"/>
      <c r="J196" s="51"/>
      <c r="K196" s="51"/>
      <c r="L196" s="51"/>
      <c r="M196" s="51"/>
      <c r="N196" s="51"/>
      <c r="O196" s="51"/>
    </row>
    <row r="197" spans="1:15" x14ac:dyDescent="0.25">
      <c r="A197" s="101"/>
      <c r="B197" s="50"/>
      <c r="C197" s="50"/>
      <c r="D197" s="50"/>
      <c r="E197" s="50"/>
      <c r="F197" s="50"/>
      <c r="G197" s="49"/>
      <c r="H197" s="49"/>
      <c r="I197" s="49"/>
      <c r="J197" s="51"/>
      <c r="K197" s="51"/>
      <c r="L197" s="51"/>
      <c r="M197" s="51"/>
      <c r="N197" s="51"/>
      <c r="O197" s="51"/>
    </row>
    <row r="198" spans="1:15" x14ac:dyDescent="0.25">
      <c r="A198" s="101"/>
      <c r="B198" s="50"/>
      <c r="C198" s="50"/>
      <c r="D198" s="50"/>
      <c r="E198" s="50"/>
      <c r="F198" s="50"/>
      <c r="G198" s="49"/>
      <c r="H198" s="49"/>
      <c r="I198" s="49"/>
      <c r="J198" s="51"/>
      <c r="K198" s="51"/>
      <c r="L198" s="51"/>
      <c r="M198" s="51"/>
      <c r="N198" s="51"/>
      <c r="O198" s="51"/>
    </row>
    <row r="199" spans="1:15" x14ac:dyDescent="0.25">
      <c r="A199" s="101"/>
      <c r="B199" s="50"/>
      <c r="C199" s="50"/>
      <c r="D199" s="50"/>
      <c r="E199" s="50"/>
      <c r="F199" s="50"/>
      <c r="G199" s="49"/>
      <c r="H199" s="49"/>
      <c r="I199" s="49"/>
      <c r="J199" s="51"/>
      <c r="K199" s="51"/>
      <c r="L199" s="51"/>
      <c r="M199" s="51"/>
      <c r="N199" s="51"/>
      <c r="O199" s="51"/>
    </row>
    <row r="200" spans="1:15" x14ac:dyDescent="0.25">
      <c r="A200" s="101"/>
      <c r="B200" s="50"/>
      <c r="C200" s="50"/>
      <c r="D200" s="50"/>
      <c r="E200" s="50"/>
      <c r="F200" s="50"/>
      <c r="G200" s="49"/>
      <c r="H200" s="49"/>
      <c r="I200" s="49"/>
      <c r="J200" s="51"/>
      <c r="K200" s="51"/>
      <c r="L200" s="51"/>
      <c r="M200" s="51"/>
      <c r="N200" s="51"/>
      <c r="O200" s="51"/>
    </row>
    <row r="201" spans="1:15" x14ac:dyDescent="0.25">
      <c r="A201" s="101"/>
      <c r="B201" s="50"/>
      <c r="C201" s="50"/>
      <c r="D201" s="50"/>
      <c r="E201" s="50"/>
      <c r="F201" s="50"/>
      <c r="G201" s="49"/>
      <c r="H201" s="49"/>
      <c r="I201" s="49"/>
      <c r="J201" s="51"/>
      <c r="K201" s="51"/>
      <c r="L201" s="51"/>
      <c r="M201" s="51"/>
      <c r="N201" s="51"/>
      <c r="O201" s="51"/>
    </row>
    <row r="202" spans="1:15" x14ac:dyDescent="0.25">
      <c r="A202" s="101"/>
      <c r="B202" s="50"/>
      <c r="C202" s="50"/>
      <c r="D202" s="50"/>
      <c r="E202" s="50"/>
      <c r="F202" s="50"/>
      <c r="G202" s="49"/>
      <c r="H202" s="49"/>
      <c r="I202" s="49"/>
      <c r="J202" s="51"/>
      <c r="K202" s="51"/>
      <c r="L202" s="51"/>
      <c r="M202" s="51"/>
      <c r="N202" s="51"/>
      <c r="O202" s="51"/>
    </row>
    <row r="203" spans="1:15" x14ac:dyDescent="0.25">
      <c r="A203" s="101"/>
      <c r="B203" s="50"/>
      <c r="C203" s="50"/>
      <c r="D203" s="50"/>
      <c r="E203" s="50"/>
      <c r="F203" s="50"/>
      <c r="G203" s="49"/>
      <c r="H203" s="49"/>
      <c r="I203" s="49"/>
      <c r="J203" s="51"/>
      <c r="K203" s="51"/>
      <c r="L203" s="51"/>
      <c r="M203" s="51"/>
      <c r="N203" s="51"/>
      <c r="O203" s="51"/>
    </row>
    <row r="204" spans="1:15" x14ac:dyDescent="0.25">
      <c r="A204" s="101"/>
      <c r="B204" s="50"/>
      <c r="C204" s="50"/>
      <c r="D204" s="50"/>
      <c r="E204" s="50"/>
      <c r="F204" s="50"/>
      <c r="G204" s="49"/>
      <c r="H204" s="49"/>
      <c r="I204" s="49"/>
      <c r="J204" s="51"/>
      <c r="K204" s="51"/>
      <c r="L204" s="51"/>
      <c r="M204" s="51"/>
      <c r="N204" s="51"/>
      <c r="O204" s="51"/>
    </row>
    <row r="205" spans="1:15" x14ac:dyDescent="0.25">
      <c r="A205" s="101"/>
      <c r="B205" s="50"/>
      <c r="C205" s="50"/>
      <c r="D205" s="50"/>
      <c r="E205" s="50"/>
      <c r="F205" s="50"/>
      <c r="G205" s="49"/>
      <c r="H205" s="49"/>
      <c r="I205" s="49"/>
      <c r="J205" s="51"/>
      <c r="K205" s="51"/>
      <c r="L205" s="51"/>
      <c r="M205" s="51"/>
      <c r="N205" s="51"/>
      <c r="O205" s="51"/>
    </row>
    <row r="206" spans="1:15" x14ac:dyDescent="0.25">
      <c r="A206" s="101"/>
      <c r="B206" s="50"/>
      <c r="C206" s="50"/>
      <c r="D206" s="50"/>
      <c r="E206" s="50"/>
      <c r="F206" s="50"/>
      <c r="G206" s="49"/>
      <c r="H206" s="49"/>
      <c r="I206" s="49"/>
      <c r="J206" s="51"/>
      <c r="K206" s="51"/>
      <c r="L206" s="51"/>
      <c r="M206" s="51"/>
      <c r="N206" s="51"/>
      <c r="O206" s="51"/>
    </row>
    <row r="207" spans="1:15" x14ac:dyDescent="0.25">
      <c r="A207" s="101"/>
      <c r="B207" s="50"/>
      <c r="C207" s="50"/>
      <c r="D207" s="50"/>
      <c r="E207" s="50"/>
      <c r="F207" s="50"/>
      <c r="G207" s="49"/>
      <c r="H207" s="49"/>
      <c r="I207" s="49"/>
      <c r="J207" s="51"/>
      <c r="K207" s="51"/>
      <c r="L207" s="51"/>
      <c r="M207" s="51"/>
      <c r="N207" s="51"/>
      <c r="O207" s="51"/>
    </row>
    <row r="208" spans="1:15" x14ac:dyDescent="0.25">
      <c r="A208" s="101"/>
      <c r="B208" s="50"/>
      <c r="C208" s="50"/>
      <c r="D208" s="50"/>
      <c r="E208" s="50"/>
      <c r="F208" s="50"/>
      <c r="G208" s="49"/>
      <c r="H208" s="49"/>
      <c r="I208" s="49"/>
      <c r="J208" s="51"/>
      <c r="K208" s="51"/>
      <c r="L208" s="51"/>
      <c r="M208" s="51"/>
      <c r="N208" s="51"/>
      <c r="O208" s="51"/>
    </row>
    <row r="209" spans="1:15" x14ac:dyDescent="0.25">
      <c r="A209" s="101"/>
      <c r="B209" s="50"/>
      <c r="C209" s="50"/>
      <c r="D209" s="50"/>
      <c r="E209" s="50"/>
      <c r="F209" s="50"/>
      <c r="G209" s="49"/>
      <c r="H209" s="49"/>
      <c r="I209" s="49"/>
      <c r="J209" s="51"/>
      <c r="K209" s="51"/>
      <c r="L209" s="51"/>
      <c r="M209" s="51"/>
      <c r="N209" s="51"/>
      <c r="O209" s="51"/>
    </row>
    <row r="210" spans="1:15" x14ac:dyDescent="0.25">
      <c r="A210" s="101"/>
      <c r="B210" s="50"/>
      <c r="C210" s="50"/>
      <c r="D210" s="50"/>
      <c r="E210" s="50"/>
      <c r="F210" s="50"/>
      <c r="G210" s="49"/>
      <c r="H210" s="49"/>
      <c r="I210" s="49"/>
      <c r="J210" s="51"/>
      <c r="K210" s="51"/>
      <c r="L210" s="51"/>
      <c r="M210" s="51"/>
      <c r="N210" s="51"/>
      <c r="O210" s="51"/>
    </row>
    <row r="211" spans="1:15" x14ac:dyDescent="0.25">
      <c r="A211" s="101"/>
      <c r="B211" s="17"/>
      <c r="C211" s="17"/>
      <c r="D211" s="17"/>
      <c r="E211" s="17"/>
      <c r="F211" s="17"/>
      <c r="G211" s="17"/>
      <c r="H211" s="17"/>
      <c r="I211" s="17"/>
      <c r="J211" s="17"/>
      <c r="K211" s="17"/>
      <c r="L211" s="17"/>
      <c r="M211" s="17"/>
      <c r="N211" s="17"/>
      <c r="O211" s="17"/>
    </row>
    <row r="212" spans="1:15" x14ac:dyDescent="0.25">
      <c r="A212" s="130" t="s">
        <v>398</v>
      </c>
      <c r="B212" s="130"/>
      <c r="C212" s="130"/>
      <c r="D212" s="131">
        <f>SUM(D7:D211)</f>
        <v>8905301.9800000004</v>
      </c>
      <c r="E212" s="131">
        <f>SUM(E7:E211)</f>
        <v>10834765.709999999</v>
      </c>
      <c r="F212" s="132">
        <f>(D212-E212)/E212</f>
        <v>-0.1780807985740929</v>
      </c>
      <c r="G212" s="131">
        <f>SUM(G7:G211)</f>
        <v>60508</v>
      </c>
      <c r="H212" s="131">
        <f>SUM(H7:H211)</f>
        <v>88785</v>
      </c>
      <c r="I212" s="132">
        <f>(G212-H212)/H212</f>
        <v>-0.31848848341499125</v>
      </c>
      <c r="J212" s="131">
        <f>SUM(J7:J211)</f>
        <v>4381729</v>
      </c>
      <c r="K212" s="131">
        <f>SUM(K7:K211)</f>
        <v>5789157</v>
      </c>
      <c r="L212" s="132">
        <f>(J212-K212)/K212</f>
        <v>-0.24311449836306046</v>
      </c>
      <c r="M212" s="131">
        <f>SUM(M7:M211)</f>
        <v>4485057</v>
      </c>
      <c r="N212" s="131">
        <f>SUM(N7:N211)</f>
        <v>4996028</v>
      </c>
      <c r="O212" s="132">
        <f>(M212-N212)/N212</f>
        <v>-0.10227544761558582</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1"/>
  <sheetViews>
    <sheetView workbookViewId="0">
      <pane ySplit="6" topLeftCell="A148" activePane="bottomLeft" state="frozen"/>
      <selection pane="bottomLeft" activeCell="H185" sqref="H185"/>
    </sheetView>
  </sheetViews>
  <sheetFormatPr defaultRowHeight="15" x14ac:dyDescent="0.25"/>
  <cols>
    <col min="1" max="1" width="14.5703125" bestFit="1" customWidth="1"/>
    <col min="2" max="3" width="9.28515625" bestFit="1" customWidth="1"/>
    <col min="4" max="4" width="11.28515625" bestFit="1" customWidth="1"/>
    <col min="5" max="5" width="12.7109375" customWidth="1"/>
    <col min="6" max="6" width="10.28515625" bestFit="1" customWidth="1"/>
    <col min="7" max="8" width="12.5703125" customWidth="1"/>
    <col min="9" max="9" width="9.28515625" bestFit="1" customWidth="1"/>
    <col min="10" max="11" width="11.28515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1" t="s">
        <v>315</v>
      </c>
      <c r="B3" s="298"/>
      <c r="C3" s="298"/>
      <c r="D3" s="298"/>
      <c r="E3" s="298"/>
      <c r="F3" s="298"/>
      <c r="G3" s="298"/>
      <c r="H3" s="298"/>
      <c r="I3" s="298"/>
      <c r="J3" s="298"/>
      <c r="K3" s="298"/>
      <c r="L3" s="298"/>
      <c r="M3" s="298"/>
      <c r="N3" s="298"/>
      <c r="O3" s="299"/>
    </row>
    <row r="4" spans="1:15" x14ac:dyDescent="0.25">
      <c r="A4" s="302" t="s">
        <v>330</v>
      </c>
      <c r="B4" s="302" t="s">
        <v>308</v>
      </c>
      <c r="C4" s="302"/>
      <c r="D4" s="302" t="s">
        <v>361</v>
      </c>
      <c r="E4" s="302"/>
      <c r="F4" s="302"/>
      <c r="G4" s="302"/>
      <c r="H4" s="302"/>
      <c r="I4" s="302"/>
      <c r="J4" s="302"/>
      <c r="K4" s="302"/>
      <c r="L4" s="302"/>
      <c r="M4" s="302"/>
      <c r="N4" s="302"/>
      <c r="O4" s="302"/>
    </row>
    <row r="5" spans="1:15" x14ac:dyDescent="0.25">
      <c r="A5" s="303"/>
      <c r="B5" s="303" t="s">
        <v>312</v>
      </c>
      <c r="C5" s="303"/>
      <c r="D5" s="303" t="s">
        <v>315</v>
      </c>
      <c r="E5" s="303"/>
      <c r="F5" s="303"/>
      <c r="G5" s="303" t="s">
        <v>362</v>
      </c>
      <c r="H5" s="303"/>
      <c r="I5" s="303"/>
      <c r="J5" s="303" t="s">
        <v>363</v>
      </c>
      <c r="K5" s="303"/>
      <c r="L5" s="303"/>
      <c r="M5" s="303" t="s">
        <v>364</v>
      </c>
      <c r="N5" s="303"/>
      <c r="O5" s="303"/>
    </row>
    <row r="6" spans="1:15" x14ac:dyDescent="0.25">
      <c r="A6" s="34" t="s">
        <v>318</v>
      </c>
      <c r="B6" s="21">
        <f>'Total Value'!B6</f>
        <v>46023</v>
      </c>
      <c r="C6" s="34" t="s">
        <v>328</v>
      </c>
      <c r="D6" s="21">
        <f>B6</f>
        <v>46023</v>
      </c>
      <c r="E6" s="34" t="s">
        <v>322</v>
      </c>
      <c r="F6" s="34" t="s">
        <v>328</v>
      </c>
      <c r="G6" s="21">
        <f>D6</f>
        <v>46023</v>
      </c>
      <c r="H6" s="34" t="s">
        <v>322</v>
      </c>
      <c r="I6" s="34" t="s">
        <v>328</v>
      </c>
      <c r="J6" s="21">
        <f>D6</f>
        <v>46023</v>
      </c>
      <c r="K6" s="34" t="s">
        <v>322</v>
      </c>
      <c r="L6" s="34" t="s">
        <v>328</v>
      </c>
      <c r="M6" s="21">
        <f>D6</f>
        <v>46023</v>
      </c>
      <c r="N6" s="34" t="s">
        <v>322</v>
      </c>
      <c r="O6" s="34" t="s">
        <v>328</v>
      </c>
    </row>
    <row r="7" spans="1:15" x14ac:dyDescent="0.25">
      <c r="A7" s="101" t="str">
        <f>'Data shares'!C2</f>
        <v>360ONE</v>
      </c>
      <c r="B7" s="50">
        <f>VLOOKUP($A7,'Data shares'!$C:$FB,7)</f>
        <v>1179.7</v>
      </c>
      <c r="C7" s="50">
        <f>VLOOKUP($A7,'Data shares'!$C:$FB,10)*100</f>
        <v>-0.86999999999999988</v>
      </c>
      <c r="D7" s="49">
        <f>VLOOKUP($A7,'Data shares'!$C:$FB,66)</f>
        <v>446000</v>
      </c>
      <c r="E7" s="49">
        <f>VLOOKUP($A7,'Data shares'!$C:$FB,67)</f>
        <v>1256500</v>
      </c>
      <c r="F7" s="50">
        <f>VLOOKUP($A7,'Data shares'!$C:$FB,69)*100</f>
        <v>-64.5</v>
      </c>
      <c r="G7" s="49">
        <f>VLOOKUP($A7,'Data shares'!$C:$FB,42)</f>
        <v>191500</v>
      </c>
      <c r="H7" s="49">
        <f>VLOOKUP($A7,'Data shares'!$C:$FB,43)</f>
        <v>449500</v>
      </c>
      <c r="I7" s="50">
        <f>VLOOKUP($A7,'Data shares'!$C:$FB,45)*100</f>
        <v>-57.4</v>
      </c>
      <c r="J7" s="49">
        <f>VLOOKUP($A7,'Data shares'!$C:$FB,58)</f>
        <v>218000</v>
      </c>
      <c r="K7" s="49">
        <f>VLOOKUP($A7,'Data shares'!$C:$FB,59)</f>
        <v>703500</v>
      </c>
      <c r="L7" s="50">
        <f>VLOOKUP($A7,'Data shares'!$C:$FB,61)*100</f>
        <v>-69.010000000000005</v>
      </c>
      <c r="M7" s="49">
        <f>VLOOKUP($A7,'Data shares'!$C:$FB,62)</f>
        <v>36500</v>
      </c>
      <c r="N7" s="49">
        <f>VLOOKUP($A7,'Data shares'!$C:$FB,63)</f>
        <v>103500</v>
      </c>
      <c r="O7" s="140">
        <f>VLOOKUP($A7,'Data shares'!$C:$FB,65)*100</f>
        <v>-64.73</v>
      </c>
    </row>
    <row r="8" spans="1:15" x14ac:dyDescent="0.25">
      <c r="A8" s="101" t="str">
        <f>'Data shares'!C3</f>
        <v>ABB</v>
      </c>
      <c r="B8" s="50">
        <f>VLOOKUP($A8,'Data shares'!$C:$FB,7)</f>
        <v>5176.5</v>
      </c>
      <c r="C8" s="50">
        <f>VLOOKUP($A8,'Data shares'!$C:$FB,10)*100</f>
        <v>0.13</v>
      </c>
      <c r="D8" s="49">
        <f>VLOOKUP($A8,'Data shares'!$C:$FB,66)</f>
        <v>460875</v>
      </c>
      <c r="E8" s="49">
        <f>VLOOKUP($A8,'Data shares'!$C:$FB,67)</f>
        <v>714000</v>
      </c>
      <c r="F8" s="50">
        <f>VLOOKUP($A8,'Data shares'!$C:$FB,69)*100</f>
        <v>-35.449999999999996</v>
      </c>
      <c r="G8" s="49">
        <f>VLOOKUP($A8,'Data shares'!$C:$FB,42)</f>
        <v>131000</v>
      </c>
      <c r="H8" s="49">
        <f>VLOOKUP($A8,'Data shares'!$C:$FB,43)</f>
        <v>174125</v>
      </c>
      <c r="I8" s="50">
        <f>VLOOKUP($A8,'Data shares'!$C:$FB,45)*100</f>
        <v>-24.77</v>
      </c>
      <c r="J8" s="49">
        <f>VLOOKUP($A8,'Data shares'!$C:$FB,58)</f>
        <v>245000</v>
      </c>
      <c r="K8" s="49">
        <f>VLOOKUP($A8,'Data shares'!$C:$FB,59)</f>
        <v>350625</v>
      </c>
      <c r="L8" s="50">
        <f>VLOOKUP($A8,'Data shares'!$C:$FB,61)*100</f>
        <v>-30.12</v>
      </c>
      <c r="M8" s="49">
        <f>VLOOKUP($A8,'Data shares'!$C:$FB,62)</f>
        <v>84875</v>
      </c>
      <c r="N8" s="49">
        <f>VLOOKUP($A8,'Data shares'!$C:$FB,63)</f>
        <v>189250</v>
      </c>
      <c r="O8" s="140">
        <f>VLOOKUP($A8,'Data shares'!$C:$FB,65)*100</f>
        <v>-55.15</v>
      </c>
    </row>
    <row r="9" spans="1:15" x14ac:dyDescent="0.25">
      <c r="A9" s="101" t="str">
        <f>'Data shares'!C4</f>
        <v>ABCAPITAL</v>
      </c>
      <c r="B9" s="50">
        <f>VLOOKUP($A9,'Data shares'!$C:$FB,7)</f>
        <v>361.95</v>
      </c>
      <c r="C9" s="50">
        <f>VLOOKUP($A9,'Data shares'!$C:$FB,10)*100</f>
        <v>1.1900000000000002</v>
      </c>
      <c r="D9" s="49">
        <f>VLOOKUP($A9,'Data shares'!$C:$FB,66)</f>
        <v>65248800</v>
      </c>
      <c r="E9" s="49">
        <f>VLOOKUP($A9,'Data shares'!$C:$FB,67)</f>
        <v>69455500</v>
      </c>
      <c r="F9" s="50">
        <f>VLOOKUP($A9,'Data shares'!$C:$FB,69)*100</f>
        <v>-6.0600000000000005</v>
      </c>
      <c r="G9" s="49">
        <f>VLOOKUP($A9,'Data shares'!$C:$FB,42)</f>
        <v>8680000</v>
      </c>
      <c r="H9" s="49">
        <f>VLOOKUP($A9,'Data shares'!$C:$FB,43)</f>
        <v>15996000</v>
      </c>
      <c r="I9" s="50">
        <f>VLOOKUP($A9,'Data shares'!$C:$FB,45)*100</f>
        <v>-45.739999999999995</v>
      </c>
      <c r="J9" s="49">
        <f>VLOOKUP($A9,'Data shares'!$C:$FB,58)</f>
        <v>43641800</v>
      </c>
      <c r="K9" s="49">
        <f>VLOOKUP($A9,'Data shares'!$C:$FB,59)</f>
        <v>37045000</v>
      </c>
      <c r="L9" s="50">
        <f>VLOOKUP($A9,'Data shares'!$C:$FB,61)*100</f>
        <v>17.810000000000002</v>
      </c>
      <c r="M9" s="49">
        <f>VLOOKUP($A9,'Data shares'!$C:$FB,62)</f>
        <v>12927000</v>
      </c>
      <c r="N9" s="49">
        <f>VLOOKUP($A9,'Data shares'!$C:$FB,63)</f>
        <v>16414500</v>
      </c>
      <c r="O9" s="140">
        <f>VLOOKUP($A9,'Data shares'!$C:$FB,65)*100</f>
        <v>-21.25</v>
      </c>
    </row>
    <row r="10" spans="1:15" x14ac:dyDescent="0.25">
      <c r="A10" s="101" t="str">
        <f>'Data shares'!C5</f>
        <v>ADANIENSOL</v>
      </c>
      <c r="B10" s="50">
        <f>VLOOKUP($A10,'Data shares'!$C:$FB,7)</f>
        <v>1046.4000000000001</v>
      </c>
      <c r="C10" s="50">
        <f>VLOOKUP($A10,'Data shares'!$C:$FB,10)*100</f>
        <v>1.8499999999999999</v>
      </c>
      <c r="D10" s="49">
        <f>VLOOKUP($A10,'Data shares'!$C:$FB,66)</f>
        <v>24291225</v>
      </c>
      <c r="E10" s="49">
        <f>VLOOKUP($A10,'Data shares'!$C:$FB,67)</f>
        <v>4690575</v>
      </c>
      <c r="F10" s="50">
        <f>VLOOKUP($A10,'Data shares'!$C:$FB,69)*100</f>
        <v>417.87</v>
      </c>
      <c r="G10" s="49">
        <f>VLOOKUP($A10,'Data shares'!$C:$FB,42)</f>
        <v>3564000</v>
      </c>
      <c r="H10" s="49">
        <f>VLOOKUP($A10,'Data shares'!$C:$FB,43)</f>
        <v>1343250</v>
      </c>
      <c r="I10" s="50">
        <f>VLOOKUP($A10,'Data shares'!$C:$FB,45)*100</f>
        <v>165.33</v>
      </c>
      <c r="J10" s="49">
        <f>VLOOKUP($A10,'Data shares'!$C:$FB,58)</f>
        <v>16802100</v>
      </c>
      <c r="K10" s="49">
        <f>VLOOKUP($A10,'Data shares'!$C:$FB,59)</f>
        <v>2388150</v>
      </c>
      <c r="L10" s="50">
        <f>VLOOKUP($A10,'Data shares'!$C:$FB,61)*100</f>
        <v>603.55999999999995</v>
      </c>
      <c r="M10" s="49">
        <f>VLOOKUP($A10,'Data shares'!$C:$FB,62)</f>
        <v>3925125</v>
      </c>
      <c r="N10" s="49">
        <f>VLOOKUP($A10,'Data shares'!$C:$FB,63)</f>
        <v>959175</v>
      </c>
      <c r="O10" s="140">
        <f>VLOOKUP($A10,'Data shares'!$C:$FB,65)*100</f>
        <v>309.22000000000003</v>
      </c>
    </row>
    <row r="11" spans="1:15" x14ac:dyDescent="0.25">
      <c r="A11" s="101" t="str">
        <f>'Data shares'!C6</f>
        <v>ADANIENT</v>
      </c>
      <c r="B11" s="50">
        <f>VLOOKUP($A11,'Data shares'!$C:$FB,7)</f>
        <v>2260</v>
      </c>
      <c r="C11" s="50">
        <f>VLOOKUP($A11,'Data shares'!$C:$FB,10)*100</f>
        <v>0.91</v>
      </c>
      <c r="D11" s="49">
        <f>VLOOKUP($A11,'Data shares'!$C:$FB,66)</f>
        <v>17289477</v>
      </c>
      <c r="E11" s="49">
        <f>VLOOKUP($A11,'Data shares'!$C:$FB,67)</f>
        <v>10013145</v>
      </c>
      <c r="F11" s="50">
        <f>VLOOKUP($A11,'Data shares'!$C:$FB,69)*100</f>
        <v>72.67</v>
      </c>
      <c r="G11" s="49">
        <f>VLOOKUP($A11,'Data shares'!$C:$FB,42)</f>
        <v>2642568</v>
      </c>
      <c r="H11" s="49">
        <f>VLOOKUP($A11,'Data shares'!$C:$FB,43)</f>
        <v>1968639</v>
      </c>
      <c r="I11" s="50">
        <f>VLOOKUP($A11,'Data shares'!$C:$FB,45)*100</f>
        <v>34.229999999999997</v>
      </c>
      <c r="J11" s="49">
        <f>VLOOKUP($A11,'Data shares'!$C:$FB,58)</f>
        <v>11276028</v>
      </c>
      <c r="K11" s="49">
        <f>VLOOKUP($A11,'Data shares'!$C:$FB,59)</f>
        <v>5278647</v>
      </c>
      <c r="L11" s="50">
        <f>VLOOKUP($A11,'Data shares'!$C:$FB,61)*100</f>
        <v>113.62</v>
      </c>
      <c r="M11" s="49">
        <f>VLOOKUP($A11,'Data shares'!$C:$FB,62)</f>
        <v>3370881</v>
      </c>
      <c r="N11" s="49">
        <f>VLOOKUP($A11,'Data shares'!$C:$FB,63)</f>
        <v>2765859</v>
      </c>
      <c r="O11" s="140">
        <f>VLOOKUP($A11,'Data shares'!$C:$FB,65)*100</f>
        <v>21.87</v>
      </c>
    </row>
    <row r="12" spans="1:15" x14ac:dyDescent="0.25">
      <c r="A12" s="101" t="str">
        <f>'Data shares'!C7</f>
        <v>ADANIGREEN</v>
      </c>
      <c r="B12" s="50">
        <f>VLOOKUP($A12,'Data shares'!$C:$FB,7)</f>
        <v>1025.9000000000001</v>
      </c>
      <c r="C12" s="50">
        <f>VLOOKUP($A12,'Data shares'!$C:$FB,10)*100</f>
        <v>1.06</v>
      </c>
      <c r="D12" s="49">
        <f>VLOOKUP($A12,'Data shares'!$C:$FB,66)</f>
        <v>22438200</v>
      </c>
      <c r="E12" s="49">
        <f>VLOOKUP($A12,'Data shares'!$C:$FB,67)</f>
        <v>5914200</v>
      </c>
      <c r="F12" s="50">
        <f>VLOOKUP($A12,'Data shares'!$C:$FB,69)*100</f>
        <v>279.39999999999998</v>
      </c>
      <c r="G12" s="49">
        <f>VLOOKUP($A12,'Data shares'!$C:$FB,42)</f>
        <v>3324000</v>
      </c>
      <c r="H12" s="49">
        <f>VLOOKUP($A12,'Data shares'!$C:$FB,43)</f>
        <v>1387800</v>
      </c>
      <c r="I12" s="50">
        <f>VLOOKUP($A12,'Data shares'!$C:$FB,45)*100</f>
        <v>139.52000000000001</v>
      </c>
      <c r="J12" s="49">
        <f>VLOOKUP($A12,'Data shares'!$C:$FB,58)</f>
        <v>16151400</v>
      </c>
      <c r="K12" s="49">
        <f>VLOOKUP($A12,'Data shares'!$C:$FB,59)</f>
        <v>3168000</v>
      </c>
      <c r="L12" s="50">
        <f>VLOOKUP($A12,'Data shares'!$C:$FB,61)*100</f>
        <v>409.83</v>
      </c>
      <c r="M12" s="49">
        <f>VLOOKUP($A12,'Data shares'!$C:$FB,62)</f>
        <v>2962800</v>
      </c>
      <c r="N12" s="49">
        <f>VLOOKUP($A12,'Data shares'!$C:$FB,63)</f>
        <v>1358400</v>
      </c>
      <c r="O12" s="140">
        <f>VLOOKUP($A12,'Data shares'!$C:$FB,65)*100</f>
        <v>118.11</v>
      </c>
    </row>
    <row r="13" spans="1:15" x14ac:dyDescent="0.25">
      <c r="A13" s="101" t="str">
        <f>'Data shares'!C8</f>
        <v>ADANIPORTS</v>
      </c>
      <c r="B13" s="50">
        <f>VLOOKUP($A13,'Data shares'!$C:$FB,7)</f>
        <v>1481.1</v>
      </c>
      <c r="C13" s="50">
        <f>VLOOKUP($A13,'Data shares'!$C:$FB,10)*100</f>
        <v>0.77</v>
      </c>
      <c r="D13" s="49">
        <f>VLOOKUP($A13,'Data shares'!$C:$FB,66)</f>
        <v>11915375</v>
      </c>
      <c r="E13" s="49">
        <f>VLOOKUP($A13,'Data shares'!$C:$FB,67)</f>
        <v>10770625</v>
      </c>
      <c r="F13" s="50">
        <f>VLOOKUP($A13,'Data shares'!$C:$FB,69)*100</f>
        <v>10.63</v>
      </c>
      <c r="G13" s="49">
        <f>VLOOKUP($A13,'Data shares'!$C:$FB,42)</f>
        <v>1678650</v>
      </c>
      <c r="H13" s="49">
        <f>VLOOKUP($A13,'Data shares'!$C:$FB,43)</f>
        <v>1611200</v>
      </c>
      <c r="I13" s="50">
        <f>VLOOKUP($A13,'Data shares'!$C:$FB,45)*100</f>
        <v>4.1900000000000004</v>
      </c>
      <c r="J13" s="49">
        <f>VLOOKUP($A13,'Data shares'!$C:$FB,58)</f>
        <v>7449425</v>
      </c>
      <c r="K13" s="49">
        <f>VLOOKUP($A13,'Data shares'!$C:$FB,59)</f>
        <v>6008275</v>
      </c>
      <c r="L13" s="50">
        <f>VLOOKUP($A13,'Data shares'!$C:$FB,61)*100</f>
        <v>23.990000000000002</v>
      </c>
      <c r="M13" s="49">
        <f>VLOOKUP($A13,'Data shares'!$C:$FB,62)</f>
        <v>2787300</v>
      </c>
      <c r="N13" s="49">
        <f>VLOOKUP($A13,'Data shares'!$C:$FB,63)</f>
        <v>3151150</v>
      </c>
      <c r="O13" s="140">
        <f>VLOOKUP($A13,'Data shares'!$C:$FB,65)*100</f>
        <v>-11.55</v>
      </c>
    </row>
    <row r="14" spans="1:15" x14ac:dyDescent="0.25">
      <c r="A14" s="101" t="str">
        <f>'Data shares'!C9</f>
        <v>ALKEM</v>
      </c>
      <c r="B14" s="50">
        <f>VLOOKUP($A14,'Data shares'!$C:$FB,7)</f>
        <v>5463.5</v>
      </c>
      <c r="C14" s="50">
        <f>VLOOKUP($A14,'Data shares'!$C:$FB,10)*100</f>
        <v>-0.77999999999999992</v>
      </c>
      <c r="D14" s="49">
        <f>VLOOKUP($A14,'Data shares'!$C:$FB,66)</f>
        <v>621125</v>
      </c>
      <c r="E14" s="49">
        <f>VLOOKUP($A14,'Data shares'!$C:$FB,67)</f>
        <v>243500</v>
      </c>
      <c r="F14" s="50">
        <f>VLOOKUP($A14,'Data shares'!$C:$FB,69)*100</f>
        <v>155.07999999999998</v>
      </c>
      <c r="G14" s="49">
        <f>VLOOKUP($A14,'Data shares'!$C:$FB,42)</f>
        <v>138875</v>
      </c>
      <c r="H14" s="49">
        <f>VLOOKUP($A14,'Data shares'!$C:$FB,43)</f>
        <v>100375</v>
      </c>
      <c r="I14" s="50">
        <f>VLOOKUP($A14,'Data shares'!$C:$FB,45)*100</f>
        <v>38.36</v>
      </c>
      <c r="J14" s="49">
        <f>VLOOKUP($A14,'Data shares'!$C:$FB,58)</f>
        <v>157625</v>
      </c>
      <c r="K14" s="49">
        <f>VLOOKUP($A14,'Data shares'!$C:$FB,59)</f>
        <v>82250</v>
      </c>
      <c r="L14" s="50">
        <f>VLOOKUP($A14,'Data shares'!$C:$FB,61)*100</f>
        <v>91.64</v>
      </c>
      <c r="M14" s="49">
        <f>VLOOKUP($A14,'Data shares'!$C:$FB,62)</f>
        <v>324625</v>
      </c>
      <c r="N14" s="49">
        <f>VLOOKUP($A14,'Data shares'!$C:$FB,63)</f>
        <v>60875</v>
      </c>
      <c r="O14" s="140">
        <f>VLOOKUP($A14,'Data shares'!$C:$FB,65)*100</f>
        <v>433.26000000000005</v>
      </c>
    </row>
    <row r="15" spans="1:15" x14ac:dyDescent="0.25">
      <c r="A15" s="101" t="str">
        <f>'Data shares'!C10</f>
        <v>AMBER</v>
      </c>
      <c r="B15" s="50">
        <f>VLOOKUP($A15,'Data shares'!$C:$FB,7)</f>
        <v>6447.5</v>
      </c>
      <c r="C15" s="50">
        <f>VLOOKUP($A15,'Data shares'!$C:$FB,10)*100</f>
        <v>0.95</v>
      </c>
      <c r="D15" s="49">
        <f>VLOOKUP($A15,'Data shares'!$C:$FB,66)</f>
        <v>494100</v>
      </c>
      <c r="E15" s="49">
        <f>VLOOKUP($A15,'Data shares'!$C:$FB,67)</f>
        <v>1196000</v>
      </c>
      <c r="F15" s="50">
        <f>VLOOKUP($A15,'Data shares'!$C:$FB,69)*100</f>
        <v>-58.69</v>
      </c>
      <c r="G15" s="49">
        <f>VLOOKUP($A15,'Data shares'!$C:$FB,42)</f>
        <v>109500</v>
      </c>
      <c r="H15" s="49">
        <f>VLOOKUP($A15,'Data shares'!$C:$FB,43)</f>
        <v>239500</v>
      </c>
      <c r="I15" s="50">
        <f>VLOOKUP($A15,'Data shares'!$C:$FB,45)*100</f>
        <v>-54.279999999999994</v>
      </c>
      <c r="J15" s="49">
        <f>VLOOKUP($A15,'Data shares'!$C:$FB,58)</f>
        <v>260200</v>
      </c>
      <c r="K15" s="49">
        <f>VLOOKUP($A15,'Data shares'!$C:$FB,59)</f>
        <v>584700</v>
      </c>
      <c r="L15" s="50">
        <f>VLOOKUP($A15,'Data shares'!$C:$FB,61)*100</f>
        <v>-55.500000000000007</v>
      </c>
      <c r="M15" s="49">
        <f>VLOOKUP($A15,'Data shares'!$C:$FB,62)</f>
        <v>124400</v>
      </c>
      <c r="N15" s="49">
        <f>VLOOKUP($A15,'Data shares'!$C:$FB,63)</f>
        <v>371800</v>
      </c>
      <c r="O15" s="140">
        <f>VLOOKUP($A15,'Data shares'!$C:$FB,65)*100</f>
        <v>-66.539999999999992</v>
      </c>
    </row>
    <row r="16" spans="1:15" x14ac:dyDescent="0.25">
      <c r="A16" s="101" t="str">
        <f>'Data shares'!C11</f>
        <v>AMBUJACEM</v>
      </c>
      <c r="B16" s="50">
        <f>VLOOKUP($A16,'Data shares'!$C:$FB,7)</f>
        <v>559.65</v>
      </c>
      <c r="C16" s="50">
        <f>VLOOKUP($A16,'Data shares'!$C:$FB,10)*100</f>
        <v>0.59</v>
      </c>
      <c r="D16" s="49">
        <f>VLOOKUP($A16,'Data shares'!$C:$FB,66)</f>
        <v>15740550</v>
      </c>
      <c r="E16" s="49">
        <f>VLOOKUP($A16,'Data shares'!$C:$FB,67)</f>
        <v>12795300</v>
      </c>
      <c r="F16" s="50">
        <f>VLOOKUP($A16,'Data shares'!$C:$FB,69)*100</f>
        <v>23.02</v>
      </c>
      <c r="G16" s="49">
        <f>VLOOKUP($A16,'Data shares'!$C:$FB,42)</f>
        <v>3266550</v>
      </c>
      <c r="H16" s="49">
        <f>VLOOKUP($A16,'Data shares'!$C:$FB,43)</f>
        <v>3055500</v>
      </c>
      <c r="I16" s="50">
        <f>VLOOKUP($A16,'Data shares'!$C:$FB,45)*100</f>
        <v>6.9099999999999993</v>
      </c>
      <c r="J16" s="49">
        <f>VLOOKUP($A16,'Data shares'!$C:$FB,58)</f>
        <v>9455250</v>
      </c>
      <c r="K16" s="49">
        <f>VLOOKUP($A16,'Data shares'!$C:$FB,59)</f>
        <v>6093150</v>
      </c>
      <c r="L16" s="50">
        <f>VLOOKUP($A16,'Data shares'!$C:$FB,61)*100</f>
        <v>55.179999999999993</v>
      </c>
      <c r="M16" s="49">
        <f>VLOOKUP($A16,'Data shares'!$C:$FB,62)</f>
        <v>3018750</v>
      </c>
      <c r="N16" s="49">
        <f>VLOOKUP($A16,'Data shares'!$C:$FB,63)</f>
        <v>3646650</v>
      </c>
      <c r="O16" s="140">
        <f>VLOOKUP($A16,'Data shares'!$C:$FB,65)*100</f>
        <v>-17.22</v>
      </c>
    </row>
    <row r="17" spans="1:15" x14ac:dyDescent="0.25">
      <c r="A17" s="101" t="str">
        <f>'Data shares'!C12</f>
        <v>ANGELONE</v>
      </c>
      <c r="B17" s="50">
        <f>VLOOKUP($A17,'Data shares'!$C:$FB,7)</f>
        <v>2362.8000000000002</v>
      </c>
      <c r="C17" s="50">
        <f>VLOOKUP($A17,'Data shares'!$C:$FB,10)*100</f>
        <v>0.8</v>
      </c>
      <c r="D17" s="49">
        <f>VLOOKUP($A17,'Data shares'!$C:$FB,66)</f>
        <v>3850000</v>
      </c>
      <c r="E17" s="49">
        <f>VLOOKUP($A17,'Data shares'!$C:$FB,67)</f>
        <v>6007500</v>
      </c>
      <c r="F17" s="50">
        <f>VLOOKUP($A17,'Data shares'!$C:$FB,69)*100</f>
        <v>-35.909999999999997</v>
      </c>
      <c r="G17" s="49">
        <f>VLOOKUP($A17,'Data shares'!$C:$FB,42)</f>
        <v>678500</v>
      </c>
      <c r="H17" s="49">
        <f>VLOOKUP($A17,'Data shares'!$C:$FB,43)</f>
        <v>1096750</v>
      </c>
      <c r="I17" s="50">
        <f>VLOOKUP($A17,'Data shares'!$C:$FB,45)*100</f>
        <v>-38.14</v>
      </c>
      <c r="J17" s="49">
        <f>VLOOKUP($A17,'Data shares'!$C:$FB,58)</f>
        <v>2068750</v>
      </c>
      <c r="K17" s="49">
        <f>VLOOKUP($A17,'Data shares'!$C:$FB,59)</f>
        <v>3509750</v>
      </c>
      <c r="L17" s="50">
        <f>VLOOKUP($A17,'Data shares'!$C:$FB,61)*100</f>
        <v>-41.06</v>
      </c>
      <c r="M17" s="49">
        <f>VLOOKUP($A17,'Data shares'!$C:$FB,62)</f>
        <v>1102750</v>
      </c>
      <c r="N17" s="49">
        <f>VLOOKUP($A17,'Data shares'!$C:$FB,63)</f>
        <v>1401000</v>
      </c>
      <c r="O17" s="140">
        <f>VLOOKUP($A17,'Data shares'!$C:$FB,65)*100</f>
        <v>-21.29</v>
      </c>
    </row>
    <row r="18" spans="1:15" x14ac:dyDescent="0.25">
      <c r="A18" s="101" t="str">
        <f>'Data shares'!C13</f>
        <v>APLAPOLLO</v>
      </c>
      <c r="B18" s="50">
        <f>VLOOKUP($A18,'Data shares'!$C:$FB,7)</f>
        <v>1970</v>
      </c>
      <c r="C18" s="50">
        <f>VLOOKUP($A18,'Data shares'!$C:$FB,10)*100</f>
        <v>2.93</v>
      </c>
      <c r="D18" s="49">
        <f>VLOOKUP($A18,'Data shares'!$C:$FB,66)</f>
        <v>12068350</v>
      </c>
      <c r="E18" s="49">
        <f>VLOOKUP($A18,'Data shares'!$C:$FB,67)</f>
        <v>2722300</v>
      </c>
      <c r="F18" s="50">
        <f>VLOOKUP($A18,'Data shares'!$C:$FB,69)*100</f>
        <v>343.31</v>
      </c>
      <c r="G18" s="49">
        <f>VLOOKUP($A18,'Data shares'!$C:$FB,42)</f>
        <v>2883300</v>
      </c>
      <c r="H18" s="49">
        <f>VLOOKUP($A18,'Data shares'!$C:$FB,43)</f>
        <v>996100</v>
      </c>
      <c r="I18" s="50">
        <f>VLOOKUP($A18,'Data shares'!$C:$FB,45)*100</f>
        <v>189.46</v>
      </c>
      <c r="J18" s="49">
        <f>VLOOKUP($A18,'Data shares'!$C:$FB,58)</f>
        <v>7055650</v>
      </c>
      <c r="K18" s="49">
        <f>VLOOKUP($A18,'Data shares'!$C:$FB,59)</f>
        <v>1302350</v>
      </c>
      <c r="L18" s="50">
        <f>VLOOKUP($A18,'Data shares'!$C:$FB,61)*100</f>
        <v>441.76</v>
      </c>
      <c r="M18" s="49">
        <f>VLOOKUP($A18,'Data shares'!$C:$FB,62)</f>
        <v>2129400</v>
      </c>
      <c r="N18" s="49">
        <f>VLOOKUP($A18,'Data shares'!$C:$FB,63)</f>
        <v>423850</v>
      </c>
      <c r="O18" s="140">
        <f>VLOOKUP($A18,'Data shares'!$C:$FB,65)*100</f>
        <v>402.39000000000004</v>
      </c>
    </row>
    <row r="19" spans="1:15" x14ac:dyDescent="0.25">
      <c r="A19" s="101" t="str">
        <f>'Data shares'!C14</f>
        <v>APOLLOHOSP</v>
      </c>
      <c r="B19" s="50">
        <f>VLOOKUP($A19,'Data shares'!$C:$FB,7)</f>
        <v>7111.5</v>
      </c>
      <c r="C19" s="50">
        <f>VLOOKUP($A19,'Data shares'!$C:$FB,10)*100</f>
        <v>0.98</v>
      </c>
      <c r="D19" s="49">
        <f>VLOOKUP($A19,'Data shares'!$C:$FB,66)</f>
        <v>1872250</v>
      </c>
      <c r="E19" s="49">
        <f>VLOOKUP($A19,'Data shares'!$C:$FB,67)</f>
        <v>2342250</v>
      </c>
      <c r="F19" s="50">
        <f>VLOOKUP($A19,'Data shares'!$C:$FB,69)*100</f>
        <v>-20.07</v>
      </c>
      <c r="G19" s="49">
        <f>VLOOKUP($A19,'Data shares'!$C:$FB,42)</f>
        <v>196250</v>
      </c>
      <c r="H19" s="49">
        <f>VLOOKUP($A19,'Data shares'!$C:$FB,43)</f>
        <v>270250</v>
      </c>
      <c r="I19" s="50">
        <f>VLOOKUP($A19,'Data shares'!$C:$FB,45)*100</f>
        <v>-27.38</v>
      </c>
      <c r="J19" s="49">
        <f>VLOOKUP($A19,'Data shares'!$C:$FB,58)</f>
        <v>1073375</v>
      </c>
      <c r="K19" s="49">
        <f>VLOOKUP($A19,'Data shares'!$C:$FB,59)</f>
        <v>1531250</v>
      </c>
      <c r="L19" s="50">
        <f>VLOOKUP($A19,'Data shares'!$C:$FB,61)*100</f>
        <v>-29.9</v>
      </c>
      <c r="M19" s="49">
        <f>VLOOKUP($A19,'Data shares'!$C:$FB,62)</f>
        <v>602625</v>
      </c>
      <c r="N19" s="49">
        <f>VLOOKUP($A19,'Data shares'!$C:$FB,63)</f>
        <v>540750</v>
      </c>
      <c r="O19" s="140">
        <f>VLOOKUP($A19,'Data shares'!$C:$FB,65)*100</f>
        <v>11.44</v>
      </c>
    </row>
    <row r="20" spans="1:15" x14ac:dyDescent="0.25">
      <c r="A20" s="101" t="str">
        <f>'Data shares'!C15</f>
        <v>ASHOKLEY</v>
      </c>
      <c r="B20" s="50">
        <f>VLOOKUP($A20,'Data shares'!$C:$FB,7)</f>
        <v>184.88</v>
      </c>
      <c r="C20" s="50">
        <f>VLOOKUP($A20,'Data shares'!$C:$FB,10)*100</f>
        <v>3.18</v>
      </c>
      <c r="D20" s="49">
        <f>VLOOKUP($A20,'Data shares'!$C:$FB,66)</f>
        <v>364775000</v>
      </c>
      <c r="E20" s="49">
        <f>VLOOKUP($A20,'Data shares'!$C:$FB,67)</f>
        <v>111615000</v>
      </c>
      <c r="F20" s="50">
        <f>VLOOKUP($A20,'Data shares'!$C:$FB,69)*100</f>
        <v>226.82000000000002</v>
      </c>
      <c r="G20" s="49">
        <f>VLOOKUP($A20,'Data shares'!$C:$FB,42)</f>
        <v>40205000</v>
      </c>
      <c r="H20" s="49">
        <f>VLOOKUP($A20,'Data shares'!$C:$FB,43)</f>
        <v>21785000</v>
      </c>
      <c r="I20" s="50">
        <f>VLOOKUP($A20,'Data shares'!$C:$FB,45)*100</f>
        <v>84.55</v>
      </c>
      <c r="J20" s="49">
        <f>VLOOKUP($A20,'Data shares'!$C:$FB,58)</f>
        <v>261505000</v>
      </c>
      <c r="K20" s="49">
        <f>VLOOKUP($A20,'Data shares'!$C:$FB,59)</f>
        <v>67445000</v>
      </c>
      <c r="L20" s="50">
        <f>VLOOKUP($A20,'Data shares'!$C:$FB,61)*100</f>
        <v>287.73</v>
      </c>
      <c r="M20" s="49">
        <f>VLOOKUP($A20,'Data shares'!$C:$FB,62)</f>
        <v>63065000</v>
      </c>
      <c r="N20" s="49">
        <f>VLOOKUP($A20,'Data shares'!$C:$FB,63)</f>
        <v>22385000</v>
      </c>
      <c r="O20" s="140">
        <f>VLOOKUP($A20,'Data shares'!$C:$FB,65)*100</f>
        <v>181.73</v>
      </c>
    </row>
    <row r="21" spans="1:15" x14ac:dyDescent="0.25">
      <c r="A21" s="101" t="str">
        <f>'Data shares'!C16</f>
        <v>ASIANPAINT</v>
      </c>
      <c r="B21" s="50">
        <f>VLOOKUP($A21,'Data shares'!$C:$FB,7)</f>
        <v>2752</v>
      </c>
      <c r="C21" s="50">
        <f>VLOOKUP($A21,'Data shares'!$C:$FB,10)*100</f>
        <v>-0.63</v>
      </c>
      <c r="D21" s="49">
        <f>VLOOKUP($A21,'Data shares'!$C:$FB,66)</f>
        <v>4260750</v>
      </c>
      <c r="E21" s="49">
        <f>VLOOKUP($A21,'Data shares'!$C:$FB,67)</f>
        <v>8232000</v>
      </c>
      <c r="F21" s="50">
        <f>VLOOKUP($A21,'Data shares'!$C:$FB,69)*100</f>
        <v>-48.24</v>
      </c>
      <c r="G21" s="49">
        <f>VLOOKUP($A21,'Data shares'!$C:$FB,42)</f>
        <v>348750</v>
      </c>
      <c r="H21" s="49">
        <f>VLOOKUP($A21,'Data shares'!$C:$FB,43)</f>
        <v>1189500</v>
      </c>
      <c r="I21" s="50">
        <f>VLOOKUP($A21,'Data shares'!$C:$FB,45)*100</f>
        <v>-70.679999999999993</v>
      </c>
      <c r="J21" s="49">
        <f>VLOOKUP($A21,'Data shares'!$C:$FB,58)</f>
        <v>2409750</v>
      </c>
      <c r="K21" s="49">
        <f>VLOOKUP($A21,'Data shares'!$C:$FB,59)</f>
        <v>4373250</v>
      </c>
      <c r="L21" s="50">
        <f>VLOOKUP($A21,'Data shares'!$C:$FB,61)*100</f>
        <v>-44.9</v>
      </c>
      <c r="M21" s="49">
        <f>VLOOKUP($A21,'Data shares'!$C:$FB,62)</f>
        <v>1502250</v>
      </c>
      <c r="N21" s="49">
        <f>VLOOKUP($A21,'Data shares'!$C:$FB,63)</f>
        <v>2669250</v>
      </c>
      <c r="O21" s="140">
        <f>VLOOKUP($A21,'Data shares'!$C:$FB,65)*100</f>
        <v>-43.72</v>
      </c>
    </row>
    <row r="22" spans="1:15" x14ac:dyDescent="0.25">
      <c r="A22" s="101" t="str">
        <f>'Data shares'!C17</f>
        <v>ASTRAL</v>
      </c>
      <c r="B22" s="50">
        <f>VLOOKUP($A22,'Data shares'!$C:$FB,7)</f>
        <v>1434.9</v>
      </c>
      <c r="C22" s="50">
        <f>VLOOKUP($A22,'Data shares'!$C:$FB,10)*100</f>
        <v>3.34</v>
      </c>
      <c r="D22" s="49">
        <f>VLOOKUP($A22,'Data shares'!$C:$FB,66)</f>
        <v>10045725</v>
      </c>
      <c r="E22" s="49">
        <f>VLOOKUP($A22,'Data shares'!$C:$FB,67)</f>
        <v>5779575</v>
      </c>
      <c r="F22" s="50">
        <f>VLOOKUP($A22,'Data shares'!$C:$FB,69)*100</f>
        <v>73.81</v>
      </c>
      <c r="G22" s="49">
        <f>VLOOKUP($A22,'Data shares'!$C:$FB,42)</f>
        <v>2130525</v>
      </c>
      <c r="H22" s="49">
        <f>VLOOKUP($A22,'Data shares'!$C:$FB,43)</f>
        <v>1609050</v>
      </c>
      <c r="I22" s="50">
        <f>VLOOKUP($A22,'Data shares'!$C:$FB,45)*100</f>
        <v>32.409999999999997</v>
      </c>
      <c r="J22" s="49">
        <f>VLOOKUP($A22,'Data shares'!$C:$FB,58)</f>
        <v>5607450</v>
      </c>
      <c r="K22" s="49">
        <f>VLOOKUP($A22,'Data shares'!$C:$FB,59)</f>
        <v>2936325</v>
      </c>
      <c r="L22" s="50">
        <f>VLOOKUP($A22,'Data shares'!$C:$FB,61)*100</f>
        <v>90.97</v>
      </c>
      <c r="M22" s="49">
        <f>VLOOKUP($A22,'Data shares'!$C:$FB,62)</f>
        <v>2307750</v>
      </c>
      <c r="N22" s="49">
        <f>VLOOKUP($A22,'Data shares'!$C:$FB,63)</f>
        <v>1234200</v>
      </c>
      <c r="O22" s="140">
        <f>VLOOKUP($A22,'Data shares'!$C:$FB,65)*100</f>
        <v>86.98</v>
      </c>
    </row>
    <row r="23" spans="1:15" x14ac:dyDescent="0.25">
      <c r="A23" s="101" t="str">
        <f>'Data shares'!C18</f>
        <v>AUBANK</v>
      </c>
      <c r="B23" s="50">
        <f>VLOOKUP($A23,'Data shares'!$C:$FB,7)</f>
        <v>999.45</v>
      </c>
      <c r="C23" s="50">
        <f>VLOOKUP($A23,'Data shares'!$C:$FB,10)*100</f>
        <v>0.5</v>
      </c>
      <c r="D23" s="49">
        <f>VLOOKUP($A23,'Data shares'!$C:$FB,66)</f>
        <v>5837000</v>
      </c>
      <c r="E23" s="49">
        <f>VLOOKUP($A23,'Data shares'!$C:$FB,67)</f>
        <v>12277000</v>
      </c>
      <c r="F23" s="50">
        <f>VLOOKUP($A23,'Data shares'!$C:$FB,69)*100</f>
        <v>-52.459999999999994</v>
      </c>
      <c r="G23" s="49">
        <f>VLOOKUP($A23,'Data shares'!$C:$FB,42)</f>
        <v>1823000</v>
      </c>
      <c r="H23" s="49">
        <f>VLOOKUP($A23,'Data shares'!$C:$FB,43)</f>
        <v>3486000</v>
      </c>
      <c r="I23" s="50">
        <f>VLOOKUP($A23,'Data shares'!$C:$FB,45)*100</f>
        <v>-47.71</v>
      </c>
      <c r="J23" s="49">
        <f>VLOOKUP($A23,'Data shares'!$C:$FB,58)</f>
        <v>2720000</v>
      </c>
      <c r="K23" s="49">
        <f>VLOOKUP($A23,'Data shares'!$C:$FB,59)</f>
        <v>5668000</v>
      </c>
      <c r="L23" s="50">
        <f>VLOOKUP($A23,'Data shares'!$C:$FB,61)*100</f>
        <v>-52.01</v>
      </c>
      <c r="M23" s="49">
        <f>VLOOKUP($A23,'Data shares'!$C:$FB,62)</f>
        <v>1294000</v>
      </c>
      <c r="N23" s="49">
        <f>VLOOKUP($A23,'Data shares'!$C:$FB,63)</f>
        <v>3123000</v>
      </c>
      <c r="O23" s="140">
        <f>VLOOKUP($A23,'Data shares'!$C:$FB,65)*100</f>
        <v>-58.57</v>
      </c>
    </row>
    <row r="24" spans="1:15" x14ac:dyDescent="0.25">
      <c r="A24" s="101" t="str">
        <f>'Data shares'!C19</f>
        <v>AUROPHARMA</v>
      </c>
      <c r="B24" s="50">
        <f>VLOOKUP($A24,'Data shares'!$C:$FB,7)</f>
        <v>1193</v>
      </c>
      <c r="C24" s="50">
        <f>VLOOKUP($A24,'Data shares'!$C:$FB,10)*100</f>
        <v>0.85000000000000009</v>
      </c>
      <c r="D24" s="49">
        <f>VLOOKUP($A24,'Data shares'!$C:$FB,66)</f>
        <v>6114900</v>
      </c>
      <c r="E24" s="49">
        <f>VLOOKUP($A24,'Data shares'!$C:$FB,67)</f>
        <v>7237450</v>
      </c>
      <c r="F24" s="50">
        <f>VLOOKUP($A24,'Data shares'!$C:$FB,69)*100</f>
        <v>-15.509999999999998</v>
      </c>
      <c r="G24" s="49">
        <f>VLOOKUP($A24,'Data shares'!$C:$FB,42)</f>
        <v>1346950</v>
      </c>
      <c r="H24" s="49">
        <f>VLOOKUP($A24,'Data shares'!$C:$FB,43)</f>
        <v>2305600</v>
      </c>
      <c r="I24" s="50">
        <f>VLOOKUP($A24,'Data shares'!$C:$FB,45)*100</f>
        <v>-41.58</v>
      </c>
      <c r="J24" s="49">
        <f>VLOOKUP($A24,'Data shares'!$C:$FB,58)</f>
        <v>3464450</v>
      </c>
      <c r="K24" s="49">
        <f>VLOOKUP($A24,'Data shares'!$C:$FB,59)</f>
        <v>3165800</v>
      </c>
      <c r="L24" s="50">
        <f>VLOOKUP($A24,'Data shares'!$C:$FB,61)*100</f>
        <v>9.43</v>
      </c>
      <c r="M24" s="49">
        <f>VLOOKUP($A24,'Data shares'!$C:$FB,62)</f>
        <v>1303500</v>
      </c>
      <c r="N24" s="49">
        <f>VLOOKUP($A24,'Data shares'!$C:$FB,63)</f>
        <v>1766050</v>
      </c>
      <c r="O24" s="140">
        <f>VLOOKUP($A24,'Data shares'!$C:$FB,65)*100</f>
        <v>-26.19</v>
      </c>
    </row>
    <row r="25" spans="1:15" x14ac:dyDescent="0.25">
      <c r="A25" s="101" t="str">
        <f>'Data shares'!C20</f>
        <v>AXISBANK</v>
      </c>
      <c r="B25" s="50">
        <f>VLOOKUP($A25,'Data shares'!$C:$FB,7)</f>
        <v>1274.4000000000001</v>
      </c>
      <c r="C25" s="50">
        <f>VLOOKUP($A25,'Data shares'!$C:$FB,10)*100</f>
        <v>0.38999999999999996</v>
      </c>
      <c r="D25" s="49">
        <f>VLOOKUP($A25,'Data shares'!$C:$FB,66)</f>
        <v>23614375</v>
      </c>
      <c r="E25" s="49">
        <f>VLOOKUP($A25,'Data shares'!$C:$FB,67)</f>
        <v>50955625</v>
      </c>
      <c r="F25" s="50">
        <f>VLOOKUP($A25,'Data shares'!$C:$FB,69)*100</f>
        <v>-53.66</v>
      </c>
      <c r="G25" s="49">
        <f>VLOOKUP($A25,'Data shares'!$C:$FB,42)</f>
        <v>4293750</v>
      </c>
      <c r="H25" s="49">
        <f>VLOOKUP($A25,'Data shares'!$C:$FB,43)</f>
        <v>9586875</v>
      </c>
      <c r="I25" s="50">
        <f>VLOOKUP($A25,'Data shares'!$C:$FB,45)*100</f>
        <v>-55.21</v>
      </c>
      <c r="J25" s="49">
        <f>VLOOKUP($A25,'Data shares'!$C:$FB,58)</f>
        <v>10680000</v>
      </c>
      <c r="K25" s="49">
        <f>VLOOKUP($A25,'Data shares'!$C:$FB,59)</f>
        <v>25462500</v>
      </c>
      <c r="L25" s="50">
        <f>VLOOKUP($A25,'Data shares'!$C:$FB,61)*100</f>
        <v>-58.06</v>
      </c>
      <c r="M25" s="49">
        <f>VLOOKUP($A25,'Data shares'!$C:$FB,62)</f>
        <v>8640625</v>
      </c>
      <c r="N25" s="49">
        <f>VLOOKUP($A25,'Data shares'!$C:$FB,63)</f>
        <v>15906250</v>
      </c>
      <c r="O25" s="140">
        <f>VLOOKUP($A25,'Data shares'!$C:$FB,65)*100</f>
        <v>-45.68</v>
      </c>
    </row>
    <row r="26" spans="1:15" x14ac:dyDescent="0.25">
      <c r="A26" s="101" t="str">
        <f>'Data shares'!C21</f>
        <v>BAJAJ-AUTO</v>
      </c>
      <c r="B26" s="50">
        <f>VLOOKUP($A26,'Data shares'!$C:$FB,7)</f>
        <v>9558</v>
      </c>
      <c r="C26" s="50">
        <f>VLOOKUP($A26,'Data shares'!$C:$FB,10)*100</f>
        <v>2.2999999999999998</v>
      </c>
      <c r="D26" s="49">
        <f>VLOOKUP($A26,'Data shares'!$C:$FB,66)</f>
        <v>6875100</v>
      </c>
      <c r="E26" s="49">
        <f>VLOOKUP($A26,'Data shares'!$C:$FB,67)</f>
        <v>5355825</v>
      </c>
      <c r="F26" s="50">
        <f>VLOOKUP($A26,'Data shares'!$C:$FB,69)*100</f>
        <v>28.37</v>
      </c>
      <c r="G26" s="49">
        <f>VLOOKUP($A26,'Data shares'!$C:$FB,42)</f>
        <v>651900</v>
      </c>
      <c r="H26" s="49">
        <f>VLOOKUP($A26,'Data shares'!$C:$FB,43)</f>
        <v>567900</v>
      </c>
      <c r="I26" s="50">
        <f>VLOOKUP($A26,'Data shares'!$C:$FB,45)*100</f>
        <v>14.790000000000001</v>
      </c>
      <c r="J26" s="49">
        <f>VLOOKUP($A26,'Data shares'!$C:$FB,58)</f>
        <v>4542450</v>
      </c>
      <c r="K26" s="49">
        <f>VLOOKUP($A26,'Data shares'!$C:$FB,59)</f>
        <v>3551100</v>
      </c>
      <c r="L26" s="50">
        <f>VLOOKUP($A26,'Data shares'!$C:$FB,61)*100</f>
        <v>27.92</v>
      </c>
      <c r="M26" s="49">
        <f>VLOOKUP($A26,'Data shares'!$C:$FB,62)</f>
        <v>1680750</v>
      </c>
      <c r="N26" s="49">
        <f>VLOOKUP($A26,'Data shares'!$C:$FB,63)</f>
        <v>1236825</v>
      </c>
      <c r="O26" s="140">
        <f>VLOOKUP($A26,'Data shares'!$C:$FB,65)*100</f>
        <v>35.89</v>
      </c>
    </row>
    <row r="27" spans="1:15" x14ac:dyDescent="0.25">
      <c r="A27" s="101" t="str">
        <f>'Data shares'!C22</f>
        <v>BAJAJFINSV</v>
      </c>
      <c r="B27" s="50">
        <f>VLOOKUP($A27,'Data shares'!$C:$FB,7)</f>
        <v>2037</v>
      </c>
      <c r="C27" s="50">
        <f>VLOOKUP($A27,'Data shares'!$C:$FB,10)*100</f>
        <v>-0.13999999999999999</v>
      </c>
      <c r="D27" s="49">
        <f>VLOOKUP($A27,'Data shares'!$C:$FB,66)</f>
        <v>3476000</v>
      </c>
      <c r="E27" s="49">
        <f>VLOOKUP($A27,'Data shares'!$C:$FB,67)</f>
        <v>7206250</v>
      </c>
      <c r="F27" s="50">
        <f>VLOOKUP($A27,'Data shares'!$C:$FB,69)*100</f>
        <v>-51.76</v>
      </c>
      <c r="G27" s="49">
        <f>VLOOKUP($A27,'Data shares'!$C:$FB,42)</f>
        <v>574250</v>
      </c>
      <c r="H27" s="49">
        <f>VLOOKUP($A27,'Data shares'!$C:$FB,43)</f>
        <v>1336750</v>
      </c>
      <c r="I27" s="50">
        <f>VLOOKUP($A27,'Data shares'!$C:$FB,45)*100</f>
        <v>-57.04</v>
      </c>
      <c r="J27" s="49">
        <f>VLOOKUP($A27,'Data shares'!$C:$FB,58)</f>
        <v>1845250</v>
      </c>
      <c r="K27" s="49">
        <f>VLOOKUP($A27,'Data shares'!$C:$FB,59)</f>
        <v>3920750</v>
      </c>
      <c r="L27" s="50">
        <f>VLOOKUP($A27,'Data shares'!$C:$FB,61)*100</f>
        <v>-52.94</v>
      </c>
      <c r="M27" s="49">
        <f>VLOOKUP($A27,'Data shares'!$C:$FB,62)</f>
        <v>1056500</v>
      </c>
      <c r="N27" s="49">
        <f>VLOOKUP($A27,'Data shares'!$C:$FB,63)</f>
        <v>1948750</v>
      </c>
      <c r="O27" s="140">
        <f>VLOOKUP($A27,'Data shares'!$C:$FB,65)*100</f>
        <v>-45.79</v>
      </c>
    </row>
    <row r="28" spans="1:15" x14ac:dyDescent="0.25">
      <c r="A28" s="101" t="str">
        <f>'Data shares'!C23</f>
        <v>BAJAJHLDNG</v>
      </c>
      <c r="B28" s="50">
        <f>VLOOKUP($A28,'Data shares'!$C:$FB,7)</f>
        <v>11342</v>
      </c>
      <c r="C28" s="50">
        <f>VLOOKUP($A28,'Data shares'!$C:$FB,10)*100</f>
        <v>0.12</v>
      </c>
      <c r="D28" s="49">
        <f>VLOOKUP($A28,'Data shares'!$C:$FB,66)</f>
        <v>102750</v>
      </c>
      <c r="E28" s="49">
        <f>VLOOKUP($A28,'Data shares'!$C:$FB,67)</f>
        <v>251550</v>
      </c>
      <c r="F28" s="50">
        <f>VLOOKUP($A28,'Data shares'!$C:$FB,69)*100</f>
        <v>-59.150000000000006</v>
      </c>
      <c r="G28" s="49">
        <f>VLOOKUP($A28,'Data shares'!$C:$FB,42)</f>
        <v>30550</v>
      </c>
      <c r="H28" s="49">
        <f>VLOOKUP($A28,'Data shares'!$C:$FB,43)</f>
        <v>81300</v>
      </c>
      <c r="I28" s="50">
        <f>VLOOKUP($A28,'Data shares'!$C:$FB,45)*100</f>
        <v>-62.419999999999995</v>
      </c>
      <c r="J28" s="49">
        <f>VLOOKUP($A28,'Data shares'!$C:$FB,58)</f>
        <v>60750</v>
      </c>
      <c r="K28" s="49">
        <f>VLOOKUP($A28,'Data shares'!$C:$FB,59)</f>
        <v>160550</v>
      </c>
      <c r="L28" s="50">
        <f>VLOOKUP($A28,'Data shares'!$C:$FB,61)*100</f>
        <v>-62.160000000000004</v>
      </c>
      <c r="M28" s="49">
        <f>VLOOKUP($A28,'Data shares'!$C:$FB,62)</f>
        <v>11450</v>
      </c>
      <c r="N28" s="49">
        <f>VLOOKUP($A28,'Data shares'!$C:$FB,63)</f>
        <v>9700</v>
      </c>
      <c r="O28" s="140">
        <f>VLOOKUP($A28,'Data shares'!$C:$FB,65)*100</f>
        <v>18.04</v>
      </c>
    </row>
    <row r="29" spans="1:15" x14ac:dyDescent="0.25">
      <c r="A29" s="101" t="str">
        <f>'Data shares'!C24</f>
        <v>BAJFINANCE</v>
      </c>
      <c r="B29" s="50">
        <f>VLOOKUP($A29,'Data shares'!$C:$FB,7)</f>
        <v>973.1</v>
      </c>
      <c r="C29" s="50">
        <f>VLOOKUP($A29,'Data shares'!$C:$FB,10)*100</f>
        <v>-1.39</v>
      </c>
      <c r="D29" s="49">
        <f>VLOOKUP($A29,'Data shares'!$C:$FB,66)</f>
        <v>37766250</v>
      </c>
      <c r="E29" s="49">
        <f>VLOOKUP($A29,'Data shares'!$C:$FB,67)</f>
        <v>53538750</v>
      </c>
      <c r="F29" s="50">
        <f>VLOOKUP($A29,'Data shares'!$C:$FB,69)*100</f>
        <v>-29.459999999999997</v>
      </c>
      <c r="G29" s="49">
        <f>VLOOKUP($A29,'Data shares'!$C:$FB,42)</f>
        <v>8974500</v>
      </c>
      <c r="H29" s="49">
        <f>VLOOKUP($A29,'Data shares'!$C:$FB,43)</f>
        <v>10820250</v>
      </c>
      <c r="I29" s="50">
        <f>VLOOKUP($A29,'Data shares'!$C:$FB,45)*100</f>
        <v>-17.059999999999999</v>
      </c>
      <c r="J29" s="49">
        <f>VLOOKUP($A29,'Data shares'!$C:$FB,58)</f>
        <v>18373500</v>
      </c>
      <c r="K29" s="49">
        <f>VLOOKUP($A29,'Data shares'!$C:$FB,59)</f>
        <v>28841250</v>
      </c>
      <c r="L29" s="50">
        <f>VLOOKUP($A29,'Data shares'!$C:$FB,61)*100</f>
        <v>-36.29</v>
      </c>
      <c r="M29" s="49">
        <f>VLOOKUP($A29,'Data shares'!$C:$FB,62)</f>
        <v>10418250</v>
      </c>
      <c r="N29" s="49">
        <f>VLOOKUP($A29,'Data shares'!$C:$FB,63)</f>
        <v>13877250</v>
      </c>
      <c r="O29" s="140">
        <f>VLOOKUP($A29,'Data shares'!$C:$FB,65)*100</f>
        <v>-24.93</v>
      </c>
    </row>
    <row r="30" spans="1:15" x14ac:dyDescent="0.25">
      <c r="A30" s="101" t="str">
        <f>'Data shares'!C25</f>
        <v>BANDHANBNK</v>
      </c>
      <c r="B30" s="50">
        <f>VLOOKUP($A30,'Data shares'!$C:$FB,7)</f>
        <v>144.18</v>
      </c>
      <c r="C30" s="50">
        <f>VLOOKUP($A30,'Data shares'!$C:$FB,10)*100</f>
        <v>-1.1199999999999999</v>
      </c>
      <c r="D30" s="49">
        <f>VLOOKUP($A30,'Data shares'!$C:$FB,66)</f>
        <v>27399600</v>
      </c>
      <c r="E30" s="49">
        <f>VLOOKUP($A30,'Data shares'!$C:$FB,67)</f>
        <v>32414400</v>
      </c>
      <c r="F30" s="50">
        <f>VLOOKUP($A30,'Data shares'!$C:$FB,69)*100</f>
        <v>-15.47</v>
      </c>
      <c r="G30" s="49">
        <f>VLOOKUP($A30,'Data shares'!$C:$FB,42)</f>
        <v>8028000</v>
      </c>
      <c r="H30" s="49">
        <f>VLOOKUP($A30,'Data shares'!$C:$FB,43)</f>
        <v>10267200</v>
      </c>
      <c r="I30" s="50">
        <f>VLOOKUP($A30,'Data shares'!$C:$FB,45)*100</f>
        <v>-21.81</v>
      </c>
      <c r="J30" s="49">
        <f>VLOOKUP($A30,'Data shares'!$C:$FB,58)</f>
        <v>13636800</v>
      </c>
      <c r="K30" s="49">
        <f>VLOOKUP($A30,'Data shares'!$C:$FB,59)</f>
        <v>14817600</v>
      </c>
      <c r="L30" s="50">
        <f>VLOOKUP($A30,'Data shares'!$C:$FB,61)*100</f>
        <v>-7.9699999999999989</v>
      </c>
      <c r="M30" s="49">
        <f>VLOOKUP($A30,'Data shares'!$C:$FB,62)</f>
        <v>5734800</v>
      </c>
      <c r="N30" s="49">
        <f>VLOOKUP($A30,'Data shares'!$C:$FB,63)</f>
        <v>7329600</v>
      </c>
      <c r="O30" s="140">
        <f>VLOOKUP($A30,'Data shares'!$C:$FB,65)*100</f>
        <v>-21.759999999999998</v>
      </c>
    </row>
    <row r="31" spans="1:15" x14ac:dyDescent="0.25">
      <c r="A31" s="101" t="str">
        <f>'Data shares'!C26</f>
        <v>BANKBARODA</v>
      </c>
      <c r="B31" s="50">
        <f>VLOOKUP($A31,'Data shares'!$C:$FB,7)</f>
        <v>300.75</v>
      </c>
      <c r="C31" s="50">
        <f>VLOOKUP($A31,'Data shares'!$C:$FB,10)*100</f>
        <v>1.6400000000000001</v>
      </c>
      <c r="D31" s="49">
        <f>VLOOKUP($A31,'Data shares'!$C:$FB,66)</f>
        <v>120744000</v>
      </c>
      <c r="E31" s="49">
        <f>VLOOKUP($A31,'Data shares'!$C:$FB,67)</f>
        <v>105063075</v>
      </c>
      <c r="F31" s="50">
        <f>VLOOKUP($A31,'Data shares'!$C:$FB,69)*100</f>
        <v>14.93</v>
      </c>
      <c r="G31" s="49">
        <f>VLOOKUP($A31,'Data shares'!$C:$FB,42)</f>
        <v>18658575</v>
      </c>
      <c r="H31" s="49">
        <f>VLOOKUP($A31,'Data shares'!$C:$FB,43)</f>
        <v>23379525</v>
      </c>
      <c r="I31" s="50">
        <f>VLOOKUP($A31,'Data shares'!$C:$FB,45)*100</f>
        <v>-20.190000000000001</v>
      </c>
      <c r="J31" s="49">
        <f>VLOOKUP($A31,'Data shares'!$C:$FB,58)</f>
        <v>68722875</v>
      </c>
      <c r="K31" s="49">
        <f>VLOOKUP($A31,'Data shares'!$C:$FB,59)</f>
        <v>51193350</v>
      </c>
      <c r="L31" s="50">
        <f>VLOOKUP($A31,'Data shares'!$C:$FB,61)*100</f>
        <v>34.239999999999995</v>
      </c>
      <c r="M31" s="49">
        <f>VLOOKUP($A31,'Data shares'!$C:$FB,62)</f>
        <v>33362550</v>
      </c>
      <c r="N31" s="49">
        <f>VLOOKUP($A31,'Data shares'!$C:$FB,63)</f>
        <v>30490200</v>
      </c>
      <c r="O31" s="140">
        <f>VLOOKUP($A31,'Data shares'!$C:$FB,65)*100</f>
        <v>9.42</v>
      </c>
    </row>
    <row r="32" spans="1:15" x14ac:dyDescent="0.25">
      <c r="A32" s="101" t="str">
        <f>'Data shares'!C27</f>
        <v>BANKINDIA</v>
      </c>
      <c r="B32" s="50">
        <f>VLOOKUP($A32,'Data shares'!$C:$FB,7)</f>
        <v>146.99</v>
      </c>
      <c r="C32" s="50">
        <f>VLOOKUP($A32,'Data shares'!$C:$FB,10)*100</f>
        <v>2.1800000000000002</v>
      </c>
      <c r="D32" s="49">
        <f>VLOOKUP($A32,'Data shares'!$C:$FB,66)</f>
        <v>32448000</v>
      </c>
      <c r="E32" s="49">
        <f>VLOOKUP($A32,'Data shares'!$C:$FB,67)</f>
        <v>38079600</v>
      </c>
      <c r="F32" s="50">
        <f>VLOOKUP($A32,'Data shares'!$C:$FB,69)*100</f>
        <v>-14.790000000000001</v>
      </c>
      <c r="G32" s="49">
        <f>VLOOKUP($A32,'Data shares'!$C:$FB,42)</f>
        <v>10467600</v>
      </c>
      <c r="H32" s="49">
        <f>VLOOKUP($A32,'Data shares'!$C:$FB,43)</f>
        <v>14326000</v>
      </c>
      <c r="I32" s="50">
        <f>VLOOKUP($A32,'Data shares'!$C:$FB,45)*100</f>
        <v>-26.93</v>
      </c>
      <c r="J32" s="49">
        <f>VLOOKUP($A32,'Data shares'!$C:$FB,58)</f>
        <v>14201200</v>
      </c>
      <c r="K32" s="49">
        <f>VLOOKUP($A32,'Data shares'!$C:$FB,59)</f>
        <v>15953600</v>
      </c>
      <c r="L32" s="50">
        <f>VLOOKUP($A32,'Data shares'!$C:$FB,61)*100</f>
        <v>-10.979999999999999</v>
      </c>
      <c r="M32" s="49">
        <f>VLOOKUP($A32,'Data shares'!$C:$FB,62)</f>
        <v>7779200</v>
      </c>
      <c r="N32" s="49">
        <f>VLOOKUP($A32,'Data shares'!$C:$FB,63)</f>
        <v>7800000</v>
      </c>
      <c r="O32" s="140">
        <f>VLOOKUP($A32,'Data shares'!$C:$FB,65)*100</f>
        <v>-0.27</v>
      </c>
    </row>
    <row r="33" spans="1:15" x14ac:dyDescent="0.25">
      <c r="A33" s="101" t="str">
        <f>'Data shares'!C28</f>
        <v>BANKNIFTY</v>
      </c>
      <c r="B33" s="50">
        <f>VLOOKUP($A33,'Data shares'!$C:$FB,7)</f>
        <v>59711.55</v>
      </c>
      <c r="C33" s="50">
        <f>VLOOKUP($A33,'Data shares'!$C:$FB,10)*100</f>
        <v>0.22</v>
      </c>
      <c r="D33" s="49">
        <f>VLOOKUP($A33,'Data shares'!$C:$FB,66)</f>
        <v>32022390</v>
      </c>
      <c r="E33" s="49">
        <f>VLOOKUP($A33,'Data shares'!$C:$FB,67)</f>
        <v>60525180</v>
      </c>
      <c r="F33" s="50">
        <f>VLOOKUP($A33,'Data shares'!$C:$FB,69)*100</f>
        <v>-47.089999999999996</v>
      </c>
      <c r="G33" s="49">
        <f>VLOOKUP($A33,'Data shares'!$C:$FB,42)</f>
        <v>373710</v>
      </c>
      <c r="H33" s="49">
        <f>VLOOKUP($A33,'Data shares'!$C:$FB,43)</f>
        <v>933990</v>
      </c>
      <c r="I33" s="50">
        <f>VLOOKUP($A33,'Data shares'!$C:$FB,45)*100</f>
        <v>-59.99</v>
      </c>
      <c r="J33" s="49">
        <f>VLOOKUP($A33,'Data shares'!$C:$FB,58)</f>
        <v>16576080</v>
      </c>
      <c r="K33" s="49">
        <f>VLOOKUP($A33,'Data shares'!$C:$FB,59)</f>
        <v>31735950</v>
      </c>
      <c r="L33" s="50">
        <f>VLOOKUP($A33,'Data shares'!$C:$FB,61)*100</f>
        <v>-47.77</v>
      </c>
      <c r="M33" s="49">
        <f>VLOOKUP($A33,'Data shares'!$C:$FB,62)</f>
        <v>15072600</v>
      </c>
      <c r="N33" s="49">
        <f>VLOOKUP($A33,'Data shares'!$C:$FB,63)</f>
        <v>27855240</v>
      </c>
      <c r="O33" s="140">
        <f>VLOOKUP($A33,'Data shares'!$C:$FB,65)*100</f>
        <v>-45.89</v>
      </c>
    </row>
    <row r="34" spans="1:15" x14ac:dyDescent="0.25">
      <c r="A34" s="101" t="str">
        <f>'Data shares'!C29</f>
        <v>BDL</v>
      </c>
      <c r="B34" s="50">
        <f>VLOOKUP($A34,'Data shares'!$C:$FB,7)</f>
        <v>1481.5</v>
      </c>
      <c r="C34" s="50">
        <f>VLOOKUP($A34,'Data shares'!$C:$FB,10)*100</f>
        <v>1.02</v>
      </c>
      <c r="D34" s="49">
        <f>VLOOKUP($A34,'Data shares'!$C:$FB,66)</f>
        <v>5574800</v>
      </c>
      <c r="E34" s="49">
        <f>VLOOKUP($A34,'Data shares'!$C:$FB,67)</f>
        <v>5031950</v>
      </c>
      <c r="F34" s="50">
        <f>VLOOKUP($A34,'Data shares'!$C:$FB,69)*100</f>
        <v>10.79</v>
      </c>
      <c r="G34" s="49">
        <f>VLOOKUP($A34,'Data shares'!$C:$FB,42)</f>
        <v>934500</v>
      </c>
      <c r="H34" s="49">
        <f>VLOOKUP($A34,'Data shares'!$C:$FB,43)</f>
        <v>866600</v>
      </c>
      <c r="I34" s="50">
        <f>VLOOKUP($A34,'Data shares'!$C:$FB,45)*100</f>
        <v>7.84</v>
      </c>
      <c r="J34" s="49">
        <f>VLOOKUP($A34,'Data shares'!$C:$FB,58)</f>
        <v>2950150</v>
      </c>
      <c r="K34" s="49">
        <f>VLOOKUP($A34,'Data shares'!$C:$FB,59)</f>
        <v>2834650</v>
      </c>
      <c r="L34" s="50">
        <f>VLOOKUP($A34,'Data shares'!$C:$FB,61)*100</f>
        <v>4.07</v>
      </c>
      <c r="M34" s="49">
        <f>VLOOKUP($A34,'Data shares'!$C:$FB,62)</f>
        <v>1690150</v>
      </c>
      <c r="N34" s="49">
        <f>VLOOKUP($A34,'Data shares'!$C:$FB,63)</f>
        <v>1330700</v>
      </c>
      <c r="O34" s="140">
        <f>VLOOKUP($A34,'Data shares'!$C:$FB,65)*100</f>
        <v>27.01</v>
      </c>
    </row>
    <row r="35" spans="1:15" x14ac:dyDescent="0.25">
      <c r="A35" s="101" t="str">
        <f>'Data shares'!C30</f>
        <v>BEL</v>
      </c>
      <c r="B35" s="50">
        <f>VLOOKUP($A35,'Data shares'!$C:$FB,7)</f>
        <v>397.7</v>
      </c>
      <c r="C35" s="50">
        <f>VLOOKUP($A35,'Data shares'!$C:$FB,10)*100</f>
        <v>-0.48</v>
      </c>
      <c r="D35" s="49">
        <f>VLOOKUP($A35,'Data shares'!$C:$FB,66)</f>
        <v>55290000</v>
      </c>
      <c r="E35" s="49">
        <f>VLOOKUP($A35,'Data shares'!$C:$FB,67)</f>
        <v>87683100</v>
      </c>
      <c r="F35" s="50">
        <f>VLOOKUP($A35,'Data shares'!$C:$FB,69)*100</f>
        <v>-36.94</v>
      </c>
      <c r="G35" s="49">
        <f>VLOOKUP($A35,'Data shares'!$C:$FB,42)</f>
        <v>8403225</v>
      </c>
      <c r="H35" s="49">
        <f>VLOOKUP($A35,'Data shares'!$C:$FB,43)</f>
        <v>13043025</v>
      </c>
      <c r="I35" s="50">
        <f>VLOOKUP($A35,'Data shares'!$C:$FB,45)*100</f>
        <v>-35.57</v>
      </c>
      <c r="J35" s="49">
        <f>VLOOKUP($A35,'Data shares'!$C:$FB,58)</f>
        <v>32844825</v>
      </c>
      <c r="K35" s="49">
        <f>VLOOKUP($A35,'Data shares'!$C:$FB,59)</f>
        <v>52508400</v>
      </c>
      <c r="L35" s="50">
        <f>VLOOKUP($A35,'Data shares'!$C:$FB,61)*100</f>
        <v>-37.450000000000003</v>
      </c>
      <c r="M35" s="49">
        <f>VLOOKUP($A35,'Data shares'!$C:$FB,62)</f>
        <v>14041950</v>
      </c>
      <c r="N35" s="49">
        <f>VLOOKUP($A35,'Data shares'!$C:$FB,63)</f>
        <v>22131675</v>
      </c>
      <c r="O35" s="140">
        <f>VLOOKUP($A35,'Data shares'!$C:$FB,65)*100</f>
        <v>-36.549999999999997</v>
      </c>
    </row>
    <row r="36" spans="1:15" x14ac:dyDescent="0.25">
      <c r="A36" s="101" t="str">
        <f>'Data shares'!C31</f>
        <v>BHARATFORG</v>
      </c>
      <c r="B36" s="50">
        <f>VLOOKUP($A36,'Data shares'!$C:$FB,7)</f>
        <v>1464.4</v>
      </c>
      <c r="C36" s="50">
        <f>VLOOKUP($A36,'Data shares'!$C:$FB,10)*100</f>
        <v>-0.41000000000000003</v>
      </c>
      <c r="D36" s="49">
        <f>VLOOKUP($A36,'Data shares'!$C:$FB,66)</f>
        <v>6094500</v>
      </c>
      <c r="E36" s="49">
        <f>VLOOKUP($A36,'Data shares'!$C:$FB,67)</f>
        <v>18629500</v>
      </c>
      <c r="F36" s="50">
        <f>VLOOKUP($A36,'Data shares'!$C:$FB,69)*100</f>
        <v>-67.290000000000006</v>
      </c>
      <c r="G36" s="49">
        <f>VLOOKUP($A36,'Data shares'!$C:$FB,42)</f>
        <v>1208000</v>
      </c>
      <c r="H36" s="49">
        <f>VLOOKUP($A36,'Data shares'!$C:$FB,43)</f>
        <v>2814000</v>
      </c>
      <c r="I36" s="50">
        <f>VLOOKUP($A36,'Data shares'!$C:$FB,45)*100</f>
        <v>-57.07</v>
      </c>
      <c r="J36" s="49">
        <f>VLOOKUP($A36,'Data shares'!$C:$FB,58)</f>
        <v>3305500</v>
      </c>
      <c r="K36" s="49">
        <f>VLOOKUP($A36,'Data shares'!$C:$FB,59)</f>
        <v>12784000</v>
      </c>
      <c r="L36" s="50">
        <f>VLOOKUP($A36,'Data shares'!$C:$FB,61)*100</f>
        <v>-74.14</v>
      </c>
      <c r="M36" s="49">
        <f>VLOOKUP($A36,'Data shares'!$C:$FB,62)</f>
        <v>1581000</v>
      </c>
      <c r="N36" s="49">
        <f>VLOOKUP($A36,'Data shares'!$C:$FB,63)</f>
        <v>3031500</v>
      </c>
      <c r="O36" s="140">
        <f>VLOOKUP($A36,'Data shares'!$C:$FB,65)*100</f>
        <v>-47.85</v>
      </c>
    </row>
    <row r="37" spans="1:15" x14ac:dyDescent="0.25">
      <c r="A37" s="101" t="str">
        <f>'Data shares'!C32</f>
        <v>BHARTIARTL</v>
      </c>
      <c r="B37" s="50">
        <f>VLOOKUP($A37,'Data shares'!$C:$FB,7)</f>
        <v>2110.4</v>
      </c>
      <c r="C37" s="50">
        <f>VLOOKUP($A37,'Data shares'!$C:$FB,10)*100</f>
        <v>0.22999999999999998</v>
      </c>
      <c r="D37" s="49">
        <f>VLOOKUP($A37,'Data shares'!$C:$FB,66)</f>
        <v>16394625</v>
      </c>
      <c r="E37" s="49">
        <f>VLOOKUP($A37,'Data shares'!$C:$FB,67)</f>
        <v>31395125</v>
      </c>
      <c r="F37" s="50">
        <f>VLOOKUP($A37,'Data shares'!$C:$FB,69)*100</f>
        <v>-47.78</v>
      </c>
      <c r="G37" s="49">
        <f>VLOOKUP($A37,'Data shares'!$C:$FB,42)</f>
        <v>2428200</v>
      </c>
      <c r="H37" s="49">
        <f>VLOOKUP($A37,'Data shares'!$C:$FB,43)</f>
        <v>4152925</v>
      </c>
      <c r="I37" s="50">
        <f>VLOOKUP($A37,'Data shares'!$C:$FB,45)*100</f>
        <v>-41.53</v>
      </c>
      <c r="J37" s="49">
        <f>VLOOKUP($A37,'Data shares'!$C:$FB,58)</f>
        <v>9527550</v>
      </c>
      <c r="K37" s="49">
        <f>VLOOKUP($A37,'Data shares'!$C:$FB,59)</f>
        <v>18179675</v>
      </c>
      <c r="L37" s="50">
        <f>VLOOKUP($A37,'Data shares'!$C:$FB,61)*100</f>
        <v>-47.589999999999996</v>
      </c>
      <c r="M37" s="49">
        <f>VLOOKUP($A37,'Data shares'!$C:$FB,62)</f>
        <v>4438875</v>
      </c>
      <c r="N37" s="49">
        <f>VLOOKUP($A37,'Data shares'!$C:$FB,63)</f>
        <v>9062525</v>
      </c>
      <c r="O37" s="140">
        <f>VLOOKUP($A37,'Data shares'!$C:$FB,65)*100</f>
        <v>-51.019999999999996</v>
      </c>
    </row>
    <row r="38" spans="1:15" x14ac:dyDescent="0.25">
      <c r="A38" s="101" t="str">
        <f>'Data shares'!C33</f>
        <v>BHEL</v>
      </c>
      <c r="B38" s="50">
        <f>VLOOKUP($A38,'Data shares'!$C:$FB,7)</f>
        <v>291.45</v>
      </c>
      <c r="C38" s="50">
        <f>VLOOKUP($A38,'Data shares'!$C:$FB,10)*100</f>
        <v>1.39</v>
      </c>
      <c r="D38" s="49">
        <f>VLOOKUP($A38,'Data shares'!$C:$FB,66)</f>
        <v>90050625</v>
      </c>
      <c r="E38" s="49">
        <f>VLOOKUP($A38,'Data shares'!$C:$FB,67)</f>
        <v>115857000</v>
      </c>
      <c r="F38" s="50">
        <f>VLOOKUP($A38,'Data shares'!$C:$FB,69)*100</f>
        <v>-22.27</v>
      </c>
      <c r="G38" s="49">
        <f>VLOOKUP($A38,'Data shares'!$C:$FB,42)</f>
        <v>16101750</v>
      </c>
      <c r="H38" s="49">
        <f>VLOOKUP($A38,'Data shares'!$C:$FB,43)</f>
        <v>25108125</v>
      </c>
      <c r="I38" s="50">
        <f>VLOOKUP($A38,'Data shares'!$C:$FB,45)*100</f>
        <v>-35.870000000000005</v>
      </c>
      <c r="J38" s="49">
        <f>VLOOKUP($A38,'Data shares'!$C:$FB,58)</f>
        <v>56823375</v>
      </c>
      <c r="K38" s="49">
        <f>VLOOKUP($A38,'Data shares'!$C:$FB,59)</f>
        <v>66774750</v>
      </c>
      <c r="L38" s="50">
        <f>VLOOKUP($A38,'Data shares'!$C:$FB,61)*100</f>
        <v>-14.899999999999999</v>
      </c>
      <c r="M38" s="49">
        <f>VLOOKUP($A38,'Data shares'!$C:$FB,62)</f>
        <v>17125500</v>
      </c>
      <c r="N38" s="49">
        <f>VLOOKUP($A38,'Data shares'!$C:$FB,63)</f>
        <v>23974125</v>
      </c>
      <c r="O38" s="140">
        <f>VLOOKUP($A38,'Data shares'!$C:$FB,65)*100</f>
        <v>-28.57</v>
      </c>
    </row>
    <row r="39" spans="1:15" x14ac:dyDescent="0.25">
      <c r="A39" s="101" t="str">
        <f>'Data shares'!C34</f>
        <v>BIOCON</v>
      </c>
      <c r="B39" s="50">
        <f>VLOOKUP($A39,'Data shares'!$C:$FB,7)</f>
        <v>387.75</v>
      </c>
      <c r="C39" s="50">
        <f>VLOOKUP($A39,'Data shares'!$C:$FB,10)*100</f>
        <v>-1.5599999999999998</v>
      </c>
      <c r="D39" s="49">
        <f>VLOOKUP($A39,'Data shares'!$C:$FB,66)</f>
        <v>20385000</v>
      </c>
      <c r="E39" s="49">
        <f>VLOOKUP($A39,'Data shares'!$C:$FB,67)</f>
        <v>21180000</v>
      </c>
      <c r="F39" s="50">
        <f>VLOOKUP($A39,'Data shares'!$C:$FB,69)*100</f>
        <v>-3.75</v>
      </c>
      <c r="G39" s="49">
        <f>VLOOKUP($A39,'Data shares'!$C:$FB,42)</f>
        <v>4322500</v>
      </c>
      <c r="H39" s="49">
        <f>VLOOKUP($A39,'Data shares'!$C:$FB,43)</f>
        <v>3895000</v>
      </c>
      <c r="I39" s="50">
        <f>VLOOKUP($A39,'Data shares'!$C:$FB,45)*100</f>
        <v>10.979999999999999</v>
      </c>
      <c r="J39" s="49">
        <f>VLOOKUP($A39,'Data shares'!$C:$FB,58)</f>
        <v>10410000</v>
      </c>
      <c r="K39" s="49">
        <f>VLOOKUP($A39,'Data shares'!$C:$FB,59)</f>
        <v>11655000</v>
      </c>
      <c r="L39" s="50">
        <f>VLOOKUP($A39,'Data shares'!$C:$FB,61)*100</f>
        <v>-10.68</v>
      </c>
      <c r="M39" s="49">
        <f>VLOOKUP($A39,'Data shares'!$C:$FB,62)</f>
        <v>5652500</v>
      </c>
      <c r="N39" s="49">
        <f>VLOOKUP($A39,'Data shares'!$C:$FB,63)</f>
        <v>5630000</v>
      </c>
      <c r="O39" s="140">
        <f>VLOOKUP($A39,'Data shares'!$C:$FB,65)*100</f>
        <v>0.4</v>
      </c>
    </row>
    <row r="40" spans="1:15" x14ac:dyDescent="0.25">
      <c r="A40" s="101" t="str">
        <f>'Data shares'!C35</f>
        <v>BLUESTARCO</v>
      </c>
      <c r="B40" s="50">
        <f>VLOOKUP($A40,'Data shares'!$C:$FB,7)</f>
        <v>1772.2</v>
      </c>
      <c r="C40" s="50">
        <f>VLOOKUP($A40,'Data shares'!$C:$FB,10)*100</f>
        <v>2.4</v>
      </c>
      <c r="D40" s="49">
        <f>VLOOKUP($A40,'Data shares'!$C:$FB,66)</f>
        <v>1791075</v>
      </c>
      <c r="E40" s="49">
        <f>VLOOKUP($A40,'Data shares'!$C:$FB,67)</f>
        <v>1265875</v>
      </c>
      <c r="F40" s="50">
        <f>VLOOKUP($A40,'Data shares'!$C:$FB,69)*100</f>
        <v>41.49</v>
      </c>
      <c r="G40" s="49">
        <f>VLOOKUP($A40,'Data shares'!$C:$FB,42)</f>
        <v>450450</v>
      </c>
      <c r="H40" s="49">
        <f>VLOOKUP($A40,'Data shares'!$C:$FB,43)</f>
        <v>520325</v>
      </c>
      <c r="I40" s="50">
        <f>VLOOKUP($A40,'Data shares'!$C:$FB,45)*100</f>
        <v>-13.43</v>
      </c>
      <c r="J40" s="49">
        <f>VLOOKUP($A40,'Data shares'!$C:$FB,58)</f>
        <v>998400</v>
      </c>
      <c r="K40" s="49">
        <f>VLOOKUP($A40,'Data shares'!$C:$FB,59)</f>
        <v>531375</v>
      </c>
      <c r="L40" s="50">
        <f>VLOOKUP($A40,'Data shares'!$C:$FB,61)*100</f>
        <v>87.89</v>
      </c>
      <c r="M40" s="49">
        <f>VLOOKUP($A40,'Data shares'!$C:$FB,62)</f>
        <v>342225</v>
      </c>
      <c r="N40" s="49">
        <f>VLOOKUP($A40,'Data shares'!$C:$FB,63)</f>
        <v>214175</v>
      </c>
      <c r="O40" s="140">
        <f>VLOOKUP($A40,'Data shares'!$C:$FB,65)*100</f>
        <v>59.79</v>
      </c>
    </row>
    <row r="41" spans="1:15" x14ac:dyDescent="0.25">
      <c r="A41" s="101" t="str">
        <f>'Data shares'!C36</f>
        <v>BOSCHLTD</v>
      </c>
      <c r="B41" s="50">
        <f>VLOOKUP($A41,'Data shares'!$C:$FB,7)</f>
        <v>36140</v>
      </c>
      <c r="C41" s="50">
        <f>VLOOKUP($A41,'Data shares'!$C:$FB,10)*100</f>
        <v>0.27999999999999997</v>
      </c>
      <c r="D41" s="49">
        <f>VLOOKUP($A41,'Data shares'!$C:$FB,66)</f>
        <v>72625</v>
      </c>
      <c r="E41" s="49">
        <f>VLOOKUP($A41,'Data shares'!$C:$FB,67)</f>
        <v>159225</v>
      </c>
      <c r="F41" s="50">
        <f>VLOOKUP($A41,'Data shares'!$C:$FB,69)*100</f>
        <v>-54.390000000000008</v>
      </c>
      <c r="G41" s="49">
        <f>VLOOKUP($A41,'Data shares'!$C:$FB,42)</f>
        <v>10875</v>
      </c>
      <c r="H41" s="49">
        <f>VLOOKUP($A41,'Data shares'!$C:$FB,43)</f>
        <v>27300</v>
      </c>
      <c r="I41" s="50">
        <f>VLOOKUP($A41,'Data shares'!$C:$FB,45)*100</f>
        <v>-60.160000000000004</v>
      </c>
      <c r="J41" s="49">
        <f>VLOOKUP($A41,'Data shares'!$C:$FB,58)</f>
        <v>24025</v>
      </c>
      <c r="K41" s="49">
        <f>VLOOKUP($A41,'Data shares'!$C:$FB,59)</f>
        <v>89900</v>
      </c>
      <c r="L41" s="50">
        <f>VLOOKUP($A41,'Data shares'!$C:$FB,61)*100</f>
        <v>-73.28</v>
      </c>
      <c r="M41" s="49">
        <f>VLOOKUP($A41,'Data shares'!$C:$FB,62)</f>
        <v>37725</v>
      </c>
      <c r="N41" s="49">
        <f>VLOOKUP($A41,'Data shares'!$C:$FB,63)</f>
        <v>42025</v>
      </c>
      <c r="O41" s="140">
        <f>VLOOKUP($A41,'Data shares'!$C:$FB,65)*100</f>
        <v>-10.23</v>
      </c>
    </row>
    <row r="42" spans="1:15" x14ac:dyDescent="0.25">
      <c r="A42" s="101" t="str">
        <f>'Data shares'!C37</f>
        <v>BPCL</v>
      </c>
      <c r="B42" s="50">
        <f>VLOOKUP($A42,'Data shares'!$C:$FB,7)</f>
        <v>381.5</v>
      </c>
      <c r="C42" s="50">
        <f>VLOOKUP($A42,'Data shares'!$C:$FB,10)*100</f>
        <v>-0.65</v>
      </c>
      <c r="D42" s="49">
        <f>VLOOKUP($A42,'Data shares'!$C:$FB,66)</f>
        <v>38326850</v>
      </c>
      <c r="E42" s="49">
        <f>VLOOKUP($A42,'Data shares'!$C:$FB,67)</f>
        <v>73734650</v>
      </c>
      <c r="F42" s="50">
        <f>VLOOKUP($A42,'Data shares'!$C:$FB,69)*100</f>
        <v>-48.02</v>
      </c>
      <c r="G42" s="49">
        <f>VLOOKUP($A42,'Data shares'!$C:$FB,42)</f>
        <v>6436525</v>
      </c>
      <c r="H42" s="49">
        <f>VLOOKUP($A42,'Data shares'!$C:$FB,43)</f>
        <v>12641975</v>
      </c>
      <c r="I42" s="50">
        <f>VLOOKUP($A42,'Data shares'!$C:$FB,45)*100</f>
        <v>-49.09</v>
      </c>
      <c r="J42" s="49">
        <f>VLOOKUP($A42,'Data shares'!$C:$FB,58)</f>
        <v>21420850</v>
      </c>
      <c r="K42" s="49">
        <f>VLOOKUP($A42,'Data shares'!$C:$FB,59)</f>
        <v>45112950</v>
      </c>
      <c r="L42" s="50">
        <f>VLOOKUP($A42,'Data shares'!$C:$FB,61)*100</f>
        <v>-52.52</v>
      </c>
      <c r="M42" s="49">
        <f>VLOOKUP($A42,'Data shares'!$C:$FB,62)</f>
        <v>10469475</v>
      </c>
      <c r="N42" s="49">
        <f>VLOOKUP($A42,'Data shares'!$C:$FB,63)</f>
        <v>15979725</v>
      </c>
      <c r="O42" s="140">
        <f>VLOOKUP($A42,'Data shares'!$C:$FB,65)*100</f>
        <v>-34.479999999999997</v>
      </c>
    </row>
    <row r="43" spans="1:15" x14ac:dyDescent="0.25">
      <c r="A43" s="101" t="str">
        <f>'Data shares'!C38</f>
        <v>BRITANNIA</v>
      </c>
      <c r="B43" s="50">
        <f>VLOOKUP($A43,'Data shares'!$C:$FB,7)</f>
        <v>6009.5</v>
      </c>
      <c r="C43" s="50">
        <f>VLOOKUP($A43,'Data shares'!$C:$FB,10)*100</f>
        <v>-0.36</v>
      </c>
      <c r="D43" s="49">
        <f>VLOOKUP($A43,'Data shares'!$C:$FB,66)</f>
        <v>933125</v>
      </c>
      <c r="E43" s="49">
        <f>VLOOKUP($A43,'Data shares'!$C:$FB,67)</f>
        <v>848000</v>
      </c>
      <c r="F43" s="50">
        <f>VLOOKUP($A43,'Data shares'!$C:$FB,69)*100</f>
        <v>10.040000000000001</v>
      </c>
      <c r="G43" s="49">
        <f>VLOOKUP($A43,'Data shares'!$C:$FB,42)</f>
        <v>181125</v>
      </c>
      <c r="H43" s="49">
        <f>VLOOKUP($A43,'Data shares'!$C:$FB,43)</f>
        <v>217625</v>
      </c>
      <c r="I43" s="50">
        <f>VLOOKUP($A43,'Data shares'!$C:$FB,45)*100</f>
        <v>-16.77</v>
      </c>
      <c r="J43" s="49">
        <f>VLOOKUP($A43,'Data shares'!$C:$FB,58)</f>
        <v>517250</v>
      </c>
      <c r="K43" s="49">
        <f>VLOOKUP($A43,'Data shares'!$C:$FB,59)</f>
        <v>457625</v>
      </c>
      <c r="L43" s="50">
        <f>VLOOKUP($A43,'Data shares'!$C:$FB,61)*100</f>
        <v>13.03</v>
      </c>
      <c r="M43" s="49">
        <f>VLOOKUP($A43,'Data shares'!$C:$FB,62)</f>
        <v>234750</v>
      </c>
      <c r="N43" s="49">
        <f>VLOOKUP($A43,'Data shares'!$C:$FB,63)</f>
        <v>172750</v>
      </c>
      <c r="O43" s="140">
        <f>VLOOKUP($A43,'Data shares'!$C:$FB,65)*100</f>
        <v>35.89</v>
      </c>
    </row>
    <row r="44" spans="1:15" x14ac:dyDescent="0.25">
      <c r="A44" s="101" t="str">
        <f>'Data shares'!C39</f>
        <v>BSE</v>
      </c>
      <c r="B44" s="50">
        <f>VLOOKUP($A44,'Data shares'!$C:$FB,7)</f>
        <v>2628</v>
      </c>
      <c r="C44" s="50">
        <f>VLOOKUP($A44,'Data shares'!$C:$FB,10)*100</f>
        <v>-0.16</v>
      </c>
      <c r="D44" s="49">
        <f>VLOOKUP($A44,'Data shares'!$C:$FB,66)</f>
        <v>10023375</v>
      </c>
      <c r="E44" s="49">
        <f>VLOOKUP($A44,'Data shares'!$C:$FB,67)</f>
        <v>17170125</v>
      </c>
      <c r="F44" s="50">
        <f>VLOOKUP($A44,'Data shares'!$C:$FB,69)*100</f>
        <v>-41.620000000000005</v>
      </c>
      <c r="G44" s="49">
        <f>VLOOKUP($A44,'Data shares'!$C:$FB,42)</f>
        <v>1507875</v>
      </c>
      <c r="H44" s="49">
        <f>VLOOKUP($A44,'Data shares'!$C:$FB,43)</f>
        <v>2216250</v>
      </c>
      <c r="I44" s="50">
        <f>VLOOKUP($A44,'Data shares'!$C:$FB,45)*100</f>
        <v>-31.96</v>
      </c>
      <c r="J44" s="49">
        <f>VLOOKUP($A44,'Data shares'!$C:$FB,58)</f>
        <v>5171250</v>
      </c>
      <c r="K44" s="49">
        <f>VLOOKUP($A44,'Data shares'!$C:$FB,59)</f>
        <v>10163625</v>
      </c>
      <c r="L44" s="50">
        <f>VLOOKUP($A44,'Data shares'!$C:$FB,61)*100</f>
        <v>-49.120000000000005</v>
      </c>
      <c r="M44" s="49">
        <f>VLOOKUP($A44,'Data shares'!$C:$FB,62)</f>
        <v>3344250</v>
      </c>
      <c r="N44" s="49">
        <f>VLOOKUP($A44,'Data shares'!$C:$FB,63)</f>
        <v>4790250</v>
      </c>
      <c r="O44" s="140">
        <f>VLOOKUP($A44,'Data shares'!$C:$FB,65)*100</f>
        <v>-30.19</v>
      </c>
    </row>
    <row r="45" spans="1:15" x14ac:dyDescent="0.25">
      <c r="A45" s="101" t="str">
        <f>'Data shares'!C40</f>
        <v>CAMS</v>
      </c>
      <c r="B45" s="50">
        <f>VLOOKUP($A45,'Data shares'!$C:$FB,7)</f>
        <v>735.1</v>
      </c>
      <c r="C45" s="50">
        <f>VLOOKUP($A45,'Data shares'!$C:$FB,10)*100</f>
        <v>-0.77999999999999992</v>
      </c>
      <c r="D45" s="49">
        <f>VLOOKUP($A45,'Data shares'!$C:$FB,66)</f>
        <v>2118000</v>
      </c>
      <c r="E45" s="49">
        <f>VLOOKUP($A45,'Data shares'!$C:$FB,67)</f>
        <v>3634500</v>
      </c>
      <c r="F45" s="50">
        <f>VLOOKUP($A45,'Data shares'!$C:$FB,69)*100</f>
        <v>-41.730000000000004</v>
      </c>
      <c r="G45" s="49">
        <f>VLOOKUP($A45,'Data shares'!$C:$FB,42)</f>
        <v>792000</v>
      </c>
      <c r="H45" s="49">
        <f>VLOOKUP($A45,'Data shares'!$C:$FB,43)</f>
        <v>1209000</v>
      </c>
      <c r="I45" s="50">
        <f>VLOOKUP($A45,'Data shares'!$C:$FB,45)*100</f>
        <v>-34.489999999999995</v>
      </c>
      <c r="J45" s="49">
        <f>VLOOKUP($A45,'Data shares'!$C:$FB,58)</f>
        <v>891000</v>
      </c>
      <c r="K45" s="49">
        <f>VLOOKUP($A45,'Data shares'!$C:$FB,59)</f>
        <v>1605750</v>
      </c>
      <c r="L45" s="50">
        <f>VLOOKUP($A45,'Data shares'!$C:$FB,61)*100</f>
        <v>-44.51</v>
      </c>
      <c r="M45" s="49">
        <f>VLOOKUP($A45,'Data shares'!$C:$FB,62)</f>
        <v>435000</v>
      </c>
      <c r="N45" s="49">
        <f>VLOOKUP($A45,'Data shares'!$C:$FB,63)</f>
        <v>819750</v>
      </c>
      <c r="O45" s="140">
        <f>VLOOKUP($A45,'Data shares'!$C:$FB,65)*100</f>
        <v>-46.94</v>
      </c>
    </row>
    <row r="46" spans="1:15" x14ac:dyDescent="0.25">
      <c r="A46" s="101" t="str">
        <f>'Data shares'!C41</f>
        <v>CANBK</v>
      </c>
      <c r="B46" s="50">
        <f>VLOOKUP($A46,'Data shares'!$C:$FB,7)</f>
        <v>154.24</v>
      </c>
      <c r="C46" s="50">
        <f>VLOOKUP($A46,'Data shares'!$C:$FB,10)*100</f>
        <v>-0.43</v>
      </c>
      <c r="D46" s="49">
        <f>VLOOKUP($A46,'Data shares'!$C:$FB,66)</f>
        <v>160400250</v>
      </c>
      <c r="E46" s="49">
        <f>VLOOKUP($A46,'Data shares'!$C:$FB,67)</f>
        <v>317121750</v>
      </c>
      <c r="F46" s="50">
        <f>VLOOKUP($A46,'Data shares'!$C:$FB,69)*100</f>
        <v>-49.419999999999995</v>
      </c>
      <c r="G46" s="49">
        <f>VLOOKUP($A46,'Data shares'!$C:$FB,42)</f>
        <v>42545250</v>
      </c>
      <c r="H46" s="49">
        <f>VLOOKUP($A46,'Data shares'!$C:$FB,43)</f>
        <v>66757500</v>
      </c>
      <c r="I46" s="50">
        <f>VLOOKUP($A46,'Data shares'!$C:$FB,45)*100</f>
        <v>-36.270000000000003</v>
      </c>
      <c r="J46" s="49">
        <f>VLOOKUP($A46,'Data shares'!$C:$FB,58)</f>
        <v>76234500</v>
      </c>
      <c r="K46" s="49">
        <f>VLOOKUP($A46,'Data shares'!$C:$FB,59)</f>
        <v>163390500</v>
      </c>
      <c r="L46" s="50">
        <f>VLOOKUP($A46,'Data shares'!$C:$FB,61)*100</f>
        <v>-53.339999999999996</v>
      </c>
      <c r="M46" s="49">
        <f>VLOOKUP($A46,'Data shares'!$C:$FB,62)</f>
        <v>41620500</v>
      </c>
      <c r="N46" s="49">
        <f>VLOOKUP($A46,'Data shares'!$C:$FB,63)</f>
        <v>86973750</v>
      </c>
      <c r="O46" s="140">
        <f>VLOOKUP($A46,'Data shares'!$C:$FB,65)*100</f>
        <v>-52.15</v>
      </c>
    </row>
    <row r="47" spans="1:15" x14ac:dyDescent="0.25">
      <c r="A47" s="101" t="str">
        <f>'Data shares'!C42</f>
        <v>CDSL</v>
      </c>
      <c r="B47" s="50">
        <f>VLOOKUP($A47,'Data shares'!$C:$FB,7)</f>
        <v>1446.2</v>
      </c>
      <c r="C47" s="50">
        <f>VLOOKUP($A47,'Data shares'!$C:$FB,10)*100</f>
        <v>0.18</v>
      </c>
      <c r="D47" s="49">
        <f>VLOOKUP($A47,'Data shares'!$C:$FB,66)</f>
        <v>3961500</v>
      </c>
      <c r="E47" s="49">
        <f>VLOOKUP($A47,'Data shares'!$C:$FB,67)</f>
        <v>7670300</v>
      </c>
      <c r="F47" s="50">
        <f>VLOOKUP($A47,'Data shares'!$C:$FB,69)*100</f>
        <v>-48.35</v>
      </c>
      <c r="G47" s="49">
        <f>VLOOKUP($A47,'Data shares'!$C:$FB,42)</f>
        <v>789925</v>
      </c>
      <c r="H47" s="49">
        <f>VLOOKUP($A47,'Data shares'!$C:$FB,43)</f>
        <v>1510500</v>
      </c>
      <c r="I47" s="50">
        <f>VLOOKUP($A47,'Data shares'!$C:$FB,45)*100</f>
        <v>-47.699999999999996</v>
      </c>
      <c r="J47" s="49">
        <f>VLOOKUP($A47,'Data shares'!$C:$FB,58)</f>
        <v>2450050</v>
      </c>
      <c r="K47" s="49">
        <f>VLOOKUP($A47,'Data shares'!$C:$FB,59)</f>
        <v>4220850</v>
      </c>
      <c r="L47" s="50">
        <f>VLOOKUP($A47,'Data shares'!$C:$FB,61)*100</f>
        <v>-41.949999999999996</v>
      </c>
      <c r="M47" s="49">
        <f>VLOOKUP($A47,'Data shares'!$C:$FB,62)</f>
        <v>721525</v>
      </c>
      <c r="N47" s="49">
        <f>VLOOKUP($A47,'Data shares'!$C:$FB,63)</f>
        <v>1938950</v>
      </c>
      <c r="O47" s="140">
        <f>VLOOKUP($A47,'Data shares'!$C:$FB,65)*100</f>
        <v>-62.79</v>
      </c>
    </row>
    <row r="48" spans="1:15" x14ac:dyDescent="0.25">
      <c r="A48" s="101" t="str">
        <f>'Data shares'!C43</f>
        <v>CGPOWER</v>
      </c>
      <c r="B48" s="50">
        <f>VLOOKUP($A48,'Data shares'!$C:$FB,7)</f>
        <v>637.9</v>
      </c>
      <c r="C48" s="50">
        <f>VLOOKUP($A48,'Data shares'!$C:$FB,10)*100</f>
        <v>-1.54</v>
      </c>
      <c r="D48" s="49">
        <f>VLOOKUP($A48,'Data shares'!$C:$FB,66)</f>
        <v>6371600</v>
      </c>
      <c r="E48" s="49">
        <f>VLOOKUP($A48,'Data shares'!$C:$FB,67)</f>
        <v>8046950</v>
      </c>
      <c r="F48" s="50">
        <f>VLOOKUP($A48,'Data shares'!$C:$FB,69)*100</f>
        <v>-20.82</v>
      </c>
      <c r="G48" s="49">
        <f>VLOOKUP($A48,'Data shares'!$C:$FB,42)</f>
        <v>1806250</v>
      </c>
      <c r="H48" s="49">
        <f>VLOOKUP($A48,'Data shares'!$C:$FB,43)</f>
        <v>2297550</v>
      </c>
      <c r="I48" s="50">
        <f>VLOOKUP($A48,'Data shares'!$C:$FB,45)*100</f>
        <v>-21.38</v>
      </c>
      <c r="J48" s="49">
        <f>VLOOKUP($A48,'Data shares'!$C:$FB,58)</f>
        <v>3292900</v>
      </c>
      <c r="K48" s="49">
        <f>VLOOKUP($A48,'Data shares'!$C:$FB,59)</f>
        <v>4047700</v>
      </c>
      <c r="L48" s="50">
        <f>VLOOKUP($A48,'Data shares'!$C:$FB,61)*100</f>
        <v>-18.649999999999999</v>
      </c>
      <c r="M48" s="49">
        <f>VLOOKUP($A48,'Data shares'!$C:$FB,62)</f>
        <v>1272450</v>
      </c>
      <c r="N48" s="49">
        <f>VLOOKUP($A48,'Data shares'!$C:$FB,63)</f>
        <v>1701700</v>
      </c>
      <c r="O48" s="140">
        <f>VLOOKUP($A48,'Data shares'!$C:$FB,65)*100</f>
        <v>-25.22</v>
      </c>
    </row>
    <row r="49" spans="1:15" x14ac:dyDescent="0.25">
      <c r="A49" s="101" t="str">
        <f>'Data shares'!C44</f>
        <v>CHOLAFIN</v>
      </c>
      <c r="B49" s="50">
        <f>VLOOKUP($A49,'Data shares'!$C:$FB,7)</f>
        <v>1724</v>
      </c>
      <c r="C49" s="50">
        <f>VLOOKUP($A49,'Data shares'!$C:$FB,10)*100</f>
        <v>1.28</v>
      </c>
      <c r="D49" s="49">
        <f>VLOOKUP($A49,'Data shares'!$C:$FB,66)</f>
        <v>8852500</v>
      </c>
      <c r="E49" s="49">
        <f>VLOOKUP($A49,'Data shares'!$C:$FB,67)</f>
        <v>6572500</v>
      </c>
      <c r="F49" s="50">
        <f>VLOOKUP($A49,'Data shares'!$C:$FB,69)*100</f>
        <v>34.69</v>
      </c>
      <c r="G49" s="49">
        <f>VLOOKUP($A49,'Data shares'!$C:$FB,42)</f>
        <v>1441875</v>
      </c>
      <c r="H49" s="49">
        <f>VLOOKUP($A49,'Data shares'!$C:$FB,43)</f>
        <v>1623125</v>
      </c>
      <c r="I49" s="50">
        <f>VLOOKUP($A49,'Data shares'!$C:$FB,45)*100</f>
        <v>-11.17</v>
      </c>
      <c r="J49" s="49">
        <f>VLOOKUP($A49,'Data shares'!$C:$FB,58)</f>
        <v>4980625</v>
      </c>
      <c r="K49" s="49">
        <f>VLOOKUP($A49,'Data shares'!$C:$FB,59)</f>
        <v>2970000</v>
      </c>
      <c r="L49" s="50">
        <f>VLOOKUP($A49,'Data shares'!$C:$FB,61)*100</f>
        <v>67.7</v>
      </c>
      <c r="M49" s="49">
        <f>VLOOKUP($A49,'Data shares'!$C:$FB,62)</f>
        <v>2430000</v>
      </c>
      <c r="N49" s="49">
        <f>VLOOKUP($A49,'Data shares'!$C:$FB,63)</f>
        <v>1979375</v>
      </c>
      <c r="O49" s="140">
        <f>VLOOKUP($A49,'Data shares'!$C:$FB,65)*100</f>
        <v>22.770000000000003</v>
      </c>
    </row>
    <row r="50" spans="1:15" x14ac:dyDescent="0.25">
      <c r="A50" s="101" t="str">
        <f>'Data shares'!C45</f>
        <v>CIPLA</v>
      </c>
      <c r="B50" s="50">
        <f>VLOOKUP($A50,'Data shares'!$C:$FB,7)</f>
        <v>1500.9</v>
      </c>
      <c r="C50" s="50">
        <f>VLOOKUP($A50,'Data shares'!$C:$FB,10)*100</f>
        <v>-0.69</v>
      </c>
      <c r="D50" s="49">
        <f>VLOOKUP($A50,'Data shares'!$C:$FB,66)</f>
        <v>3487500</v>
      </c>
      <c r="E50" s="49">
        <f>VLOOKUP($A50,'Data shares'!$C:$FB,67)</f>
        <v>5670375</v>
      </c>
      <c r="F50" s="50">
        <f>VLOOKUP($A50,'Data shares'!$C:$FB,69)*100</f>
        <v>-38.5</v>
      </c>
      <c r="G50" s="49">
        <f>VLOOKUP($A50,'Data shares'!$C:$FB,42)</f>
        <v>404625</v>
      </c>
      <c r="H50" s="49">
        <f>VLOOKUP($A50,'Data shares'!$C:$FB,43)</f>
        <v>1127250</v>
      </c>
      <c r="I50" s="50">
        <f>VLOOKUP($A50,'Data shares'!$C:$FB,45)*100</f>
        <v>-64.11</v>
      </c>
      <c r="J50" s="49">
        <f>VLOOKUP($A50,'Data shares'!$C:$FB,58)</f>
        <v>1782750</v>
      </c>
      <c r="K50" s="49">
        <f>VLOOKUP($A50,'Data shares'!$C:$FB,59)</f>
        <v>2980125</v>
      </c>
      <c r="L50" s="50">
        <f>VLOOKUP($A50,'Data shares'!$C:$FB,61)*100</f>
        <v>-40.18</v>
      </c>
      <c r="M50" s="49">
        <f>VLOOKUP($A50,'Data shares'!$C:$FB,62)</f>
        <v>1300125</v>
      </c>
      <c r="N50" s="49">
        <f>VLOOKUP($A50,'Data shares'!$C:$FB,63)</f>
        <v>1563000</v>
      </c>
      <c r="O50" s="140">
        <f>VLOOKUP($A50,'Data shares'!$C:$FB,65)*100</f>
        <v>-16.82</v>
      </c>
    </row>
    <row r="51" spans="1:15" x14ac:dyDescent="0.25">
      <c r="A51" s="101" t="str">
        <f>'Data shares'!C46</f>
        <v>COALINDIA</v>
      </c>
      <c r="B51" s="50">
        <f>VLOOKUP($A51,'Data shares'!$C:$FB,7)</f>
        <v>400.45</v>
      </c>
      <c r="C51" s="50">
        <f>VLOOKUP($A51,'Data shares'!$C:$FB,10)*100</f>
        <v>0.36</v>
      </c>
      <c r="D51" s="49">
        <f>VLOOKUP($A51,'Data shares'!$C:$FB,66)</f>
        <v>34635600</v>
      </c>
      <c r="E51" s="49">
        <f>VLOOKUP($A51,'Data shares'!$C:$FB,67)</f>
        <v>64978200</v>
      </c>
      <c r="F51" s="50">
        <f>VLOOKUP($A51,'Data shares'!$C:$FB,69)*100</f>
        <v>-46.7</v>
      </c>
      <c r="G51" s="49">
        <f>VLOOKUP($A51,'Data shares'!$C:$FB,42)</f>
        <v>7345350</v>
      </c>
      <c r="H51" s="49">
        <f>VLOOKUP($A51,'Data shares'!$C:$FB,43)</f>
        <v>10945800</v>
      </c>
      <c r="I51" s="50">
        <f>VLOOKUP($A51,'Data shares'!$C:$FB,45)*100</f>
        <v>-32.89</v>
      </c>
      <c r="J51" s="49">
        <f>VLOOKUP($A51,'Data shares'!$C:$FB,58)</f>
        <v>20059650</v>
      </c>
      <c r="K51" s="49">
        <f>VLOOKUP($A51,'Data shares'!$C:$FB,59)</f>
        <v>39792600</v>
      </c>
      <c r="L51" s="50">
        <f>VLOOKUP($A51,'Data shares'!$C:$FB,61)*100</f>
        <v>-49.59</v>
      </c>
      <c r="M51" s="49">
        <f>VLOOKUP($A51,'Data shares'!$C:$FB,62)</f>
        <v>7230600</v>
      </c>
      <c r="N51" s="49">
        <f>VLOOKUP($A51,'Data shares'!$C:$FB,63)</f>
        <v>14239800</v>
      </c>
      <c r="O51" s="140">
        <f>VLOOKUP($A51,'Data shares'!$C:$FB,65)*100</f>
        <v>-49.220000000000006</v>
      </c>
    </row>
    <row r="52" spans="1:15" x14ac:dyDescent="0.25">
      <c r="A52" s="101" t="str">
        <f>'Data shares'!C47</f>
        <v>COFORGE</v>
      </c>
      <c r="B52" s="50">
        <f>VLOOKUP($A52,'Data shares'!$C:$FB,7)</f>
        <v>1655.8</v>
      </c>
      <c r="C52" s="50">
        <f>VLOOKUP($A52,'Data shares'!$C:$FB,10)*100</f>
        <v>-0.43</v>
      </c>
      <c r="D52" s="49">
        <f>VLOOKUP($A52,'Data shares'!$C:$FB,66)</f>
        <v>7496250</v>
      </c>
      <c r="E52" s="49">
        <f>VLOOKUP($A52,'Data shares'!$C:$FB,67)</f>
        <v>14614500</v>
      </c>
      <c r="F52" s="50">
        <f>VLOOKUP($A52,'Data shares'!$C:$FB,69)*100</f>
        <v>-48.71</v>
      </c>
      <c r="G52" s="49">
        <f>VLOOKUP($A52,'Data shares'!$C:$FB,42)</f>
        <v>1276125</v>
      </c>
      <c r="H52" s="49">
        <f>VLOOKUP($A52,'Data shares'!$C:$FB,43)</f>
        <v>2868375</v>
      </c>
      <c r="I52" s="50">
        <f>VLOOKUP($A52,'Data shares'!$C:$FB,45)*100</f>
        <v>-55.510000000000005</v>
      </c>
      <c r="J52" s="49">
        <f>VLOOKUP($A52,'Data shares'!$C:$FB,58)</f>
        <v>4477875</v>
      </c>
      <c r="K52" s="49">
        <f>VLOOKUP($A52,'Data shares'!$C:$FB,59)</f>
        <v>8153625</v>
      </c>
      <c r="L52" s="50">
        <f>VLOOKUP($A52,'Data shares'!$C:$FB,61)*100</f>
        <v>-45.08</v>
      </c>
      <c r="M52" s="49">
        <f>VLOOKUP($A52,'Data shares'!$C:$FB,62)</f>
        <v>1742250</v>
      </c>
      <c r="N52" s="49">
        <f>VLOOKUP($A52,'Data shares'!$C:$FB,63)</f>
        <v>3592500</v>
      </c>
      <c r="O52" s="140">
        <f>VLOOKUP($A52,'Data shares'!$C:$FB,65)*100</f>
        <v>-51.5</v>
      </c>
    </row>
    <row r="53" spans="1:15" x14ac:dyDescent="0.25">
      <c r="A53" s="101" t="str">
        <f>'Data shares'!C48</f>
        <v>COLPAL</v>
      </c>
      <c r="B53" s="50">
        <f>VLOOKUP($A53,'Data shares'!$C:$FB,7)</f>
        <v>2093.8000000000002</v>
      </c>
      <c r="C53" s="50">
        <f>VLOOKUP($A53,'Data shares'!$C:$FB,10)*100</f>
        <v>0.86999999999999988</v>
      </c>
      <c r="D53" s="49">
        <f>VLOOKUP($A53,'Data shares'!$C:$FB,66)</f>
        <v>1922175</v>
      </c>
      <c r="E53" s="49">
        <f>VLOOKUP($A53,'Data shares'!$C:$FB,67)</f>
        <v>2385450</v>
      </c>
      <c r="F53" s="50">
        <f>VLOOKUP($A53,'Data shares'!$C:$FB,69)*100</f>
        <v>-19.420000000000002</v>
      </c>
      <c r="G53" s="49">
        <f>VLOOKUP($A53,'Data shares'!$C:$FB,42)</f>
        <v>474525</v>
      </c>
      <c r="H53" s="49">
        <f>VLOOKUP($A53,'Data shares'!$C:$FB,43)</f>
        <v>770400</v>
      </c>
      <c r="I53" s="50">
        <f>VLOOKUP($A53,'Data shares'!$C:$FB,45)*100</f>
        <v>-38.409999999999997</v>
      </c>
      <c r="J53" s="49">
        <f>VLOOKUP($A53,'Data shares'!$C:$FB,58)</f>
        <v>994950</v>
      </c>
      <c r="K53" s="49">
        <f>VLOOKUP($A53,'Data shares'!$C:$FB,59)</f>
        <v>1110825</v>
      </c>
      <c r="L53" s="50">
        <f>VLOOKUP($A53,'Data shares'!$C:$FB,61)*100</f>
        <v>-10.43</v>
      </c>
      <c r="M53" s="49">
        <f>VLOOKUP($A53,'Data shares'!$C:$FB,62)</f>
        <v>452700</v>
      </c>
      <c r="N53" s="49">
        <f>VLOOKUP($A53,'Data shares'!$C:$FB,63)</f>
        <v>504225</v>
      </c>
      <c r="O53" s="140">
        <f>VLOOKUP($A53,'Data shares'!$C:$FB,65)*100</f>
        <v>-10.220000000000001</v>
      </c>
    </row>
    <row r="54" spans="1:15" x14ac:dyDescent="0.25">
      <c r="A54" s="101" t="str">
        <f>'Data shares'!C49</f>
        <v>CONCOR</v>
      </c>
      <c r="B54" s="50">
        <f>VLOOKUP($A54,'Data shares'!$C:$FB,7)</f>
        <v>524.25</v>
      </c>
      <c r="C54" s="50">
        <f>VLOOKUP($A54,'Data shares'!$C:$FB,10)*100</f>
        <v>-0.13</v>
      </c>
      <c r="D54" s="49">
        <f>VLOOKUP($A54,'Data shares'!$C:$FB,66)</f>
        <v>8643750</v>
      </c>
      <c r="E54" s="49">
        <f>VLOOKUP($A54,'Data shares'!$C:$FB,67)</f>
        <v>20785000</v>
      </c>
      <c r="F54" s="50">
        <f>VLOOKUP($A54,'Data shares'!$C:$FB,69)*100</f>
        <v>-58.41</v>
      </c>
      <c r="G54" s="49">
        <f>VLOOKUP($A54,'Data shares'!$C:$FB,42)</f>
        <v>1830000</v>
      </c>
      <c r="H54" s="49">
        <f>VLOOKUP($A54,'Data shares'!$C:$FB,43)</f>
        <v>4077500</v>
      </c>
      <c r="I54" s="50">
        <f>VLOOKUP($A54,'Data shares'!$C:$FB,45)*100</f>
        <v>-55.120000000000005</v>
      </c>
      <c r="J54" s="49">
        <f>VLOOKUP($A54,'Data shares'!$C:$FB,58)</f>
        <v>5437500</v>
      </c>
      <c r="K54" s="49">
        <f>VLOOKUP($A54,'Data shares'!$C:$FB,59)</f>
        <v>13501250</v>
      </c>
      <c r="L54" s="50">
        <f>VLOOKUP($A54,'Data shares'!$C:$FB,61)*100</f>
        <v>-59.730000000000004</v>
      </c>
      <c r="M54" s="49">
        <f>VLOOKUP($A54,'Data shares'!$C:$FB,62)</f>
        <v>1376250</v>
      </c>
      <c r="N54" s="49">
        <f>VLOOKUP($A54,'Data shares'!$C:$FB,63)</f>
        <v>3206250</v>
      </c>
      <c r="O54" s="140">
        <f>VLOOKUP($A54,'Data shares'!$C:$FB,65)*100</f>
        <v>-57.08</v>
      </c>
    </row>
    <row r="55" spans="1:15" x14ac:dyDescent="0.25">
      <c r="A55" s="101" t="str">
        <f>'Data shares'!C50</f>
        <v>CROMPTON</v>
      </c>
      <c r="B55" s="50">
        <f>VLOOKUP($A55,'Data shares'!$C:$FB,7)</f>
        <v>249.25</v>
      </c>
      <c r="C55" s="50">
        <f>VLOOKUP($A55,'Data shares'!$C:$FB,10)*100</f>
        <v>-1.1900000000000002</v>
      </c>
      <c r="D55" s="49">
        <f>VLOOKUP($A55,'Data shares'!$C:$FB,66)</f>
        <v>8616600</v>
      </c>
      <c r="E55" s="49">
        <f>VLOOKUP($A55,'Data shares'!$C:$FB,67)</f>
        <v>27480600</v>
      </c>
      <c r="F55" s="50">
        <f>VLOOKUP($A55,'Data shares'!$C:$FB,69)*100</f>
        <v>-68.64</v>
      </c>
      <c r="G55" s="49">
        <f>VLOOKUP($A55,'Data shares'!$C:$FB,42)</f>
        <v>2037600</v>
      </c>
      <c r="H55" s="49">
        <f>VLOOKUP($A55,'Data shares'!$C:$FB,43)</f>
        <v>6816600</v>
      </c>
      <c r="I55" s="50">
        <f>VLOOKUP($A55,'Data shares'!$C:$FB,45)*100</f>
        <v>-70.11</v>
      </c>
      <c r="J55" s="49">
        <f>VLOOKUP($A55,'Data shares'!$C:$FB,58)</f>
        <v>5085000</v>
      </c>
      <c r="K55" s="49">
        <f>VLOOKUP($A55,'Data shares'!$C:$FB,59)</f>
        <v>14004000</v>
      </c>
      <c r="L55" s="50">
        <f>VLOOKUP($A55,'Data shares'!$C:$FB,61)*100</f>
        <v>-63.690000000000005</v>
      </c>
      <c r="M55" s="49">
        <f>VLOOKUP($A55,'Data shares'!$C:$FB,62)</f>
        <v>1494000</v>
      </c>
      <c r="N55" s="49">
        <f>VLOOKUP($A55,'Data shares'!$C:$FB,63)</f>
        <v>6660000</v>
      </c>
      <c r="O55" s="140">
        <f>VLOOKUP($A55,'Data shares'!$C:$FB,65)*100</f>
        <v>-77.569999999999993</v>
      </c>
    </row>
    <row r="56" spans="1:15" x14ac:dyDescent="0.25">
      <c r="A56" s="101" t="str">
        <f>'Data shares'!C51</f>
        <v>CUMMINSIND</v>
      </c>
      <c r="B56" s="50">
        <f>VLOOKUP($A56,'Data shares'!$C:$FB,7)</f>
        <v>4470.6000000000004</v>
      </c>
      <c r="C56" s="50">
        <f>VLOOKUP($A56,'Data shares'!$C:$FB,10)*100</f>
        <v>0.82000000000000006</v>
      </c>
      <c r="D56" s="49">
        <f>VLOOKUP($A56,'Data shares'!$C:$FB,66)</f>
        <v>2237400</v>
      </c>
      <c r="E56" s="49">
        <f>VLOOKUP($A56,'Data shares'!$C:$FB,67)</f>
        <v>2304400</v>
      </c>
      <c r="F56" s="50">
        <f>VLOOKUP($A56,'Data shares'!$C:$FB,69)*100</f>
        <v>-2.91</v>
      </c>
      <c r="G56" s="49">
        <f>VLOOKUP($A56,'Data shares'!$C:$FB,42)</f>
        <v>419000</v>
      </c>
      <c r="H56" s="49">
        <f>VLOOKUP($A56,'Data shares'!$C:$FB,43)</f>
        <v>496400</v>
      </c>
      <c r="I56" s="50">
        <f>VLOOKUP($A56,'Data shares'!$C:$FB,45)*100</f>
        <v>-15.590000000000002</v>
      </c>
      <c r="J56" s="49">
        <f>VLOOKUP($A56,'Data shares'!$C:$FB,58)</f>
        <v>1326200</v>
      </c>
      <c r="K56" s="49">
        <f>VLOOKUP($A56,'Data shares'!$C:$FB,59)</f>
        <v>1068600</v>
      </c>
      <c r="L56" s="50">
        <f>VLOOKUP($A56,'Data shares'!$C:$FB,61)*100</f>
        <v>24.11</v>
      </c>
      <c r="M56" s="49">
        <f>VLOOKUP($A56,'Data shares'!$C:$FB,62)</f>
        <v>492200</v>
      </c>
      <c r="N56" s="49">
        <f>VLOOKUP($A56,'Data shares'!$C:$FB,63)</f>
        <v>739400</v>
      </c>
      <c r="O56" s="140">
        <f>VLOOKUP($A56,'Data shares'!$C:$FB,65)*100</f>
        <v>-33.43</v>
      </c>
    </row>
    <row r="57" spans="1:15" x14ac:dyDescent="0.25">
      <c r="A57" s="101" t="str">
        <f>'Data shares'!C52</f>
        <v>DABUR</v>
      </c>
      <c r="B57" s="50">
        <f>VLOOKUP($A57,'Data shares'!$C:$FB,7)</f>
        <v>499.95</v>
      </c>
      <c r="C57" s="50">
        <f>VLOOKUP($A57,'Data shares'!$C:$FB,10)*100</f>
        <v>-0.72</v>
      </c>
      <c r="D57" s="49">
        <f>VLOOKUP($A57,'Data shares'!$C:$FB,66)</f>
        <v>10576250</v>
      </c>
      <c r="E57" s="49">
        <f>VLOOKUP($A57,'Data shares'!$C:$FB,67)</f>
        <v>45187500</v>
      </c>
      <c r="F57" s="50">
        <f>VLOOKUP($A57,'Data shares'!$C:$FB,69)*100</f>
        <v>-76.59</v>
      </c>
      <c r="G57" s="49">
        <f>VLOOKUP($A57,'Data shares'!$C:$FB,42)</f>
        <v>2017500</v>
      </c>
      <c r="H57" s="49">
        <f>VLOOKUP($A57,'Data shares'!$C:$FB,43)</f>
        <v>7738750</v>
      </c>
      <c r="I57" s="50">
        <f>VLOOKUP($A57,'Data shares'!$C:$FB,45)*100</f>
        <v>-73.929999999999993</v>
      </c>
      <c r="J57" s="49">
        <f>VLOOKUP($A57,'Data shares'!$C:$FB,58)</f>
        <v>5598750</v>
      </c>
      <c r="K57" s="49">
        <f>VLOOKUP($A57,'Data shares'!$C:$FB,59)</f>
        <v>25888750</v>
      </c>
      <c r="L57" s="50">
        <f>VLOOKUP($A57,'Data shares'!$C:$FB,61)*100</f>
        <v>-78.36999999999999</v>
      </c>
      <c r="M57" s="49">
        <f>VLOOKUP($A57,'Data shares'!$C:$FB,62)</f>
        <v>2960000</v>
      </c>
      <c r="N57" s="49">
        <f>VLOOKUP($A57,'Data shares'!$C:$FB,63)</f>
        <v>11560000</v>
      </c>
      <c r="O57" s="140">
        <f>VLOOKUP($A57,'Data shares'!$C:$FB,65)*100</f>
        <v>-74.39</v>
      </c>
    </row>
    <row r="58" spans="1:15" x14ac:dyDescent="0.25">
      <c r="A58" s="101" t="str">
        <f>'Data shares'!C53</f>
        <v>DALBHARAT</v>
      </c>
      <c r="B58" s="50">
        <f>VLOOKUP($A58,'Data shares'!$C:$FB,7)</f>
        <v>2136.1999999999998</v>
      </c>
      <c r="C58" s="50">
        <f>VLOOKUP($A58,'Data shares'!$C:$FB,10)*100</f>
        <v>0.25</v>
      </c>
      <c r="D58" s="49">
        <f>VLOOKUP($A58,'Data shares'!$C:$FB,66)</f>
        <v>1115725</v>
      </c>
      <c r="E58" s="49">
        <f>VLOOKUP($A58,'Data shares'!$C:$FB,67)</f>
        <v>938925</v>
      </c>
      <c r="F58" s="50">
        <f>VLOOKUP($A58,'Data shares'!$C:$FB,69)*100</f>
        <v>18.829999999999998</v>
      </c>
      <c r="G58" s="49">
        <f>VLOOKUP($A58,'Data shares'!$C:$FB,42)</f>
        <v>380575</v>
      </c>
      <c r="H58" s="49">
        <f>VLOOKUP($A58,'Data shares'!$C:$FB,43)</f>
        <v>466700</v>
      </c>
      <c r="I58" s="50">
        <f>VLOOKUP($A58,'Data shares'!$C:$FB,45)*100</f>
        <v>-18.45</v>
      </c>
      <c r="J58" s="49">
        <f>VLOOKUP($A58,'Data shares'!$C:$FB,58)</f>
        <v>582725</v>
      </c>
      <c r="K58" s="49">
        <f>VLOOKUP($A58,'Data shares'!$C:$FB,59)</f>
        <v>302250</v>
      </c>
      <c r="L58" s="50">
        <f>VLOOKUP($A58,'Data shares'!$C:$FB,61)*100</f>
        <v>92.800000000000011</v>
      </c>
      <c r="M58" s="49">
        <f>VLOOKUP($A58,'Data shares'!$C:$FB,62)</f>
        <v>152425</v>
      </c>
      <c r="N58" s="49">
        <f>VLOOKUP($A58,'Data shares'!$C:$FB,63)</f>
        <v>169975</v>
      </c>
      <c r="O58" s="140">
        <f>VLOOKUP($A58,'Data shares'!$C:$FB,65)*100</f>
        <v>-10.33</v>
      </c>
    </row>
    <row r="59" spans="1:15" x14ac:dyDescent="0.25">
      <c r="A59" s="101" t="str">
        <f>'Data shares'!C54</f>
        <v>DELHIVERY</v>
      </c>
      <c r="B59" s="50">
        <f>VLOOKUP($A59,'Data shares'!$C:$FB,7)</f>
        <v>400.6</v>
      </c>
      <c r="C59" s="50">
        <f>VLOOKUP($A59,'Data shares'!$C:$FB,10)*100</f>
        <v>-0.8</v>
      </c>
      <c r="D59" s="49">
        <f>VLOOKUP($A59,'Data shares'!$C:$FB,66)</f>
        <v>4473700</v>
      </c>
      <c r="E59" s="49">
        <f>VLOOKUP($A59,'Data shares'!$C:$FB,67)</f>
        <v>8246050</v>
      </c>
      <c r="F59" s="50">
        <f>VLOOKUP($A59,'Data shares'!$C:$FB,69)*100</f>
        <v>-45.75</v>
      </c>
      <c r="G59" s="49">
        <f>VLOOKUP($A59,'Data shares'!$C:$FB,42)</f>
        <v>1301025</v>
      </c>
      <c r="H59" s="49">
        <f>VLOOKUP($A59,'Data shares'!$C:$FB,43)</f>
        <v>2033500</v>
      </c>
      <c r="I59" s="50">
        <f>VLOOKUP($A59,'Data shares'!$C:$FB,45)*100</f>
        <v>-36.020000000000003</v>
      </c>
      <c r="J59" s="49">
        <f>VLOOKUP($A59,'Data shares'!$C:$FB,58)</f>
        <v>2255525</v>
      </c>
      <c r="K59" s="49">
        <f>VLOOKUP($A59,'Data shares'!$C:$FB,59)</f>
        <v>3998525</v>
      </c>
      <c r="L59" s="50">
        <f>VLOOKUP($A59,'Data shares'!$C:$FB,61)*100</f>
        <v>-43.59</v>
      </c>
      <c r="M59" s="49">
        <f>VLOOKUP($A59,'Data shares'!$C:$FB,62)</f>
        <v>917150</v>
      </c>
      <c r="N59" s="49">
        <f>VLOOKUP($A59,'Data shares'!$C:$FB,63)</f>
        <v>2214025</v>
      </c>
      <c r="O59" s="140">
        <f>VLOOKUP($A59,'Data shares'!$C:$FB,65)*100</f>
        <v>-58.58</v>
      </c>
    </row>
    <row r="60" spans="1:15" x14ac:dyDescent="0.25">
      <c r="A60" s="101" t="str">
        <f>'Data shares'!C55</f>
        <v>DIVISLAB</v>
      </c>
      <c r="B60" s="50">
        <f>VLOOKUP($A60,'Data shares'!$C:$FB,7)</f>
        <v>6344</v>
      </c>
      <c r="C60" s="50">
        <f>VLOOKUP($A60,'Data shares'!$C:$FB,10)*100</f>
        <v>-0.76</v>
      </c>
      <c r="D60" s="49">
        <f>VLOOKUP($A60,'Data shares'!$C:$FB,66)</f>
        <v>1037700</v>
      </c>
      <c r="E60" s="49">
        <f>VLOOKUP($A60,'Data shares'!$C:$FB,67)</f>
        <v>1681900</v>
      </c>
      <c r="F60" s="50">
        <f>VLOOKUP($A60,'Data shares'!$C:$FB,69)*100</f>
        <v>-38.299999999999997</v>
      </c>
      <c r="G60" s="49">
        <f>VLOOKUP($A60,'Data shares'!$C:$FB,42)</f>
        <v>180300</v>
      </c>
      <c r="H60" s="49">
        <f>VLOOKUP($A60,'Data shares'!$C:$FB,43)</f>
        <v>343500</v>
      </c>
      <c r="I60" s="50">
        <f>VLOOKUP($A60,'Data shares'!$C:$FB,45)*100</f>
        <v>-47.510000000000005</v>
      </c>
      <c r="J60" s="49">
        <f>VLOOKUP($A60,'Data shares'!$C:$FB,58)</f>
        <v>574400</v>
      </c>
      <c r="K60" s="49">
        <f>VLOOKUP($A60,'Data shares'!$C:$FB,59)</f>
        <v>847800</v>
      </c>
      <c r="L60" s="50">
        <f>VLOOKUP($A60,'Data shares'!$C:$FB,61)*100</f>
        <v>-32.25</v>
      </c>
      <c r="M60" s="49">
        <f>VLOOKUP($A60,'Data shares'!$C:$FB,62)</f>
        <v>283000</v>
      </c>
      <c r="N60" s="49">
        <f>VLOOKUP($A60,'Data shares'!$C:$FB,63)</f>
        <v>490600</v>
      </c>
      <c r="O60" s="140">
        <f>VLOOKUP($A60,'Data shares'!$C:$FB,65)*100</f>
        <v>-42.32</v>
      </c>
    </row>
    <row r="61" spans="1:15" x14ac:dyDescent="0.25">
      <c r="A61" s="101" t="str">
        <f>'Data shares'!C56</f>
        <v>DIXON</v>
      </c>
      <c r="B61" s="50">
        <f>VLOOKUP($A61,'Data shares'!$C:$FB,7)</f>
        <v>12091</v>
      </c>
      <c r="C61" s="50">
        <f>VLOOKUP($A61,'Data shares'!$C:$FB,10)*100</f>
        <v>-0.09</v>
      </c>
      <c r="D61" s="49">
        <f>VLOOKUP($A61,'Data shares'!$C:$FB,66)</f>
        <v>7052400</v>
      </c>
      <c r="E61" s="49">
        <f>VLOOKUP($A61,'Data shares'!$C:$FB,67)</f>
        <v>9622550</v>
      </c>
      <c r="F61" s="50">
        <f>VLOOKUP($A61,'Data shares'!$C:$FB,69)*100</f>
        <v>-26.71</v>
      </c>
      <c r="G61" s="49">
        <f>VLOOKUP($A61,'Data shares'!$C:$FB,42)</f>
        <v>946100</v>
      </c>
      <c r="H61" s="49">
        <f>VLOOKUP($A61,'Data shares'!$C:$FB,43)</f>
        <v>1119400</v>
      </c>
      <c r="I61" s="50">
        <f>VLOOKUP($A61,'Data shares'!$C:$FB,45)*100</f>
        <v>-15.479999999999999</v>
      </c>
      <c r="J61" s="49">
        <f>VLOOKUP($A61,'Data shares'!$C:$FB,58)</f>
        <v>3781400</v>
      </c>
      <c r="K61" s="49">
        <f>VLOOKUP($A61,'Data shares'!$C:$FB,59)</f>
        <v>5271650</v>
      </c>
      <c r="L61" s="50">
        <f>VLOOKUP($A61,'Data shares'!$C:$FB,61)*100</f>
        <v>-28.27</v>
      </c>
      <c r="M61" s="49">
        <f>VLOOKUP($A61,'Data shares'!$C:$FB,62)</f>
        <v>2324900</v>
      </c>
      <c r="N61" s="49">
        <f>VLOOKUP($A61,'Data shares'!$C:$FB,63)</f>
        <v>3231500</v>
      </c>
      <c r="O61" s="140">
        <f>VLOOKUP($A61,'Data shares'!$C:$FB,65)*100</f>
        <v>-28.060000000000002</v>
      </c>
    </row>
    <row r="62" spans="1:15" x14ac:dyDescent="0.25">
      <c r="A62" s="101" t="str">
        <f>'Data shares'!C57</f>
        <v>DLF</v>
      </c>
      <c r="B62" s="50">
        <f>VLOOKUP($A62,'Data shares'!$C:$FB,7)</f>
        <v>691.4</v>
      </c>
      <c r="C62" s="50">
        <f>VLOOKUP($A62,'Data shares'!$C:$FB,10)*100</f>
        <v>0.57999999999999996</v>
      </c>
      <c r="D62" s="49">
        <f>VLOOKUP($A62,'Data shares'!$C:$FB,66)</f>
        <v>18671400</v>
      </c>
      <c r="E62" s="49">
        <f>VLOOKUP($A62,'Data shares'!$C:$FB,67)</f>
        <v>19975725</v>
      </c>
      <c r="F62" s="50">
        <f>VLOOKUP($A62,'Data shares'!$C:$FB,69)*100</f>
        <v>-6.5299999999999994</v>
      </c>
      <c r="G62" s="49">
        <f>VLOOKUP($A62,'Data shares'!$C:$FB,42)</f>
        <v>3834600</v>
      </c>
      <c r="H62" s="49">
        <f>VLOOKUP($A62,'Data shares'!$C:$FB,43)</f>
        <v>4655475</v>
      </c>
      <c r="I62" s="50">
        <f>VLOOKUP($A62,'Data shares'!$C:$FB,45)*100</f>
        <v>-17.630000000000003</v>
      </c>
      <c r="J62" s="49">
        <f>VLOOKUP($A62,'Data shares'!$C:$FB,58)</f>
        <v>9480900</v>
      </c>
      <c r="K62" s="49">
        <f>VLOOKUP($A62,'Data shares'!$C:$FB,59)</f>
        <v>10628475</v>
      </c>
      <c r="L62" s="50">
        <f>VLOOKUP($A62,'Data shares'!$C:$FB,61)*100</f>
        <v>-10.8</v>
      </c>
      <c r="M62" s="49">
        <f>VLOOKUP($A62,'Data shares'!$C:$FB,62)</f>
        <v>5355900</v>
      </c>
      <c r="N62" s="49">
        <f>VLOOKUP($A62,'Data shares'!$C:$FB,63)</f>
        <v>4691775</v>
      </c>
      <c r="O62" s="140">
        <f>VLOOKUP($A62,'Data shares'!$C:$FB,65)*100</f>
        <v>14.16</v>
      </c>
    </row>
    <row r="63" spans="1:15" x14ac:dyDescent="0.25">
      <c r="A63" s="101" t="str">
        <f>'Data shares'!C58</f>
        <v>DMART</v>
      </c>
      <c r="B63" s="50">
        <f>VLOOKUP($A63,'Data shares'!$C:$FB,7)</f>
        <v>3716.1</v>
      </c>
      <c r="C63" s="50">
        <f>VLOOKUP($A63,'Data shares'!$C:$FB,10)*100</f>
        <v>-1.7500000000000002</v>
      </c>
      <c r="D63" s="49">
        <f>VLOOKUP($A63,'Data shares'!$C:$FB,66)</f>
        <v>3236250</v>
      </c>
      <c r="E63" s="49">
        <f>VLOOKUP($A63,'Data shares'!$C:$FB,67)</f>
        <v>2754900</v>
      </c>
      <c r="F63" s="50">
        <f>VLOOKUP($A63,'Data shares'!$C:$FB,69)*100</f>
        <v>17.47</v>
      </c>
      <c r="G63" s="49">
        <f>VLOOKUP($A63,'Data shares'!$C:$FB,42)</f>
        <v>813300</v>
      </c>
      <c r="H63" s="49">
        <f>VLOOKUP($A63,'Data shares'!$C:$FB,43)</f>
        <v>722850</v>
      </c>
      <c r="I63" s="50">
        <f>VLOOKUP($A63,'Data shares'!$C:$FB,45)*100</f>
        <v>12.509999999999998</v>
      </c>
      <c r="J63" s="49">
        <f>VLOOKUP($A63,'Data shares'!$C:$FB,58)</f>
        <v>1388850</v>
      </c>
      <c r="K63" s="49">
        <f>VLOOKUP($A63,'Data shares'!$C:$FB,59)</f>
        <v>1340250</v>
      </c>
      <c r="L63" s="50">
        <f>VLOOKUP($A63,'Data shares'!$C:$FB,61)*100</f>
        <v>3.63</v>
      </c>
      <c r="M63" s="49">
        <f>VLOOKUP($A63,'Data shares'!$C:$FB,62)</f>
        <v>1034100</v>
      </c>
      <c r="N63" s="49">
        <f>VLOOKUP($A63,'Data shares'!$C:$FB,63)</f>
        <v>691800</v>
      </c>
      <c r="O63" s="140">
        <f>VLOOKUP($A63,'Data shares'!$C:$FB,65)*100</f>
        <v>49.480000000000004</v>
      </c>
    </row>
    <row r="64" spans="1:15" x14ac:dyDescent="0.25">
      <c r="A64" s="101" t="str">
        <f>'Data shares'!C59</f>
        <v>DRREDDY</v>
      </c>
      <c r="B64" s="50">
        <f>VLOOKUP($A64,'Data shares'!$C:$FB,7)</f>
        <v>1253.4000000000001</v>
      </c>
      <c r="C64" s="50">
        <f>VLOOKUP($A64,'Data shares'!$C:$FB,10)*100</f>
        <v>-1.4200000000000002</v>
      </c>
      <c r="D64" s="49">
        <f>VLOOKUP($A64,'Data shares'!$C:$FB,66)</f>
        <v>9770625</v>
      </c>
      <c r="E64" s="49">
        <f>VLOOKUP($A64,'Data shares'!$C:$FB,67)</f>
        <v>5297500</v>
      </c>
      <c r="F64" s="50">
        <f>VLOOKUP($A64,'Data shares'!$C:$FB,69)*100</f>
        <v>84.44</v>
      </c>
      <c r="G64" s="49">
        <f>VLOOKUP($A64,'Data shares'!$C:$FB,42)</f>
        <v>1315000</v>
      </c>
      <c r="H64" s="49">
        <f>VLOOKUP($A64,'Data shares'!$C:$FB,43)</f>
        <v>1053125</v>
      </c>
      <c r="I64" s="50">
        <f>VLOOKUP($A64,'Data shares'!$C:$FB,45)*100</f>
        <v>24.87</v>
      </c>
      <c r="J64" s="49">
        <f>VLOOKUP($A64,'Data shares'!$C:$FB,58)</f>
        <v>4489375</v>
      </c>
      <c r="K64" s="49">
        <f>VLOOKUP($A64,'Data shares'!$C:$FB,59)</f>
        <v>2914375</v>
      </c>
      <c r="L64" s="50">
        <f>VLOOKUP($A64,'Data shares'!$C:$FB,61)*100</f>
        <v>54.04</v>
      </c>
      <c r="M64" s="49">
        <f>VLOOKUP($A64,'Data shares'!$C:$FB,62)</f>
        <v>3966250</v>
      </c>
      <c r="N64" s="49">
        <f>VLOOKUP($A64,'Data shares'!$C:$FB,63)</f>
        <v>1330000</v>
      </c>
      <c r="O64" s="140">
        <f>VLOOKUP($A64,'Data shares'!$C:$FB,65)*100</f>
        <v>198.21</v>
      </c>
    </row>
    <row r="65" spans="1:15" x14ac:dyDescent="0.25">
      <c r="A65" s="101" t="str">
        <f>'Data shares'!C60</f>
        <v>EICHERMOT</v>
      </c>
      <c r="B65" s="50">
        <f>VLOOKUP($A65,'Data shares'!$C:$FB,7)</f>
        <v>7348</v>
      </c>
      <c r="C65" s="50">
        <f>VLOOKUP($A65,'Data shares'!$C:$FB,10)*100</f>
        <v>0.49</v>
      </c>
      <c r="D65" s="49">
        <f>VLOOKUP($A65,'Data shares'!$C:$FB,66)</f>
        <v>3473500</v>
      </c>
      <c r="E65" s="49">
        <f>VLOOKUP($A65,'Data shares'!$C:$FB,67)</f>
        <v>4121900</v>
      </c>
      <c r="F65" s="50">
        <f>VLOOKUP($A65,'Data shares'!$C:$FB,69)*100</f>
        <v>-15.73</v>
      </c>
      <c r="G65" s="49">
        <f>VLOOKUP($A65,'Data shares'!$C:$FB,42)</f>
        <v>424800</v>
      </c>
      <c r="H65" s="49">
        <f>VLOOKUP($A65,'Data shares'!$C:$FB,43)</f>
        <v>605500</v>
      </c>
      <c r="I65" s="50">
        <f>VLOOKUP($A65,'Data shares'!$C:$FB,45)*100</f>
        <v>-29.84</v>
      </c>
      <c r="J65" s="49">
        <f>VLOOKUP($A65,'Data shares'!$C:$FB,58)</f>
        <v>2080800</v>
      </c>
      <c r="K65" s="49">
        <f>VLOOKUP($A65,'Data shares'!$C:$FB,59)</f>
        <v>2480200</v>
      </c>
      <c r="L65" s="50">
        <f>VLOOKUP($A65,'Data shares'!$C:$FB,61)*100</f>
        <v>-16.100000000000001</v>
      </c>
      <c r="M65" s="49">
        <f>VLOOKUP($A65,'Data shares'!$C:$FB,62)</f>
        <v>967900</v>
      </c>
      <c r="N65" s="49">
        <f>VLOOKUP($A65,'Data shares'!$C:$FB,63)</f>
        <v>1036200</v>
      </c>
      <c r="O65" s="140">
        <f>VLOOKUP($A65,'Data shares'!$C:$FB,65)*100</f>
        <v>-6.59</v>
      </c>
    </row>
    <row r="66" spans="1:15" x14ac:dyDescent="0.25">
      <c r="A66" s="101" t="str">
        <f>'Data shares'!C61</f>
        <v>ETERNAL</v>
      </c>
      <c r="B66" s="50">
        <f>VLOOKUP($A66,'Data shares'!$C:$FB,7)</f>
        <v>283.8</v>
      </c>
      <c r="C66" s="50">
        <f>VLOOKUP($A66,'Data shares'!$C:$FB,10)*100</f>
        <v>2.0699999999999998</v>
      </c>
      <c r="D66" s="49">
        <f>VLOOKUP($A66,'Data shares'!$C:$FB,66)</f>
        <v>82748275</v>
      </c>
      <c r="E66" s="49">
        <f>VLOOKUP($A66,'Data shares'!$C:$FB,67)</f>
        <v>88265150</v>
      </c>
      <c r="F66" s="50">
        <f>VLOOKUP($A66,'Data shares'!$C:$FB,69)*100</f>
        <v>-6.25</v>
      </c>
      <c r="G66" s="49">
        <f>VLOOKUP($A66,'Data shares'!$C:$FB,42)</f>
        <v>16448775</v>
      </c>
      <c r="H66" s="49">
        <f>VLOOKUP($A66,'Data shares'!$C:$FB,43)</f>
        <v>20440325</v>
      </c>
      <c r="I66" s="50">
        <f>VLOOKUP($A66,'Data shares'!$C:$FB,45)*100</f>
        <v>-19.53</v>
      </c>
      <c r="J66" s="49">
        <f>VLOOKUP($A66,'Data shares'!$C:$FB,58)</f>
        <v>44765500</v>
      </c>
      <c r="K66" s="49">
        <f>VLOOKUP($A66,'Data shares'!$C:$FB,59)</f>
        <v>38918825</v>
      </c>
      <c r="L66" s="50">
        <f>VLOOKUP($A66,'Data shares'!$C:$FB,61)*100</f>
        <v>15.02</v>
      </c>
      <c r="M66" s="49">
        <f>VLOOKUP($A66,'Data shares'!$C:$FB,62)</f>
        <v>21534000</v>
      </c>
      <c r="N66" s="49">
        <f>VLOOKUP($A66,'Data shares'!$C:$FB,63)</f>
        <v>28906000</v>
      </c>
      <c r="O66" s="140">
        <f>VLOOKUP($A66,'Data shares'!$C:$FB,65)*100</f>
        <v>-25.5</v>
      </c>
    </row>
    <row r="67" spans="1:15" x14ac:dyDescent="0.25">
      <c r="A67" s="101" t="str">
        <f>'Data shares'!C62</f>
        <v>EXIDEIND</v>
      </c>
      <c r="B67" s="50">
        <f>VLOOKUP($A67,'Data shares'!$C:$FB,7)</f>
        <v>363.25</v>
      </c>
      <c r="C67" s="50">
        <f>VLOOKUP($A67,'Data shares'!$C:$FB,10)*100</f>
        <v>0.28999999999999998</v>
      </c>
      <c r="D67" s="49">
        <f>VLOOKUP($A67,'Data shares'!$C:$FB,66)</f>
        <v>8852400</v>
      </c>
      <c r="E67" s="49">
        <f>VLOOKUP($A67,'Data shares'!$C:$FB,67)</f>
        <v>11876400</v>
      </c>
      <c r="F67" s="50">
        <f>VLOOKUP($A67,'Data shares'!$C:$FB,69)*100</f>
        <v>-25.46</v>
      </c>
      <c r="G67" s="49">
        <f>VLOOKUP($A67,'Data shares'!$C:$FB,42)</f>
        <v>1774800</v>
      </c>
      <c r="H67" s="49">
        <f>VLOOKUP($A67,'Data shares'!$C:$FB,43)</f>
        <v>2728800</v>
      </c>
      <c r="I67" s="50">
        <f>VLOOKUP($A67,'Data shares'!$C:$FB,45)*100</f>
        <v>-34.96</v>
      </c>
      <c r="J67" s="49">
        <f>VLOOKUP($A67,'Data shares'!$C:$FB,58)</f>
        <v>5333400</v>
      </c>
      <c r="K67" s="49">
        <f>VLOOKUP($A67,'Data shares'!$C:$FB,59)</f>
        <v>6456600</v>
      </c>
      <c r="L67" s="50">
        <f>VLOOKUP($A67,'Data shares'!$C:$FB,61)*100</f>
        <v>-17.399999999999999</v>
      </c>
      <c r="M67" s="49">
        <f>VLOOKUP($A67,'Data shares'!$C:$FB,62)</f>
        <v>1744200</v>
      </c>
      <c r="N67" s="49">
        <f>VLOOKUP($A67,'Data shares'!$C:$FB,63)</f>
        <v>2691000</v>
      </c>
      <c r="O67" s="140">
        <f>VLOOKUP($A67,'Data shares'!$C:$FB,65)*100</f>
        <v>-35.18</v>
      </c>
    </row>
    <row r="68" spans="1:15" x14ac:dyDescent="0.25">
      <c r="A68" s="101" t="str">
        <f>'Data shares'!C63</f>
        <v>FEDERALBNK</v>
      </c>
      <c r="B68" s="50">
        <f>VLOOKUP($A68,'Data shares'!$C:$FB,7)</f>
        <v>266.25</v>
      </c>
      <c r="C68" s="50">
        <f>VLOOKUP($A68,'Data shares'!$C:$FB,10)*100</f>
        <v>-0.32</v>
      </c>
      <c r="D68" s="49">
        <f>VLOOKUP($A68,'Data shares'!$C:$FB,66)</f>
        <v>39010000</v>
      </c>
      <c r="E68" s="49">
        <f>VLOOKUP($A68,'Data shares'!$C:$FB,67)</f>
        <v>64540000</v>
      </c>
      <c r="F68" s="50">
        <f>VLOOKUP($A68,'Data shares'!$C:$FB,69)*100</f>
        <v>-39.56</v>
      </c>
      <c r="G68" s="49">
        <f>VLOOKUP($A68,'Data shares'!$C:$FB,42)</f>
        <v>7100000</v>
      </c>
      <c r="H68" s="49">
        <f>VLOOKUP($A68,'Data shares'!$C:$FB,43)</f>
        <v>14905000</v>
      </c>
      <c r="I68" s="50">
        <f>VLOOKUP($A68,'Data shares'!$C:$FB,45)*100</f>
        <v>-52.359999999999992</v>
      </c>
      <c r="J68" s="49">
        <f>VLOOKUP($A68,'Data shares'!$C:$FB,58)</f>
        <v>18950000</v>
      </c>
      <c r="K68" s="49">
        <f>VLOOKUP($A68,'Data shares'!$C:$FB,59)</f>
        <v>31345000</v>
      </c>
      <c r="L68" s="50">
        <f>VLOOKUP($A68,'Data shares'!$C:$FB,61)*100</f>
        <v>-39.54</v>
      </c>
      <c r="M68" s="49">
        <f>VLOOKUP($A68,'Data shares'!$C:$FB,62)</f>
        <v>12960000</v>
      </c>
      <c r="N68" s="49">
        <f>VLOOKUP($A68,'Data shares'!$C:$FB,63)</f>
        <v>18290000</v>
      </c>
      <c r="O68" s="140">
        <f>VLOOKUP($A68,'Data shares'!$C:$FB,65)*100</f>
        <v>-29.14</v>
      </c>
    </row>
    <row r="69" spans="1:15" x14ac:dyDescent="0.25">
      <c r="A69" s="101" t="str">
        <f>'Data shares'!C64</f>
        <v>FINNIFTY</v>
      </c>
      <c r="B69" s="50">
        <f>VLOOKUP($A69,'Data shares'!$C:$FB,7)</f>
        <v>27666.799999999999</v>
      </c>
      <c r="C69" s="50">
        <f>VLOOKUP($A69,'Data shares'!$C:$FB,10)*100</f>
        <v>0.19</v>
      </c>
      <c r="D69" s="49">
        <f>VLOOKUP($A69,'Data shares'!$C:$FB,66)</f>
        <v>663360</v>
      </c>
      <c r="E69" s="49">
        <f>VLOOKUP($A69,'Data shares'!$C:$FB,67)</f>
        <v>963480</v>
      </c>
      <c r="F69" s="50">
        <f>VLOOKUP($A69,'Data shares'!$C:$FB,69)*100</f>
        <v>-31.15</v>
      </c>
      <c r="G69" s="49">
        <f>VLOOKUP($A69,'Data shares'!$C:$FB,42)</f>
        <v>11880</v>
      </c>
      <c r="H69" s="49">
        <f>VLOOKUP($A69,'Data shares'!$C:$FB,43)</f>
        <v>27300</v>
      </c>
      <c r="I69" s="50">
        <f>VLOOKUP($A69,'Data shares'!$C:$FB,45)*100</f>
        <v>-56.48</v>
      </c>
      <c r="J69" s="49">
        <f>VLOOKUP($A69,'Data shares'!$C:$FB,58)</f>
        <v>313860</v>
      </c>
      <c r="K69" s="49">
        <f>VLOOKUP($A69,'Data shares'!$C:$FB,59)</f>
        <v>522540</v>
      </c>
      <c r="L69" s="50">
        <f>VLOOKUP($A69,'Data shares'!$C:$FB,61)*100</f>
        <v>-39.94</v>
      </c>
      <c r="M69" s="49">
        <f>VLOOKUP($A69,'Data shares'!$C:$FB,62)</f>
        <v>337620</v>
      </c>
      <c r="N69" s="49">
        <f>VLOOKUP($A69,'Data shares'!$C:$FB,63)</f>
        <v>413640</v>
      </c>
      <c r="O69" s="140">
        <f>VLOOKUP($A69,'Data shares'!$C:$FB,65)*100</f>
        <v>-18.38</v>
      </c>
    </row>
    <row r="70" spans="1:15" x14ac:dyDescent="0.25">
      <c r="A70" s="101" t="str">
        <f>'Data shares'!C65</f>
        <v>FORTIS</v>
      </c>
      <c r="B70" s="50">
        <f>VLOOKUP($A70,'Data shares'!$C:$FB,7)</f>
        <v>900.55</v>
      </c>
      <c r="C70" s="50">
        <f>VLOOKUP($A70,'Data shares'!$C:$FB,10)*100</f>
        <v>1.87</v>
      </c>
      <c r="D70" s="49">
        <f>VLOOKUP($A70,'Data shares'!$C:$FB,66)</f>
        <v>4813525</v>
      </c>
      <c r="E70" s="49">
        <f>VLOOKUP($A70,'Data shares'!$C:$FB,67)</f>
        <v>2223475</v>
      </c>
      <c r="F70" s="50">
        <f>VLOOKUP($A70,'Data shares'!$C:$FB,69)*100</f>
        <v>116.49000000000001</v>
      </c>
      <c r="G70" s="49">
        <f>VLOOKUP($A70,'Data shares'!$C:$FB,42)</f>
        <v>1367875</v>
      </c>
      <c r="H70" s="49">
        <f>VLOOKUP($A70,'Data shares'!$C:$FB,43)</f>
        <v>998975</v>
      </c>
      <c r="I70" s="50">
        <f>VLOOKUP($A70,'Data shares'!$C:$FB,45)*100</f>
        <v>36.93</v>
      </c>
      <c r="J70" s="49">
        <f>VLOOKUP($A70,'Data shares'!$C:$FB,58)</f>
        <v>2821000</v>
      </c>
      <c r="K70" s="49">
        <f>VLOOKUP($A70,'Data shares'!$C:$FB,59)</f>
        <v>922250</v>
      </c>
      <c r="L70" s="50">
        <f>VLOOKUP($A70,'Data shares'!$C:$FB,61)*100</f>
        <v>205.88000000000002</v>
      </c>
      <c r="M70" s="49">
        <f>VLOOKUP($A70,'Data shares'!$C:$FB,62)</f>
        <v>624650</v>
      </c>
      <c r="N70" s="49">
        <f>VLOOKUP($A70,'Data shares'!$C:$FB,63)</f>
        <v>302250</v>
      </c>
      <c r="O70" s="140">
        <f>VLOOKUP($A70,'Data shares'!$C:$FB,65)*100</f>
        <v>106.67</v>
      </c>
    </row>
    <row r="71" spans="1:15" x14ac:dyDescent="0.25">
      <c r="A71" s="101" t="str">
        <f>'Data shares'!C66</f>
        <v>GAIL</v>
      </c>
      <c r="B71" s="50">
        <f>VLOOKUP($A71,'Data shares'!$C:$FB,7)</f>
        <v>171.77</v>
      </c>
      <c r="C71" s="50">
        <f>VLOOKUP($A71,'Data shares'!$C:$FB,10)*100</f>
        <v>-0.22999999999999998</v>
      </c>
      <c r="D71" s="49">
        <f>VLOOKUP($A71,'Data shares'!$C:$FB,66)</f>
        <v>19293750</v>
      </c>
      <c r="E71" s="49">
        <f>VLOOKUP($A71,'Data shares'!$C:$FB,67)</f>
        <v>41523300</v>
      </c>
      <c r="F71" s="50">
        <f>VLOOKUP($A71,'Data shares'!$C:$FB,69)*100</f>
        <v>-53.54</v>
      </c>
      <c r="G71" s="49">
        <f>VLOOKUP($A71,'Data shares'!$C:$FB,42)</f>
        <v>3880800</v>
      </c>
      <c r="H71" s="49">
        <f>VLOOKUP($A71,'Data shares'!$C:$FB,43)</f>
        <v>9434250</v>
      </c>
      <c r="I71" s="50">
        <f>VLOOKUP($A71,'Data shares'!$C:$FB,45)*100</f>
        <v>-58.86</v>
      </c>
      <c r="J71" s="49">
        <f>VLOOKUP($A71,'Data shares'!$C:$FB,58)</f>
        <v>10470600</v>
      </c>
      <c r="K71" s="49">
        <f>VLOOKUP($A71,'Data shares'!$C:$FB,59)</f>
        <v>17810100</v>
      </c>
      <c r="L71" s="50">
        <f>VLOOKUP($A71,'Data shares'!$C:$FB,61)*100</f>
        <v>-41.21</v>
      </c>
      <c r="M71" s="49">
        <f>VLOOKUP($A71,'Data shares'!$C:$FB,62)</f>
        <v>4942350</v>
      </c>
      <c r="N71" s="49">
        <f>VLOOKUP($A71,'Data shares'!$C:$FB,63)</f>
        <v>14278950</v>
      </c>
      <c r="O71" s="140">
        <f>VLOOKUP($A71,'Data shares'!$C:$FB,65)*100</f>
        <v>-65.39</v>
      </c>
    </row>
    <row r="72" spans="1:15" x14ac:dyDescent="0.25">
      <c r="A72" s="101" t="str">
        <f>'Data shares'!C67</f>
        <v>GLENMARK</v>
      </c>
      <c r="B72" s="50">
        <f>VLOOKUP($A72,'Data shares'!$C:$FB,7)</f>
        <v>2026.2</v>
      </c>
      <c r="C72" s="50">
        <f>VLOOKUP($A72,'Data shares'!$C:$FB,10)*100</f>
        <v>-0.44</v>
      </c>
      <c r="D72" s="49">
        <f>VLOOKUP($A72,'Data shares'!$C:$FB,66)</f>
        <v>2244000</v>
      </c>
      <c r="E72" s="49">
        <f>VLOOKUP($A72,'Data shares'!$C:$FB,67)</f>
        <v>3938625</v>
      </c>
      <c r="F72" s="50">
        <f>VLOOKUP($A72,'Data shares'!$C:$FB,69)*100</f>
        <v>-43.03</v>
      </c>
      <c r="G72" s="49">
        <f>VLOOKUP($A72,'Data shares'!$C:$FB,42)</f>
        <v>616125</v>
      </c>
      <c r="H72" s="49">
        <f>VLOOKUP($A72,'Data shares'!$C:$FB,43)</f>
        <v>990750</v>
      </c>
      <c r="I72" s="50">
        <f>VLOOKUP($A72,'Data shares'!$C:$FB,45)*100</f>
        <v>-37.81</v>
      </c>
      <c r="J72" s="49">
        <f>VLOOKUP($A72,'Data shares'!$C:$FB,58)</f>
        <v>1120500</v>
      </c>
      <c r="K72" s="49">
        <f>VLOOKUP($A72,'Data shares'!$C:$FB,59)</f>
        <v>2105250</v>
      </c>
      <c r="L72" s="50">
        <f>VLOOKUP($A72,'Data shares'!$C:$FB,61)*100</f>
        <v>-46.78</v>
      </c>
      <c r="M72" s="49">
        <f>VLOOKUP($A72,'Data shares'!$C:$FB,62)</f>
        <v>507375</v>
      </c>
      <c r="N72" s="49">
        <f>VLOOKUP($A72,'Data shares'!$C:$FB,63)</f>
        <v>842625</v>
      </c>
      <c r="O72" s="140">
        <f>VLOOKUP($A72,'Data shares'!$C:$FB,65)*100</f>
        <v>-39.79</v>
      </c>
    </row>
    <row r="73" spans="1:15" x14ac:dyDescent="0.25">
      <c r="A73" s="101" t="str">
        <f>'Data shares'!C68</f>
        <v>GMRAIRPORT</v>
      </c>
      <c r="B73" s="50">
        <f>VLOOKUP($A73,'Data shares'!$C:$FB,7)</f>
        <v>105.5</v>
      </c>
      <c r="C73" s="50">
        <f>VLOOKUP($A73,'Data shares'!$C:$FB,10)*100</f>
        <v>1.08</v>
      </c>
      <c r="D73" s="49">
        <f>VLOOKUP($A73,'Data shares'!$C:$FB,66)</f>
        <v>103013775</v>
      </c>
      <c r="E73" s="49">
        <f>VLOOKUP($A73,'Data shares'!$C:$FB,67)</f>
        <v>125703450</v>
      </c>
      <c r="F73" s="50">
        <f>VLOOKUP($A73,'Data shares'!$C:$FB,69)*100</f>
        <v>-18.05</v>
      </c>
      <c r="G73" s="49">
        <f>VLOOKUP($A73,'Data shares'!$C:$FB,42)</f>
        <v>22396725</v>
      </c>
      <c r="H73" s="49">
        <f>VLOOKUP($A73,'Data shares'!$C:$FB,43)</f>
        <v>30306375</v>
      </c>
      <c r="I73" s="50">
        <f>VLOOKUP($A73,'Data shares'!$C:$FB,45)*100</f>
        <v>-26.1</v>
      </c>
      <c r="J73" s="49">
        <f>VLOOKUP($A73,'Data shares'!$C:$FB,58)</f>
        <v>61331175</v>
      </c>
      <c r="K73" s="49">
        <f>VLOOKUP($A73,'Data shares'!$C:$FB,59)</f>
        <v>70831125</v>
      </c>
      <c r="L73" s="50">
        <f>VLOOKUP($A73,'Data shares'!$C:$FB,61)*100</f>
        <v>-13.41</v>
      </c>
      <c r="M73" s="49">
        <f>VLOOKUP($A73,'Data shares'!$C:$FB,62)</f>
        <v>19285875</v>
      </c>
      <c r="N73" s="49">
        <f>VLOOKUP($A73,'Data shares'!$C:$FB,63)</f>
        <v>24565950</v>
      </c>
      <c r="O73" s="140">
        <f>VLOOKUP($A73,'Data shares'!$C:$FB,65)*100</f>
        <v>-21.490000000000002</v>
      </c>
    </row>
    <row r="74" spans="1:15" x14ac:dyDescent="0.25">
      <c r="A74" s="101" t="str">
        <f>'Data shares'!C69</f>
        <v>GODREJCP</v>
      </c>
      <c r="B74" s="50">
        <f>VLOOKUP($A74,'Data shares'!$C:$FB,7)</f>
        <v>1243.4000000000001</v>
      </c>
      <c r="C74" s="50">
        <f>VLOOKUP($A74,'Data shares'!$C:$FB,10)*100</f>
        <v>1.73</v>
      </c>
      <c r="D74" s="49">
        <f>VLOOKUP($A74,'Data shares'!$C:$FB,66)</f>
        <v>3615500</v>
      </c>
      <c r="E74" s="49">
        <f>VLOOKUP($A74,'Data shares'!$C:$FB,67)</f>
        <v>3741500</v>
      </c>
      <c r="F74" s="50">
        <f>VLOOKUP($A74,'Data shares'!$C:$FB,69)*100</f>
        <v>-3.37</v>
      </c>
      <c r="G74" s="49">
        <f>VLOOKUP($A74,'Data shares'!$C:$FB,42)</f>
        <v>1350000</v>
      </c>
      <c r="H74" s="49">
        <f>VLOOKUP($A74,'Data shares'!$C:$FB,43)</f>
        <v>1271500</v>
      </c>
      <c r="I74" s="50">
        <f>VLOOKUP($A74,'Data shares'!$C:$FB,45)*100</f>
        <v>6.17</v>
      </c>
      <c r="J74" s="49">
        <f>VLOOKUP($A74,'Data shares'!$C:$FB,58)</f>
        <v>1395500</v>
      </c>
      <c r="K74" s="49">
        <f>VLOOKUP($A74,'Data shares'!$C:$FB,59)</f>
        <v>1776000</v>
      </c>
      <c r="L74" s="50">
        <f>VLOOKUP($A74,'Data shares'!$C:$FB,61)*100</f>
        <v>-21.42</v>
      </c>
      <c r="M74" s="49">
        <f>VLOOKUP($A74,'Data shares'!$C:$FB,62)</f>
        <v>870000</v>
      </c>
      <c r="N74" s="49">
        <f>VLOOKUP($A74,'Data shares'!$C:$FB,63)</f>
        <v>694000</v>
      </c>
      <c r="O74" s="140">
        <f>VLOOKUP($A74,'Data shares'!$C:$FB,65)*100</f>
        <v>25.36</v>
      </c>
    </row>
    <row r="75" spans="1:15" x14ac:dyDescent="0.25">
      <c r="A75" s="101" t="str">
        <f>'Data shares'!C70</f>
        <v>GODREJPROP</v>
      </c>
      <c r="B75" s="50">
        <f>VLOOKUP($A75,'Data shares'!$C:$FB,7)</f>
        <v>2015.3</v>
      </c>
      <c r="C75" s="50">
        <f>VLOOKUP($A75,'Data shares'!$C:$FB,10)*100</f>
        <v>0.54</v>
      </c>
      <c r="D75" s="49">
        <f>VLOOKUP($A75,'Data shares'!$C:$FB,66)</f>
        <v>2484075</v>
      </c>
      <c r="E75" s="49">
        <f>VLOOKUP($A75,'Data shares'!$C:$FB,67)</f>
        <v>3521375</v>
      </c>
      <c r="F75" s="50">
        <f>VLOOKUP($A75,'Data shares'!$C:$FB,69)*100</f>
        <v>-29.459999999999997</v>
      </c>
      <c r="G75" s="49">
        <f>VLOOKUP($A75,'Data shares'!$C:$FB,42)</f>
        <v>783200</v>
      </c>
      <c r="H75" s="49">
        <f>VLOOKUP($A75,'Data shares'!$C:$FB,43)</f>
        <v>1019425</v>
      </c>
      <c r="I75" s="50">
        <f>VLOOKUP($A75,'Data shares'!$C:$FB,45)*100</f>
        <v>-23.169999999999998</v>
      </c>
      <c r="J75" s="49">
        <f>VLOOKUP($A75,'Data shares'!$C:$FB,58)</f>
        <v>1185250</v>
      </c>
      <c r="K75" s="49">
        <f>VLOOKUP($A75,'Data shares'!$C:$FB,59)</f>
        <v>1762475</v>
      </c>
      <c r="L75" s="50">
        <f>VLOOKUP($A75,'Data shares'!$C:$FB,61)*100</f>
        <v>-32.75</v>
      </c>
      <c r="M75" s="49">
        <f>VLOOKUP($A75,'Data shares'!$C:$FB,62)</f>
        <v>515625</v>
      </c>
      <c r="N75" s="49">
        <f>VLOOKUP($A75,'Data shares'!$C:$FB,63)</f>
        <v>739475</v>
      </c>
      <c r="O75" s="140">
        <f>VLOOKUP($A75,'Data shares'!$C:$FB,65)*100</f>
        <v>-30.270000000000003</v>
      </c>
    </row>
    <row r="76" spans="1:15" x14ac:dyDescent="0.25">
      <c r="A76" s="101" t="str">
        <f>'Data shares'!C71</f>
        <v>GRASIM</v>
      </c>
      <c r="B76" s="50">
        <f>VLOOKUP($A76,'Data shares'!$C:$FB,7)</f>
        <v>2851.7</v>
      </c>
      <c r="C76" s="50">
        <f>VLOOKUP($A76,'Data shares'!$C:$FB,10)*100</f>
        <v>0.8</v>
      </c>
      <c r="D76" s="49">
        <f>VLOOKUP($A76,'Data shares'!$C:$FB,66)</f>
        <v>1734000</v>
      </c>
      <c r="E76" s="49">
        <f>VLOOKUP($A76,'Data shares'!$C:$FB,67)</f>
        <v>3524250</v>
      </c>
      <c r="F76" s="50">
        <f>VLOOKUP($A76,'Data shares'!$C:$FB,69)*100</f>
        <v>-50.8</v>
      </c>
      <c r="G76" s="49">
        <f>VLOOKUP($A76,'Data shares'!$C:$FB,42)</f>
        <v>498000</v>
      </c>
      <c r="H76" s="49">
        <f>VLOOKUP($A76,'Data shares'!$C:$FB,43)</f>
        <v>1061750</v>
      </c>
      <c r="I76" s="50">
        <f>VLOOKUP($A76,'Data shares'!$C:$FB,45)*100</f>
        <v>-53.1</v>
      </c>
      <c r="J76" s="49">
        <f>VLOOKUP($A76,'Data shares'!$C:$FB,58)</f>
        <v>824500</v>
      </c>
      <c r="K76" s="49">
        <f>VLOOKUP($A76,'Data shares'!$C:$FB,59)</f>
        <v>1281250</v>
      </c>
      <c r="L76" s="50">
        <f>VLOOKUP($A76,'Data shares'!$C:$FB,61)*100</f>
        <v>-35.65</v>
      </c>
      <c r="M76" s="49">
        <f>VLOOKUP($A76,'Data shares'!$C:$FB,62)</f>
        <v>411500</v>
      </c>
      <c r="N76" s="49">
        <f>VLOOKUP($A76,'Data shares'!$C:$FB,63)</f>
        <v>1181250</v>
      </c>
      <c r="O76" s="140">
        <f>VLOOKUP($A76,'Data shares'!$C:$FB,65)*100</f>
        <v>-65.16</v>
      </c>
    </row>
    <row r="77" spans="1:15" x14ac:dyDescent="0.25">
      <c r="A77" s="101" t="str">
        <f>'Data shares'!C72</f>
        <v>HAL</v>
      </c>
      <c r="B77" s="50">
        <f>VLOOKUP($A77,'Data shares'!$C:$FB,7)</f>
        <v>4397.8999999999996</v>
      </c>
      <c r="C77" s="50">
        <f>VLOOKUP($A77,'Data shares'!$C:$FB,10)*100</f>
        <v>0.21</v>
      </c>
      <c r="D77" s="49">
        <f>VLOOKUP($A77,'Data shares'!$C:$FB,66)</f>
        <v>3976200</v>
      </c>
      <c r="E77" s="49">
        <f>VLOOKUP($A77,'Data shares'!$C:$FB,67)</f>
        <v>6019950</v>
      </c>
      <c r="F77" s="50">
        <f>VLOOKUP($A77,'Data shares'!$C:$FB,69)*100</f>
        <v>-33.950000000000003</v>
      </c>
      <c r="G77" s="49">
        <f>VLOOKUP($A77,'Data shares'!$C:$FB,42)</f>
        <v>819300</v>
      </c>
      <c r="H77" s="49">
        <f>VLOOKUP($A77,'Data shares'!$C:$FB,43)</f>
        <v>887550</v>
      </c>
      <c r="I77" s="50">
        <f>VLOOKUP($A77,'Data shares'!$C:$FB,45)*100</f>
        <v>-7.6899999999999995</v>
      </c>
      <c r="J77" s="49">
        <f>VLOOKUP($A77,'Data shares'!$C:$FB,58)</f>
        <v>2079150</v>
      </c>
      <c r="K77" s="49">
        <f>VLOOKUP($A77,'Data shares'!$C:$FB,59)</f>
        <v>3782700</v>
      </c>
      <c r="L77" s="50">
        <f>VLOOKUP($A77,'Data shares'!$C:$FB,61)*100</f>
        <v>-45.04</v>
      </c>
      <c r="M77" s="49">
        <f>VLOOKUP($A77,'Data shares'!$C:$FB,62)</f>
        <v>1077750</v>
      </c>
      <c r="N77" s="49">
        <f>VLOOKUP($A77,'Data shares'!$C:$FB,63)</f>
        <v>1349700</v>
      </c>
      <c r="O77" s="140">
        <f>VLOOKUP($A77,'Data shares'!$C:$FB,65)*100</f>
        <v>-20.150000000000002</v>
      </c>
    </row>
    <row r="78" spans="1:15" x14ac:dyDescent="0.25">
      <c r="A78" s="101" t="str">
        <f>'Data shares'!C73</f>
        <v>HAVELLS</v>
      </c>
      <c r="B78" s="50">
        <f>VLOOKUP($A78,'Data shares'!$C:$FB,7)</f>
        <v>1417.5</v>
      </c>
      <c r="C78" s="50">
        <f>VLOOKUP($A78,'Data shares'!$C:$FB,10)*100</f>
        <v>-0.52</v>
      </c>
      <c r="D78" s="49">
        <f>VLOOKUP($A78,'Data shares'!$C:$FB,66)</f>
        <v>1928000</v>
      </c>
      <c r="E78" s="49">
        <f>VLOOKUP($A78,'Data shares'!$C:$FB,67)</f>
        <v>2515500</v>
      </c>
      <c r="F78" s="50">
        <f>VLOOKUP($A78,'Data shares'!$C:$FB,69)*100</f>
        <v>-23.36</v>
      </c>
      <c r="G78" s="49">
        <f>VLOOKUP($A78,'Data shares'!$C:$FB,42)</f>
        <v>488000</v>
      </c>
      <c r="H78" s="49">
        <f>VLOOKUP($A78,'Data shares'!$C:$FB,43)</f>
        <v>721000</v>
      </c>
      <c r="I78" s="50">
        <f>VLOOKUP($A78,'Data shares'!$C:$FB,45)*100</f>
        <v>-32.32</v>
      </c>
      <c r="J78" s="49">
        <f>VLOOKUP($A78,'Data shares'!$C:$FB,58)</f>
        <v>994000</v>
      </c>
      <c r="K78" s="49">
        <f>VLOOKUP($A78,'Data shares'!$C:$FB,59)</f>
        <v>1101000</v>
      </c>
      <c r="L78" s="50">
        <f>VLOOKUP($A78,'Data shares'!$C:$FB,61)*100</f>
        <v>-9.7199999999999989</v>
      </c>
      <c r="M78" s="49">
        <f>VLOOKUP($A78,'Data shares'!$C:$FB,62)</f>
        <v>446000</v>
      </c>
      <c r="N78" s="49">
        <f>VLOOKUP($A78,'Data shares'!$C:$FB,63)</f>
        <v>693500</v>
      </c>
      <c r="O78" s="140">
        <f>VLOOKUP($A78,'Data shares'!$C:$FB,65)*100</f>
        <v>-35.69</v>
      </c>
    </row>
    <row r="79" spans="1:15" x14ac:dyDescent="0.25">
      <c r="A79" s="101" t="str">
        <f>'Data shares'!C74</f>
        <v>HCLTECH</v>
      </c>
      <c r="B79" s="50">
        <f>VLOOKUP($A79,'Data shares'!$C:$FB,7)</f>
        <v>1634.5</v>
      </c>
      <c r="C79" s="50">
        <f>VLOOKUP($A79,'Data shares'!$C:$FB,10)*100</f>
        <v>0.69</v>
      </c>
      <c r="D79" s="49">
        <f>VLOOKUP($A79,'Data shares'!$C:$FB,66)</f>
        <v>7588700</v>
      </c>
      <c r="E79" s="49">
        <f>VLOOKUP($A79,'Data shares'!$C:$FB,67)</f>
        <v>6860700</v>
      </c>
      <c r="F79" s="50">
        <f>VLOOKUP($A79,'Data shares'!$C:$FB,69)*100</f>
        <v>10.61</v>
      </c>
      <c r="G79" s="49">
        <f>VLOOKUP($A79,'Data shares'!$C:$FB,42)</f>
        <v>1038100</v>
      </c>
      <c r="H79" s="49">
        <f>VLOOKUP($A79,'Data shares'!$C:$FB,43)</f>
        <v>1309700</v>
      </c>
      <c r="I79" s="50">
        <f>VLOOKUP($A79,'Data shares'!$C:$FB,45)*100</f>
        <v>-20.74</v>
      </c>
      <c r="J79" s="49">
        <f>VLOOKUP($A79,'Data shares'!$C:$FB,58)</f>
        <v>4666900</v>
      </c>
      <c r="K79" s="49">
        <f>VLOOKUP($A79,'Data shares'!$C:$FB,59)</f>
        <v>3595900</v>
      </c>
      <c r="L79" s="50">
        <f>VLOOKUP($A79,'Data shares'!$C:$FB,61)*100</f>
        <v>29.78</v>
      </c>
      <c r="M79" s="49">
        <f>VLOOKUP($A79,'Data shares'!$C:$FB,62)</f>
        <v>1883700</v>
      </c>
      <c r="N79" s="49">
        <f>VLOOKUP($A79,'Data shares'!$C:$FB,63)</f>
        <v>1955100</v>
      </c>
      <c r="O79" s="140">
        <f>VLOOKUP($A79,'Data shares'!$C:$FB,65)*100</f>
        <v>-3.65</v>
      </c>
    </row>
    <row r="80" spans="1:15" x14ac:dyDescent="0.25">
      <c r="A80" s="101" t="str">
        <f>'Data shares'!C75</f>
        <v>HDFCAMC</v>
      </c>
      <c r="B80" s="50">
        <f>VLOOKUP($A80,'Data shares'!$C:$FB,7)</f>
        <v>2648.2</v>
      </c>
      <c r="C80" s="50">
        <f>VLOOKUP($A80,'Data shares'!$C:$FB,10)*100</f>
        <v>-0.89999999999999991</v>
      </c>
      <c r="D80" s="49">
        <f>VLOOKUP($A80,'Data shares'!$C:$FB,66)</f>
        <v>1755600</v>
      </c>
      <c r="E80" s="49">
        <f>VLOOKUP($A80,'Data shares'!$C:$FB,67)</f>
        <v>3169200</v>
      </c>
      <c r="F80" s="50">
        <f>VLOOKUP($A80,'Data shares'!$C:$FB,69)*100</f>
        <v>-44.6</v>
      </c>
      <c r="G80" s="49">
        <f>VLOOKUP($A80,'Data shares'!$C:$FB,42)</f>
        <v>327000</v>
      </c>
      <c r="H80" s="49">
        <f>VLOOKUP($A80,'Data shares'!$C:$FB,43)</f>
        <v>690900</v>
      </c>
      <c r="I80" s="50">
        <f>VLOOKUP($A80,'Data shares'!$C:$FB,45)*100</f>
        <v>-52.669999999999995</v>
      </c>
      <c r="J80" s="49">
        <f>VLOOKUP($A80,'Data shares'!$C:$FB,58)</f>
        <v>1005600</v>
      </c>
      <c r="K80" s="49">
        <f>VLOOKUP($A80,'Data shares'!$C:$FB,59)</f>
        <v>1734000</v>
      </c>
      <c r="L80" s="50">
        <f>VLOOKUP($A80,'Data shares'!$C:$FB,61)*100</f>
        <v>-42.01</v>
      </c>
      <c r="M80" s="49">
        <f>VLOOKUP($A80,'Data shares'!$C:$FB,62)</f>
        <v>423000</v>
      </c>
      <c r="N80" s="49">
        <f>VLOOKUP($A80,'Data shares'!$C:$FB,63)</f>
        <v>744300</v>
      </c>
      <c r="O80" s="140">
        <f>VLOOKUP($A80,'Data shares'!$C:$FB,65)*100</f>
        <v>-43.169999999999995</v>
      </c>
    </row>
    <row r="81" spans="1:15" x14ac:dyDescent="0.25">
      <c r="A81" s="101" t="str">
        <f>'Data shares'!C76</f>
        <v>HDFCBANK</v>
      </c>
      <c r="B81" s="50">
        <f>VLOOKUP($A81,'Data shares'!$C:$FB,7)</f>
        <v>991.15</v>
      </c>
      <c r="C81" s="50">
        <f>VLOOKUP($A81,'Data shares'!$C:$FB,10)*100</f>
        <v>-0.01</v>
      </c>
      <c r="D81" s="49">
        <f>VLOOKUP($A81,'Data shares'!$C:$FB,66)</f>
        <v>32320750</v>
      </c>
      <c r="E81" s="49">
        <f>VLOOKUP($A81,'Data shares'!$C:$FB,67)</f>
        <v>65264100</v>
      </c>
      <c r="F81" s="50">
        <f>VLOOKUP($A81,'Data shares'!$C:$FB,69)*100</f>
        <v>-50.480000000000004</v>
      </c>
      <c r="G81" s="49">
        <f>VLOOKUP($A81,'Data shares'!$C:$FB,42)</f>
        <v>7789100</v>
      </c>
      <c r="H81" s="49">
        <f>VLOOKUP($A81,'Data shares'!$C:$FB,43)</f>
        <v>11396000</v>
      </c>
      <c r="I81" s="50">
        <f>VLOOKUP($A81,'Data shares'!$C:$FB,45)*100</f>
        <v>-31.65</v>
      </c>
      <c r="J81" s="49">
        <f>VLOOKUP($A81,'Data shares'!$C:$FB,58)</f>
        <v>15072200</v>
      </c>
      <c r="K81" s="49">
        <f>VLOOKUP($A81,'Data shares'!$C:$FB,59)</f>
        <v>33634150</v>
      </c>
      <c r="L81" s="50">
        <f>VLOOKUP($A81,'Data shares'!$C:$FB,61)*100</f>
        <v>-55.19</v>
      </c>
      <c r="M81" s="49">
        <f>VLOOKUP($A81,'Data shares'!$C:$FB,62)</f>
        <v>9459450</v>
      </c>
      <c r="N81" s="49">
        <f>VLOOKUP($A81,'Data shares'!$C:$FB,63)</f>
        <v>20233950</v>
      </c>
      <c r="O81" s="140">
        <f>VLOOKUP($A81,'Data shares'!$C:$FB,65)*100</f>
        <v>-53.25</v>
      </c>
    </row>
    <row r="82" spans="1:15" x14ac:dyDescent="0.25">
      <c r="A82" s="101" t="str">
        <f>'Data shares'!C77</f>
        <v>HDFCLIFE</v>
      </c>
      <c r="B82" s="50">
        <f>VLOOKUP($A82,'Data shares'!$C:$FB,7)</f>
        <v>750.1</v>
      </c>
      <c r="C82" s="50">
        <f>VLOOKUP($A82,'Data shares'!$C:$FB,10)*100</f>
        <v>0.03</v>
      </c>
      <c r="D82" s="49">
        <f>VLOOKUP($A82,'Data shares'!$C:$FB,66)</f>
        <v>7280900</v>
      </c>
      <c r="E82" s="49">
        <f>VLOOKUP($A82,'Data shares'!$C:$FB,67)</f>
        <v>13351800</v>
      </c>
      <c r="F82" s="50">
        <f>VLOOKUP($A82,'Data shares'!$C:$FB,69)*100</f>
        <v>-45.47</v>
      </c>
      <c r="G82" s="49">
        <f>VLOOKUP($A82,'Data shares'!$C:$FB,42)</f>
        <v>1306800</v>
      </c>
      <c r="H82" s="49">
        <f>VLOOKUP($A82,'Data shares'!$C:$FB,43)</f>
        <v>2404600</v>
      </c>
      <c r="I82" s="50">
        <f>VLOOKUP($A82,'Data shares'!$C:$FB,45)*100</f>
        <v>-45.65</v>
      </c>
      <c r="J82" s="49">
        <f>VLOOKUP($A82,'Data shares'!$C:$FB,58)</f>
        <v>4138200</v>
      </c>
      <c r="K82" s="49">
        <f>VLOOKUP($A82,'Data shares'!$C:$FB,59)</f>
        <v>7441500</v>
      </c>
      <c r="L82" s="50">
        <f>VLOOKUP($A82,'Data shares'!$C:$FB,61)*100</f>
        <v>-44.39</v>
      </c>
      <c r="M82" s="49">
        <f>VLOOKUP($A82,'Data shares'!$C:$FB,62)</f>
        <v>1835900</v>
      </c>
      <c r="N82" s="49">
        <f>VLOOKUP($A82,'Data shares'!$C:$FB,63)</f>
        <v>3505700</v>
      </c>
      <c r="O82" s="140">
        <f>VLOOKUP($A82,'Data shares'!$C:$FB,65)*100</f>
        <v>-47.63</v>
      </c>
    </row>
    <row r="83" spans="1:15" x14ac:dyDescent="0.25">
      <c r="A83" s="101" t="str">
        <f>'Data shares'!C78</f>
        <v>HEROMOTOCO</v>
      </c>
      <c r="B83" s="50">
        <f>VLOOKUP($A83,'Data shares'!$C:$FB,7)</f>
        <v>5841.5</v>
      </c>
      <c r="C83" s="50">
        <f>VLOOKUP($A83,'Data shares'!$C:$FB,10)*100</f>
        <v>1.22</v>
      </c>
      <c r="D83" s="49">
        <f>VLOOKUP($A83,'Data shares'!$C:$FB,66)</f>
        <v>6150150</v>
      </c>
      <c r="E83" s="49">
        <f>VLOOKUP($A83,'Data shares'!$C:$FB,67)</f>
        <v>6885300</v>
      </c>
      <c r="F83" s="50">
        <f>VLOOKUP($A83,'Data shares'!$C:$FB,69)*100</f>
        <v>-10.68</v>
      </c>
      <c r="G83" s="49">
        <f>VLOOKUP($A83,'Data shares'!$C:$FB,42)</f>
        <v>807300</v>
      </c>
      <c r="H83" s="49">
        <f>VLOOKUP($A83,'Data shares'!$C:$FB,43)</f>
        <v>858000</v>
      </c>
      <c r="I83" s="50">
        <f>VLOOKUP($A83,'Data shares'!$C:$FB,45)*100</f>
        <v>-5.91</v>
      </c>
      <c r="J83" s="49">
        <f>VLOOKUP($A83,'Data shares'!$C:$FB,58)</f>
        <v>3652800</v>
      </c>
      <c r="K83" s="49">
        <f>VLOOKUP($A83,'Data shares'!$C:$FB,59)</f>
        <v>4405350</v>
      </c>
      <c r="L83" s="50">
        <f>VLOOKUP($A83,'Data shares'!$C:$FB,61)*100</f>
        <v>-17.080000000000002</v>
      </c>
      <c r="M83" s="49">
        <f>VLOOKUP($A83,'Data shares'!$C:$FB,62)</f>
        <v>1690050</v>
      </c>
      <c r="N83" s="49">
        <f>VLOOKUP($A83,'Data shares'!$C:$FB,63)</f>
        <v>1621950</v>
      </c>
      <c r="O83" s="140">
        <f>VLOOKUP($A83,'Data shares'!$C:$FB,65)*100</f>
        <v>4.2</v>
      </c>
    </row>
    <row r="84" spans="1:15" x14ac:dyDescent="0.25">
      <c r="A84" s="101" t="str">
        <f>'Data shares'!C79</f>
        <v>HINDALCO</v>
      </c>
      <c r="B84" s="50">
        <f>VLOOKUP($A84,'Data shares'!$C:$FB,7)</f>
        <v>894.95</v>
      </c>
      <c r="C84" s="50">
        <f>VLOOKUP($A84,'Data shares'!$C:$FB,10)*100</f>
        <v>0.92999999999999994</v>
      </c>
      <c r="D84" s="49">
        <f>VLOOKUP($A84,'Data shares'!$C:$FB,66)</f>
        <v>25247600</v>
      </c>
      <c r="E84" s="49">
        <f>VLOOKUP($A84,'Data shares'!$C:$FB,67)</f>
        <v>40362700</v>
      </c>
      <c r="F84" s="50">
        <f>VLOOKUP($A84,'Data shares'!$C:$FB,69)*100</f>
        <v>-37.450000000000003</v>
      </c>
      <c r="G84" s="49">
        <f>VLOOKUP($A84,'Data shares'!$C:$FB,42)</f>
        <v>4108300</v>
      </c>
      <c r="H84" s="49">
        <f>VLOOKUP($A84,'Data shares'!$C:$FB,43)</f>
        <v>6027000</v>
      </c>
      <c r="I84" s="50">
        <f>VLOOKUP($A84,'Data shares'!$C:$FB,45)*100</f>
        <v>-31.840000000000003</v>
      </c>
      <c r="J84" s="49">
        <f>VLOOKUP($A84,'Data shares'!$C:$FB,58)</f>
        <v>12676300</v>
      </c>
      <c r="K84" s="49">
        <f>VLOOKUP($A84,'Data shares'!$C:$FB,59)</f>
        <v>24026100</v>
      </c>
      <c r="L84" s="50">
        <f>VLOOKUP($A84,'Data shares'!$C:$FB,61)*100</f>
        <v>-47.24</v>
      </c>
      <c r="M84" s="49">
        <f>VLOOKUP($A84,'Data shares'!$C:$FB,62)</f>
        <v>8463000</v>
      </c>
      <c r="N84" s="49">
        <f>VLOOKUP($A84,'Data shares'!$C:$FB,63)</f>
        <v>10309600</v>
      </c>
      <c r="O84" s="140">
        <f>VLOOKUP($A84,'Data shares'!$C:$FB,65)*100</f>
        <v>-17.91</v>
      </c>
    </row>
    <row r="85" spans="1:15" x14ac:dyDescent="0.25">
      <c r="A85" s="101" t="str">
        <f>'Data shares'!C80</f>
        <v>HINDPETRO</v>
      </c>
      <c r="B85" s="50">
        <f>VLOOKUP($A85,'Data shares'!$C:$FB,7)</f>
        <v>498.6</v>
      </c>
      <c r="C85" s="50">
        <f>VLOOKUP($A85,'Data shares'!$C:$FB,10)*100</f>
        <v>-0.09</v>
      </c>
      <c r="D85" s="49">
        <f>VLOOKUP($A85,'Data shares'!$C:$FB,66)</f>
        <v>39740625</v>
      </c>
      <c r="E85" s="49">
        <f>VLOOKUP($A85,'Data shares'!$C:$FB,67)</f>
        <v>97050150</v>
      </c>
      <c r="F85" s="50">
        <f>VLOOKUP($A85,'Data shares'!$C:$FB,69)*100</f>
        <v>-59.050000000000004</v>
      </c>
      <c r="G85" s="49">
        <f>VLOOKUP($A85,'Data shares'!$C:$FB,42)</f>
        <v>6129675</v>
      </c>
      <c r="H85" s="49">
        <f>VLOOKUP($A85,'Data shares'!$C:$FB,43)</f>
        <v>14006925</v>
      </c>
      <c r="I85" s="50">
        <f>VLOOKUP($A85,'Data shares'!$C:$FB,45)*100</f>
        <v>-56.24</v>
      </c>
      <c r="J85" s="49">
        <f>VLOOKUP($A85,'Data shares'!$C:$FB,58)</f>
        <v>21062025</v>
      </c>
      <c r="K85" s="49">
        <f>VLOOKUP($A85,'Data shares'!$C:$FB,59)</f>
        <v>59735475</v>
      </c>
      <c r="L85" s="50">
        <f>VLOOKUP($A85,'Data shares'!$C:$FB,61)*100</f>
        <v>-64.739999999999995</v>
      </c>
      <c r="M85" s="49">
        <f>VLOOKUP($A85,'Data shares'!$C:$FB,62)</f>
        <v>12548925</v>
      </c>
      <c r="N85" s="49">
        <f>VLOOKUP($A85,'Data shares'!$C:$FB,63)</f>
        <v>23307750</v>
      </c>
      <c r="O85" s="140">
        <f>VLOOKUP($A85,'Data shares'!$C:$FB,65)*100</f>
        <v>-46.160000000000004</v>
      </c>
    </row>
    <row r="86" spans="1:15" x14ac:dyDescent="0.25">
      <c r="A86" s="101" t="str">
        <f>'Data shares'!C81</f>
        <v>HINDUNILVR</v>
      </c>
      <c r="B86" s="50">
        <f>VLOOKUP($A86,'Data shares'!$C:$FB,7)</f>
        <v>2323</v>
      </c>
      <c r="C86" s="50">
        <f>VLOOKUP($A86,'Data shares'!$C:$FB,10)*100</f>
        <v>0.31</v>
      </c>
      <c r="D86" s="49">
        <f>VLOOKUP($A86,'Data shares'!$C:$FB,66)</f>
        <v>7830300</v>
      </c>
      <c r="E86" s="49">
        <f>VLOOKUP($A86,'Data shares'!$C:$FB,67)</f>
        <v>10696500</v>
      </c>
      <c r="F86" s="50">
        <f>VLOOKUP($A86,'Data shares'!$C:$FB,69)*100</f>
        <v>-26.8</v>
      </c>
      <c r="G86" s="49">
        <f>VLOOKUP($A86,'Data shares'!$C:$FB,42)</f>
        <v>1140300</v>
      </c>
      <c r="H86" s="49">
        <f>VLOOKUP($A86,'Data shares'!$C:$FB,43)</f>
        <v>1790400</v>
      </c>
      <c r="I86" s="50">
        <f>VLOOKUP($A86,'Data shares'!$C:$FB,45)*100</f>
        <v>-36.309999999999995</v>
      </c>
      <c r="J86" s="49">
        <f>VLOOKUP($A86,'Data shares'!$C:$FB,58)</f>
        <v>4235700</v>
      </c>
      <c r="K86" s="49">
        <f>VLOOKUP($A86,'Data shares'!$C:$FB,59)</f>
        <v>6125100</v>
      </c>
      <c r="L86" s="50">
        <f>VLOOKUP($A86,'Data shares'!$C:$FB,61)*100</f>
        <v>-30.85</v>
      </c>
      <c r="M86" s="49">
        <f>VLOOKUP($A86,'Data shares'!$C:$FB,62)</f>
        <v>2454300</v>
      </c>
      <c r="N86" s="49">
        <f>VLOOKUP($A86,'Data shares'!$C:$FB,63)</f>
        <v>2781000</v>
      </c>
      <c r="O86" s="140">
        <f>VLOOKUP($A86,'Data shares'!$C:$FB,65)*100</f>
        <v>-11.75</v>
      </c>
    </row>
    <row r="87" spans="1:15" x14ac:dyDescent="0.25">
      <c r="A87" s="101" t="str">
        <f>'Data shares'!C82</f>
        <v>HINDZINC</v>
      </c>
      <c r="B87" s="50">
        <f>VLOOKUP($A87,'Data shares'!$C:$FB,7)</f>
        <v>611.95000000000005</v>
      </c>
      <c r="C87" s="50">
        <f>VLOOKUP($A87,'Data shares'!$C:$FB,10)*100</f>
        <v>-0.08</v>
      </c>
      <c r="D87" s="49">
        <f>VLOOKUP($A87,'Data shares'!$C:$FB,66)</f>
        <v>41970950</v>
      </c>
      <c r="E87" s="49">
        <f>VLOOKUP($A87,'Data shares'!$C:$FB,67)</f>
        <v>91882350</v>
      </c>
      <c r="F87" s="50">
        <f>VLOOKUP($A87,'Data shares'!$C:$FB,69)*100</f>
        <v>-54.32</v>
      </c>
      <c r="G87" s="49">
        <f>VLOOKUP($A87,'Data shares'!$C:$FB,42)</f>
        <v>6673800</v>
      </c>
      <c r="H87" s="49">
        <f>VLOOKUP($A87,'Data shares'!$C:$FB,43)</f>
        <v>15103025</v>
      </c>
      <c r="I87" s="50">
        <f>VLOOKUP($A87,'Data shares'!$C:$FB,45)*100</f>
        <v>-55.81</v>
      </c>
      <c r="J87" s="49">
        <f>VLOOKUP($A87,'Data shares'!$C:$FB,58)</f>
        <v>21949550</v>
      </c>
      <c r="K87" s="49">
        <f>VLOOKUP($A87,'Data shares'!$C:$FB,59)</f>
        <v>45906875</v>
      </c>
      <c r="L87" s="50">
        <f>VLOOKUP($A87,'Data shares'!$C:$FB,61)*100</f>
        <v>-52.190000000000005</v>
      </c>
      <c r="M87" s="49">
        <f>VLOOKUP($A87,'Data shares'!$C:$FB,62)</f>
        <v>13347600</v>
      </c>
      <c r="N87" s="49">
        <f>VLOOKUP($A87,'Data shares'!$C:$FB,63)</f>
        <v>30872450</v>
      </c>
      <c r="O87" s="140">
        <f>VLOOKUP($A87,'Data shares'!$C:$FB,65)*100</f>
        <v>-56.769999999999996</v>
      </c>
    </row>
    <row r="88" spans="1:15" x14ac:dyDescent="0.25">
      <c r="A88" s="101" t="str">
        <f>'Data shares'!C83</f>
        <v>HUDCO</v>
      </c>
      <c r="B88" s="50">
        <f>VLOOKUP($A88,'Data shares'!$C:$FB,7)</f>
        <v>227.58</v>
      </c>
      <c r="C88" s="50">
        <f>VLOOKUP($A88,'Data shares'!$C:$FB,10)*100</f>
        <v>-0.24</v>
      </c>
      <c r="D88" s="49">
        <f>VLOOKUP($A88,'Data shares'!$C:$FB,66)</f>
        <v>16769325</v>
      </c>
      <c r="E88" s="49">
        <f>VLOOKUP($A88,'Data shares'!$C:$FB,67)</f>
        <v>37004625</v>
      </c>
      <c r="F88" s="50">
        <f>VLOOKUP($A88,'Data shares'!$C:$FB,69)*100</f>
        <v>-54.679999999999993</v>
      </c>
      <c r="G88" s="49">
        <f>VLOOKUP($A88,'Data shares'!$C:$FB,42)</f>
        <v>5402925</v>
      </c>
      <c r="H88" s="49">
        <f>VLOOKUP($A88,'Data shares'!$C:$FB,43)</f>
        <v>11330325</v>
      </c>
      <c r="I88" s="50">
        <f>VLOOKUP($A88,'Data shares'!$C:$FB,45)*100</f>
        <v>-52.31</v>
      </c>
      <c r="J88" s="49">
        <f>VLOOKUP($A88,'Data shares'!$C:$FB,58)</f>
        <v>7980900</v>
      </c>
      <c r="K88" s="49">
        <f>VLOOKUP($A88,'Data shares'!$C:$FB,59)</f>
        <v>18722925</v>
      </c>
      <c r="L88" s="50">
        <f>VLOOKUP($A88,'Data shares'!$C:$FB,61)*100</f>
        <v>-57.37</v>
      </c>
      <c r="M88" s="49">
        <f>VLOOKUP($A88,'Data shares'!$C:$FB,62)</f>
        <v>3385500</v>
      </c>
      <c r="N88" s="49">
        <f>VLOOKUP($A88,'Data shares'!$C:$FB,63)</f>
        <v>6951375</v>
      </c>
      <c r="O88" s="140">
        <f>VLOOKUP($A88,'Data shares'!$C:$FB,65)*100</f>
        <v>-51.300000000000004</v>
      </c>
    </row>
    <row r="89" spans="1:15" x14ac:dyDescent="0.25">
      <c r="A89" s="101" t="str">
        <f>'Data shares'!C84</f>
        <v>ICICIBANK</v>
      </c>
      <c r="B89" s="50">
        <f>VLOOKUP($A89,'Data shares'!$C:$FB,7)</f>
        <v>1338</v>
      </c>
      <c r="C89" s="50">
        <f>VLOOKUP($A89,'Data shares'!$C:$FB,10)*100</f>
        <v>-0.36</v>
      </c>
      <c r="D89" s="49">
        <f>VLOOKUP($A89,'Data shares'!$C:$FB,66)</f>
        <v>25188800</v>
      </c>
      <c r="E89" s="49">
        <f>VLOOKUP($A89,'Data shares'!$C:$FB,67)</f>
        <v>51138500</v>
      </c>
      <c r="F89" s="50">
        <f>VLOOKUP($A89,'Data shares'!$C:$FB,69)*100</f>
        <v>-50.739999999999995</v>
      </c>
      <c r="G89" s="49">
        <f>VLOOKUP($A89,'Data shares'!$C:$FB,42)</f>
        <v>5853400</v>
      </c>
      <c r="H89" s="49">
        <f>VLOOKUP($A89,'Data shares'!$C:$FB,43)</f>
        <v>9709000</v>
      </c>
      <c r="I89" s="50">
        <f>VLOOKUP($A89,'Data shares'!$C:$FB,45)*100</f>
        <v>-39.71</v>
      </c>
      <c r="J89" s="49">
        <f>VLOOKUP($A89,'Data shares'!$C:$FB,58)</f>
        <v>12703600</v>
      </c>
      <c r="K89" s="49">
        <f>VLOOKUP($A89,'Data shares'!$C:$FB,59)</f>
        <v>25971400</v>
      </c>
      <c r="L89" s="50">
        <f>VLOOKUP($A89,'Data shares'!$C:$FB,61)*100</f>
        <v>-51.09</v>
      </c>
      <c r="M89" s="49">
        <f>VLOOKUP($A89,'Data shares'!$C:$FB,62)</f>
        <v>6631800</v>
      </c>
      <c r="N89" s="49">
        <f>VLOOKUP($A89,'Data shares'!$C:$FB,63)</f>
        <v>15458100</v>
      </c>
      <c r="O89" s="140">
        <f>VLOOKUP($A89,'Data shares'!$C:$FB,65)*100</f>
        <v>-57.099999999999994</v>
      </c>
    </row>
    <row r="90" spans="1:15" x14ac:dyDescent="0.25">
      <c r="A90" s="101" t="str">
        <f>'Data shares'!C85</f>
        <v>ICICIGI</v>
      </c>
      <c r="B90" s="50">
        <f>VLOOKUP($A90,'Data shares'!$C:$FB,7)</f>
        <v>1956.9</v>
      </c>
      <c r="C90" s="50">
        <f>VLOOKUP($A90,'Data shares'!$C:$FB,10)*100</f>
        <v>-0.27</v>
      </c>
      <c r="D90" s="49">
        <f>VLOOKUP($A90,'Data shares'!$C:$FB,66)</f>
        <v>841100</v>
      </c>
      <c r="E90" s="49">
        <f>VLOOKUP($A90,'Data shares'!$C:$FB,67)</f>
        <v>1111500</v>
      </c>
      <c r="F90" s="50">
        <f>VLOOKUP($A90,'Data shares'!$C:$FB,69)*100</f>
        <v>-24.33</v>
      </c>
      <c r="G90" s="49">
        <f>VLOOKUP($A90,'Data shares'!$C:$FB,42)</f>
        <v>307450</v>
      </c>
      <c r="H90" s="49">
        <f>VLOOKUP($A90,'Data shares'!$C:$FB,43)</f>
        <v>404625</v>
      </c>
      <c r="I90" s="50">
        <f>VLOOKUP($A90,'Data shares'!$C:$FB,45)*100</f>
        <v>-24.02</v>
      </c>
      <c r="J90" s="49">
        <f>VLOOKUP($A90,'Data shares'!$C:$FB,58)</f>
        <v>282425</v>
      </c>
      <c r="K90" s="49">
        <f>VLOOKUP($A90,'Data shares'!$C:$FB,59)</f>
        <v>325325</v>
      </c>
      <c r="L90" s="50">
        <f>VLOOKUP($A90,'Data shares'!$C:$FB,61)*100</f>
        <v>-13.19</v>
      </c>
      <c r="M90" s="49">
        <f>VLOOKUP($A90,'Data shares'!$C:$FB,62)</f>
        <v>251225</v>
      </c>
      <c r="N90" s="49">
        <f>VLOOKUP($A90,'Data shares'!$C:$FB,63)</f>
        <v>381550</v>
      </c>
      <c r="O90" s="140">
        <f>VLOOKUP($A90,'Data shares'!$C:$FB,65)*100</f>
        <v>-34.160000000000004</v>
      </c>
    </row>
    <row r="91" spans="1:15" x14ac:dyDescent="0.25">
      <c r="A91" s="101" t="str">
        <f>'Data shares'!C86</f>
        <v>ICICIPRULI</v>
      </c>
      <c r="B91" s="50">
        <f>VLOOKUP($A91,'Data shares'!$C:$FB,7)</f>
        <v>674.3</v>
      </c>
      <c r="C91" s="50">
        <f>VLOOKUP($A91,'Data shares'!$C:$FB,10)*100</f>
        <v>0.91</v>
      </c>
      <c r="D91" s="49">
        <f>VLOOKUP($A91,'Data shares'!$C:$FB,66)</f>
        <v>3087650</v>
      </c>
      <c r="E91" s="49">
        <f>VLOOKUP($A91,'Data shares'!$C:$FB,67)</f>
        <v>8085425</v>
      </c>
      <c r="F91" s="50">
        <f>VLOOKUP($A91,'Data shares'!$C:$FB,69)*100</f>
        <v>-61.809999999999995</v>
      </c>
      <c r="G91" s="49">
        <f>VLOOKUP($A91,'Data shares'!$C:$FB,42)</f>
        <v>976800</v>
      </c>
      <c r="H91" s="49">
        <f>VLOOKUP($A91,'Data shares'!$C:$FB,43)</f>
        <v>2425350</v>
      </c>
      <c r="I91" s="50">
        <f>VLOOKUP($A91,'Data shares'!$C:$FB,45)*100</f>
        <v>-59.730000000000004</v>
      </c>
      <c r="J91" s="49">
        <f>VLOOKUP($A91,'Data shares'!$C:$FB,58)</f>
        <v>1224700</v>
      </c>
      <c r="K91" s="49">
        <f>VLOOKUP($A91,'Data shares'!$C:$FB,59)</f>
        <v>4039475</v>
      </c>
      <c r="L91" s="50">
        <f>VLOOKUP($A91,'Data shares'!$C:$FB,61)*100</f>
        <v>-69.679999999999993</v>
      </c>
      <c r="M91" s="49">
        <f>VLOOKUP($A91,'Data shares'!$C:$FB,62)</f>
        <v>886150</v>
      </c>
      <c r="N91" s="49">
        <f>VLOOKUP($A91,'Data shares'!$C:$FB,63)</f>
        <v>1620600</v>
      </c>
      <c r="O91" s="140">
        <f>VLOOKUP($A91,'Data shares'!$C:$FB,65)*100</f>
        <v>-45.32</v>
      </c>
    </row>
    <row r="92" spans="1:15" x14ac:dyDescent="0.25">
      <c r="A92" s="101" t="str">
        <f>'Data shares'!C87</f>
        <v>IDEA</v>
      </c>
      <c r="B92" s="50">
        <f>VLOOKUP($A92,'Data shares'!$C:$FB,7)</f>
        <v>11.6</v>
      </c>
      <c r="C92" s="50">
        <f>VLOOKUP($A92,'Data shares'!$C:$FB,10)*100</f>
        <v>7.8100000000000005</v>
      </c>
      <c r="D92" s="49">
        <f>VLOOKUP($A92,'Data shares'!$C:$FB,66)</f>
        <v>5598200000</v>
      </c>
      <c r="E92" s="49">
        <f>VLOOKUP($A92,'Data shares'!$C:$FB,67)</f>
        <v>10032480000</v>
      </c>
      <c r="F92" s="50">
        <f>VLOOKUP($A92,'Data shares'!$C:$FB,69)*100</f>
        <v>-44.2</v>
      </c>
      <c r="G92" s="49">
        <f>VLOOKUP($A92,'Data shares'!$C:$FB,42)</f>
        <v>1472880000</v>
      </c>
      <c r="H92" s="49">
        <f>VLOOKUP($A92,'Data shares'!$C:$FB,43)</f>
        <v>3029120000</v>
      </c>
      <c r="I92" s="50">
        <f>VLOOKUP($A92,'Data shares'!$C:$FB,45)*100</f>
        <v>-51.38</v>
      </c>
      <c r="J92" s="49">
        <f>VLOOKUP($A92,'Data shares'!$C:$FB,58)</f>
        <v>2800080000</v>
      </c>
      <c r="K92" s="49">
        <f>VLOOKUP($A92,'Data shares'!$C:$FB,59)</f>
        <v>4551280000</v>
      </c>
      <c r="L92" s="50">
        <f>VLOOKUP($A92,'Data shares'!$C:$FB,61)*100</f>
        <v>-38.479999999999997</v>
      </c>
      <c r="M92" s="49">
        <f>VLOOKUP($A92,'Data shares'!$C:$FB,62)</f>
        <v>1325240000</v>
      </c>
      <c r="N92" s="49">
        <f>VLOOKUP($A92,'Data shares'!$C:$FB,63)</f>
        <v>2452080000</v>
      </c>
      <c r="O92" s="140">
        <f>VLOOKUP($A92,'Data shares'!$C:$FB,65)*100</f>
        <v>-45.95</v>
      </c>
    </row>
    <row r="93" spans="1:15" x14ac:dyDescent="0.25">
      <c r="A93" s="101" t="str">
        <f>'Data shares'!C88</f>
        <v>IDFCFIRSTB</v>
      </c>
      <c r="B93" s="50">
        <f>VLOOKUP($A93,'Data shares'!$C:$FB,7)</f>
        <v>85.61</v>
      </c>
      <c r="C93" s="50">
        <f>VLOOKUP($A93,'Data shares'!$C:$FB,10)*100</f>
        <v>0</v>
      </c>
      <c r="D93" s="49">
        <f>VLOOKUP($A93,'Data shares'!$C:$FB,66)</f>
        <v>91460775</v>
      </c>
      <c r="E93" s="49">
        <f>VLOOKUP($A93,'Data shares'!$C:$FB,67)</f>
        <v>182281575</v>
      </c>
      <c r="F93" s="50">
        <f>VLOOKUP($A93,'Data shares'!$C:$FB,69)*100</f>
        <v>-49.82</v>
      </c>
      <c r="G93" s="49">
        <f>VLOOKUP($A93,'Data shares'!$C:$FB,42)</f>
        <v>30236500</v>
      </c>
      <c r="H93" s="49">
        <f>VLOOKUP($A93,'Data shares'!$C:$FB,43)</f>
        <v>49982975</v>
      </c>
      <c r="I93" s="50">
        <f>VLOOKUP($A93,'Data shares'!$C:$FB,45)*100</f>
        <v>-39.51</v>
      </c>
      <c r="J93" s="49">
        <f>VLOOKUP($A93,'Data shares'!$C:$FB,58)</f>
        <v>40058725</v>
      </c>
      <c r="K93" s="49">
        <f>VLOOKUP($A93,'Data shares'!$C:$FB,59)</f>
        <v>85292900</v>
      </c>
      <c r="L93" s="50">
        <f>VLOOKUP($A93,'Data shares'!$C:$FB,61)*100</f>
        <v>-53.03</v>
      </c>
      <c r="M93" s="49">
        <f>VLOOKUP($A93,'Data shares'!$C:$FB,62)</f>
        <v>21165550</v>
      </c>
      <c r="N93" s="49">
        <f>VLOOKUP($A93,'Data shares'!$C:$FB,63)</f>
        <v>47005700</v>
      </c>
      <c r="O93" s="140">
        <f>VLOOKUP($A93,'Data shares'!$C:$FB,65)*100</f>
        <v>-54.97</v>
      </c>
    </row>
    <row r="94" spans="1:15" x14ac:dyDescent="0.25">
      <c r="A94" s="101" t="str">
        <f>'Data shares'!C89</f>
        <v>IEX</v>
      </c>
      <c r="B94" s="50">
        <f>VLOOKUP($A94,'Data shares'!$C:$FB,7)</f>
        <v>133.38999999999999</v>
      </c>
      <c r="C94" s="50">
        <f>VLOOKUP($A94,'Data shares'!$C:$FB,10)*100</f>
        <v>-0.62</v>
      </c>
      <c r="D94" s="49">
        <f>VLOOKUP($A94,'Data shares'!$C:$FB,66)</f>
        <v>25856250</v>
      </c>
      <c r="E94" s="49">
        <f>VLOOKUP($A94,'Data shares'!$C:$FB,67)</f>
        <v>40845000</v>
      </c>
      <c r="F94" s="50">
        <f>VLOOKUP($A94,'Data shares'!$C:$FB,69)*100</f>
        <v>-36.700000000000003</v>
      </c>
      <c r="G94" s="49">
        <f>VLOOKUP($A94,'Data shares'!$C:$FB,42)</f>
        <v>5988750</v>
      </c>
      <c r="H94" s="49">
        <f>VLOOKUP($A94,'Data shares'!$C:$FB,43)</f>
        <v>8737500</v>
      </c>
      <c r="I94" s="50">
        <f>VLOOKUP($A94,'Data shares'!$C:$FB,45)*100</f>
        <v>-31.46</v>
      </c>
      <c r="J94" s="49">
        <f>VLOOKUP($A94,'Data shares'!$C:$FB,58)</f>
        <v>14812500</v>
      </c>
      <c r="K94" s="49">
        <f>VLOOKUP($A94,'Data shares'!$C:$FB,59)</f>
        <v>23355000</v>
      </c>
      <c r="L94" s="50">
        <f>VLOOKUP($A94,'Data shares'!$C:$FB,61)*100</f>
        <v>-36.58</v>
      </c>
      <c r="M94" s="49">
        <f>VLOOKUP($A94,'Data shares'!$C:$FB,62)</f>
        <v>5055000</v>
      </c>
      <c r="N94" s="49">
        <f>VLOOKUP($A94,'Data shares'!$C:$FB,63)</f>
        <v>8752500</v>
      </c>
      <c r="O94" s="140">
        <f>VLOOKUP($A94,'Data shares'!$C:$FB,65)*100</f>
        <v>-42.25</v>
      </c>
    </row>
    <row r="95" spans="1:15" x14ac:dyDescent="0.25">
      <c r="A95" s="101" t="str">
        <f>'Data shares'!C90</f>
        <v>IIFL</v>
      </c>
      <c r="B95" s="50">
        <f>VLOOKUP($A95,'Data shares'!$C:$FB,7)</f>
        <v>620.45000000000005</v>
      </c>
      <c r="C95" s="50">
        <f>VLOOKUP($A95,'Data shares'!$C:$FB,10)*100</f>
        <v>1.63</v>
      </c>
      <c r="D95" s="49">
        <f>VLOOKUP($A95,'Data shares'!$C:$FB,66)</f>
        <v>11371800</v>
      </c>
      <c r="E95" s="49">
        <f>VLOOKUP($A95,'Data shares'!$C:$FB,67)</f>
        <v>13759350</v>
      </c>
      <c r="F95" s="50">
        <f>VLOOKUP($A95,'Data shares'!$C:$FB,69)*100</f>
        <v>-17.349999999999998</v>
      </c>
      <c r="G95" s="49">
        <f>VLOOKUP($A95,'Data shares'!$C:$FB,42)</f>
        <v>2387550</v>
      </c>
      <c r="H95" s="49">
        <f>VLOOKUP($A95,'Data shares'!$C:$FB,43)</f>
        <v>3399000</v>
      </c>
      <c r="I95" s="50">
        <f>VLOOKUP($A95,'Data shares'!$C:$FB,45)*100</f>
        <v>-29.759999999999998</v>
      </c>
      <c r="J95" s="49">
        <f>VLOOKUP($A95,'Data shares'!$C:$FB,58)</f>
        <v>5959800</v>
      </c>
      <c r="K95" s="49">
        <f>VLOOKUP($A95,'Data shares'!$C:$FB,59)</f>
        <v>8050350</v>
      </c>
      <c r="L95" s="50">
        <f>VLOOKUP($A95,'Data shares'!$C:$FB,61)*100</f>
        <v>-25.97</v>
      </c>
      <c r="M95" s="49">
        <f>VLOOKUP($A95,'Data shares'!$C:$FB,62)</f>
        <v>3024450</v>
      </c>
      <c r="N95" s="49">
        <f>VLOOKUP($A95,'Data shares'!$C:$FB,63)</f>
        <v>2310000</v>
      </c>
      <c r="O95" s="140">
        <f>VLOOKUP($A95,'Data shares'!$C:$FB,65)*100</f>
        <v>30.930000000000003</v>
      </c>
    </row>
    <row r="96" spans="1:15" x14ac:dyDescent="0.25">
      <c r="A96" s="101" t="str">
        <f>'Data shares'!C91</f>
        <v>INDHOTEL</v>
      </c>
      <c r="B96" s="50">
        <f>VLOOKUP($A96,'Data shares'!$C:$FB,7)</f>
        <v>738.6</v>
      </c>
      <c r="C96" s="50">
        <f>VLOOKUP($A96,'Data shares'!$C:$FB,10)*100</f>
        <v>-0.03</v>
      </c>
      <c r="D96" s="49">
        <f>VLOOKUP($A96,'Data shares'!$C:$FB,66)</f>
        <v>7610000</v>
      </c>
      <c r="E96" s="49">
        <f>VLOOKUP($A96,'Data shares'!$C:$FB,67)</f>
        <v>11782000</v>
      </c>
      <c r="F96" s="50">
        <f>VLOOKUP($A96,'Data shares'!$C:$FB,69)*100</f>
        <v>-35.410000000000004</v>
      </c>
      <c r="G96" s="49">
        <f>VLOOKUP($A96,'Data shares'!$C:$FB,42)</f>
        <v>2046000</v>
      </c>
      <c r="H96" s="49">
        <f>VLOOKUP($A96,'Data shares'!$C:$FB,43)</f>
        <v>3491000</v>
      </c>
      <c r="I96" s="50">
        <f>VLOOKUP($A96,'Data shares'!$C:$FB,45)*100</f>
        <v>-41.39</v>
      </c>
      <c r="J96" s="49">
        <f>VLOOKUP($A96,'Data shares'!$C:$FB,58)</f>
        <v>3885000</v>
      </c>
      <c r="K96" s="49">
        <f>VLOOKUP($A96,'Data shares'!$C:$FB,59)</f>
        <v>5545000</v>
      </c>
      <c r="L96" s="50">
        <f>VLOOKUP($A96,'Data shares'!$C:$FB,61)*100</f>
        <v>-29.94</v>
      </c>
      <c r="M96" s="49">
        <f>VLOOKUP($A96,'Data shares'!$C:$FB,62)</f>
        <v>1679000</v>
      </c>
      <c r="N96" s="49">
        <f>VLOOKUP($A96,'Data shares'!$C:$FB,63)</f>
        <v>2746000</v>
      </c>
      <c r="O96" s="140">
        <f>VLOOKUP($A96,'Data shares'!$C:$FB,65)*100</f>
        <v>-38.86</v>
      </c>
    </row>
    <row r="97" spans="1:15" x14ac:dyDescent="0.25">
      <c r="A97" s="101" t="str">
        <f>'Data shares'!C92</f>
        <v>INDIANB</v>
      </c>
      <c r="B97" s="50">
        <f>VLOOKUP($A97,'Data shares'!$C:$FB,7)</f>
        <v>832.6</v>
      </c>
      <c r="C97" s="50">
        <f>VLOOKUP($A97,'Data shares'!$C:$FB,10)*100</f>
        <v>-0.55999999999999994</v>
      </c>
      <c r="D97" s="49">
        <f>VLOOKUP($A97,'Data shares'!$C:$FB,66)</f>
        <v>10411000</v>
      </c>
      <c r="E97" s="49">
        <f>VLOOKUP($A97,'Data shares'!$C:$FB,67)</f>
        <v>24582000</v>
      </c>
      <c r="F97" s="50">
        <f>VLOOKUP($A97,'Data shares'!$C:$FB,69)*100</f>
        <v>-57.65</v>
      </c>
      <c r="G97" s="49">
        <f>VLOOKUP($A97,'Data shares'!$C:$FB,42)</f>
        <v>2051000</v>
      </c>
      <c r="H97" s="49">
        <f>VLOOKUP($A97,'Data shares'!$C:$FB,43)</f>
        <v>4424000</v>
      </c>
      <c r="I97" s="50">
        <f>VLOOKUP($A97,'Data shares'!$C:$FB,45)*100</f>
        <v>-53.64</v>
      </c>
      <c r="J97" s="49">
        <f>VLOOKUP($A97,'Data shares'!$C:$FB,58)</f>
        <v>6060000</v>
      </c>
      <c r="K97" s="49">
        <f>VLOOKUP($A97,'Data shares'!$C:$FB,59)</f>
        <v>15260000</v>
      </c>
      <c r="L97" s="50">
        <f>VLOOKUP($A97,'Data shares'!$C:$FB,61)*100</f>
        <v>-60.29</v>
      </c>
      <c r="M97" s="49">
        <f>VLOOKUP($A97,'Data shares'!$C:$FB,62)</f>
        <v>2300000</v>
      </c>
      <c r="N97" s="49">
        <f>VLOOKUP($A97,'Data shares'!$C:$FB,63)</f>
        <v>4898000</v>
      </c>
      <c r="O97" s="140">
        <f>VLOOKUP($A97,'Data shares'!$C:$FB,65)*100</f>
        <v>-53.04</v>
      </c>
    </row>
    <row r="98" spans="1:15" x14ac:dyDescent="0.25">
      <c r="A98" s="101" t="str">
        <f>'Data shares'!C93</f>
        <v>INDIAVIX</v>
      </c>
      <c r="B98" s="50">
        <f>VLOOKUP($A98,'Data shares'!$C:$FB,7)</f>
        <v>9.19</v>
      </c>
      <c r="C98" s="50">
        <f>VLOOKUP($A98,'Data shares'!$C:$FB,10)*100</f>
        <v>-3.01</v>
      </c>
      <c r="D98" s="49">
        <f>VLOOKUP($A98,'Data shares'!$C:$FB,66)</f>
        <v>0</v>
      </c>
      <c r="E98" s="49">
        <f>VLOOKUP($A98,'Data shares'!$C:$FB,67)</f>
        <v>0</v>
      </c>
      <c r="F98" s="50">
        <f>VLOOKUP($A98,'Data shares'!$C:$FB,69)*100</f>
        <v>0</v>
      </c>
      <c r="G98" s="49">
        <f>VLOOKUP($A98,'Data shares'!$C:$FB,42)</f>
        <v>0</v>
      </c>
      <c r="H98" s="49">
        <f>VLOOKUP($A98,'Data shares'!$C:$FB,43)</f>
        <v>0</v>
      </c>
      <c r="I98" s="50">
        <f>VLOOKUP($A98,'Data shares'!$C:$FB,45)*100</f>
        <v>0</v>
      </c>
      <c r="J98" s="49">
        <f>VLOOKUP($A98,'Data shares'!$C:$FB,58)</f>
        <v>0</v>
      </c>
      <c r="K98" s="49">
        <f>VLOOKUP($A98,'Data shares'!$C:$FB,59)</f>
        <v>0</v>
      </c>
      <c r="L98" s="50">
        <f>VLOOKUP($A98,'Data shares'!$C:$FB,61)*100</f>
        <v>0</v>
      </c>
      <c r="M98" s="49">
        <f>VLOOKUP($A98,'Data shares'!$C:$FB,62)</f>
        <v>0</v>
      </c>
      <c r="N98" s="49">
        <f>VLOOKUP($A98,'Data shares'!$C:$FB,63)</f>
        <v>0</v>
      </c>
      <c r="O98" s="140">
        <f>VLOOKUP($A98,'Data shares'!$C:$FB,65)*100</f>
        <v>0</v>
      </c>
    </row>
    <row r="99" spans="1:15" x14ac:dyDescent="0.25">
      <c r="A99" s="101" t="str">
        <f>'Data shares'!C94</f>
        <v>INDIGO</v>
      </c>
      <c r="B99" s="50">
        <f>VLOOKUP($A99,'Data shares'!$C:$FB,7)</f>
        <v>5110.5</v>
      </c>
      <c r="C99" s="50">
        <f>VLOOKUP($A99,'Data shares'!$C:$FB,10)*100</f>
        <v>1.01</v>
      </c>
      <c r="D99" s="49">
        <f>VLOOKUP($A99,'Data shares'!$C:$FB,66)</f>
        <v>11290350</v>
      </c>
      <c r="E99" s="49">
        <f>VLOOKUP($A99,'Data shares'!$C:$FB,67)</f>
        <v>7708500</v>
      </c>
      <c r="F99" s="50">
        <f>VLOOKUP($A99,'Data shares'!$C:$FB,69)*100</f>
        <v>46.47</v>
      </c>
      <c r="G99" s="49">
        <f>VLOOKUP($A99,'Data shares'!$C:$FB,42)</f>
        <v>1197750</v>
      </c>
      <c r="H99" s="49">
        <f>VLOOKUP($A99,'Data shares'!$C:$FB,43)</f>
        <v>928050</v>
      </c>
      <c r="I99" s="50">
        <f>VLOOKUP($A99,'Data shares'!$C:$FB,45)*100</f>
        <v>29.060000000000002</v>
      </c>
      <c r="J99" s="49">
        <f>VLOOKUP($A99,'Data shares'!$C:$FB,58)</f>
        <v>6789750</v>
      </c>
      <c r="K99" s="49">
        <f>VLOOKUP($A99,'Data shares'!$C:$FB,59)</f>
        <v>3795000</v>
      </c>
      <c r="L99" s="50">
        <f>VLOOKUP($A99,'Data shares'!$C:$FB,61)*100</f>
        <v>78.91</v>
      </c>
      <c r="M99" s="49">
        <f>VLOOKUP($A99,'Data shares'!$C:$FB,62)</f>
        <v>3302850</v>
      </c>
      <c r="N99" s="49">
        <f>VLOOKUP($A99,'Data shares'!$C:$FB,63)</f>
        <v>2985450</v>
      </c>
      <c r="O99" s="140">
        <f>VLOOKUP($A99,'Data shares'!$C:$FB,65)*100</f>
        <v>10.63</v>
      </c>
    </row>
    <row r="100" spans="1:15" x14ac:dyDescent="0.25">
      <c r="A100" s="101" t="str">
        <f>'Data shares'!C95</f>
        <v>INDUSINDBK</v>
      </c>
      <c r="B100" s="50">
        <f>VLOOKUP($A100,'Data shares'!$C:$FB,7)</f>
        <v>890.2</v>
      </c>
      <c r="C100" s="50">
        <f>VLOOKUP($A100,'Data shares'!$C:$FB,10)*100</f>
        <v>3.01</v>
      </c>
      <c r="D100" s="49">
        <f>VLOOKUP($A100,'Data shares'!$C:$FB,66)</f>
        <v>40440400</v>
      </c>
      <c r="E100" s="49">
        <f>VLOOKUP($A100,'Data shares'!$C:$FB,67)</f>
        <v>44150400</v>
      </c>
      <c r="F100" s="50">
        <f>VLOOKUP($A100,'Data shares'!$C:$FB,69)*100</f>
        <v>-8.4</v>
      </c>
      <c r="G100" s="49">
        <f>VLOOKUP($A100,'Data shares'!$C:$FB,42)</f>
        <v>7312200</v>
      </c>
      <c r="H100" s="49">
        <f>VLOOKUP($A100,'Data shares'!$C:$FB,43)</f>
        <v>9909900</v>
      </c>
      <c r="I100" s="50">
        <f>VLOOKUP($A100,'Data shares'!$C:$FB,45)*100</f>
        <v>-26.21</v>
      </c>
      <c r="J100" s="49">
        <f>VLOOKUP($A100,'Data shares'!$C:$FB,58)</f>
        <v>21347900</v>
      </c>
      <c r="K100" s="49">
        <f>VLOOKUP($A100,'Data shares'!$C:$FB,59)</f>
        <v>21042000</v>
      </c>
      <c r="L100" s="50">
        <f>VLOOKUP($A100,'Data shares'!$C:$FB,61)*100</f>
        <v>1.4500000000000002</v>
      </c>
      <c r="M100" s="49">
        <f>VLOOKUP($A100,'Data shares'!$C:$FB,62)</f>
        <v>11780300</v>
      </c>
      <c r="N100" s="49">
        <f>VLOOKUP($A100,'Data shares'!$C:$FB,63)</f>
        <v>13198500</v>
      </c>
      <c r="O100" s="140">
        <f>VLOOKUP($A100,'Data shares'!$C:$FB,65)*100</f>
        <v>-10.75</v>
      </c>
    </row>
    <row r="101" spans="1:15" x14ac:dyDescent="0.25">
      <c r="A101" s="101" t="str">
        <f>'Data shares'!C96</f>
        <v>INDUSTOWER</v>
      </c>
      <c r="B101" s="50">
        <f>VLOOKUP($A101,'Data shares'!$C:$FB,7)</f>
        <v>435.8</v>
      </c>
      <c r="C101" s="50">
        <f>VLOOKUP($A101,'Data shares'!$C:$FB,10)*100</f>
        <v>4.07</v>
      </c>
      <c r="D101" s="49">
        <f>VLOOKUP($A101,'Data shares'!$C:$FB,66)</f>
        <v>169576700</v>
      </c>
      <c r="E101" s="49">
        <f>VLOOKUP($A101,'Data shares'!$C:$FB,67)</f>
        <v>265795000</v>
      </c>
      <c r="F101" s="50">
        <f>VLOOKUP($A101,'Data shares'!$C:$FB,69)*100</f>
        <v>-36.199999999999996</v>
      </c>
      <c r="G101" s="49">
        <f>VLOOKUP($A101,'Data shares'!$C:$FB,42)</f>
        <v>31613200</v>
      </c>
      <c r="H101" s="49">
        <f>VLOOKUP($A101,'Data shares'!$C:$FB,43)</f>
        <v>55788900</v>
      </c>
      <c r="I101" s="50">
        <f>VLOOKUP($A101,'Data shares'!$C:$FB,45)*100</f>
        <v>-43.33</v>
      </c>
      <c r="J101" s="49">
        <f>VLOOKUP($A101,'Data shares'!$C:$FB,58)</f>
        <v>96854100</v>
      </c>
      <c r="K101" s="49">
        <f>VLOOKUP($A101,'Data shares'!$C:$FB,59)</f>
        <v>138602700</v>
      </c>
      <c r="L101" s="50">
        <f>VLOOKUP($A101,'Data shares'!$C:$FB,61)*100</f>
        <v>-30.12</v>
      </c>
      <c r="M101" s="49">
        <f>VLOOKUP($A101,'Data shares'!$C:$FB,62)</f>
        <v>41109400</v>
      </c>
      <c r="N101" s="49">
        <f>VLOOKUP($A101,'Data shares'!$C:$FB,63)</f>
        <v>71403400</v>
      </c>
      <c r="O101" s="140">
        <f>VLOOKUP($A101,'Data shares'!$C:$FB,65)*100</f>
        <v>-42.43</v>
      </c>
    </row>
    <row r="102" spans="1:15" x14ac:dyDescent="0.25">
      <c r="A102" s="101" t="str">
        <f>'Data shares'!C97</f>
        <v>INFY</v>
      </c>
      <c r="B102" s="50">
        <f>VLOOKUP($A102,'Data shares'!$C:$FB,7)</f>
        <v>1629.8</v>
      </c>
      <c r="C102" s="50">
        <f>VLOOKUP($A102,'Data shares'!$C:$FB,10)*100</f>
        <v>0.89</v>
      </c>
      <c r="D102" s="49">
        <f>VLOOKUP($A102,'Data shares'!$C:$FB,66)</f>
        <v>22228800</v>
      </c>
      <c r="E102" s="49">
        <f>VLOOKUP($A102,'Data shares'!$C:$FB,67)</f>
        <v>30273200</v>
      </c>
      <c r="F102" s="50">
        <f>VLOOKUP($A102,'Data shares'!$C:$FB,69)*100</f>
        <v>-26.57</v>
      </c>
      <c r="G102" s="49">
        <f>VLOOKUP($A102,'Data shares'!$C:$FB,42)</f>
        <v>3197600</v>
      </c>
      <c r="H102" s="49">
        <f>VLOOKUP($A102,'Data shares'!$C:$FB,43)</f>
        <v>7542800</v>
      </c>
      <c r="I102" s="50">
        <f>VLOOKUP($A102,'Data shares'!$C:$FB,45)*100</f>
        <v>-57.609999999999992</v>
      </c>
      <c r="J102" s="49">
        <f>VLOOKUP($A102,'Data shares'!$C:$FB,58)</f>
        <v>13256000</v>
      </c>
      <c r="K102" s="49">
        <f>VLOOKUP($A102,'Data shares'!$C:$FB,59)</f>
        <v>15006800</v>
      </c>
      <c r="L102" s="50">
        <f>VLOOKUP($A102,'Data shares'!$C:$FB,61)*100</f>
        <v>-11.67</v>
      </c>
      <c r="M102" s="49">
        <f>VLOOKUP($A102,'Data shares'!$C:$FB,62)</f>
        <v>5775200</v>
      </c>
      <c r="N102" s="49">
        <f>VLOOKUP($A102,'Data shares'!$C:$FB,63)</f>
        <v>7723600</v>
      </c>
      <c r="O102" s="140">
        <f>VLOOKUP($A102,'Data shares'!$C:$FB,65)*100</f>
        <v>-25.230000000000004</v>
      </c>
    </row>
    <row r="103" spans="1:15" x14ac:dyDescent="0.25">
      <c r="A103" s="101" t="str">
        <f>'Data shares'!C98</f>
        <v>INOXWIND</v>
      </c>
      <c r="B103" s="50">
        <f>VLOOKUP($A103,'Data shares'!$C:$FB,7)</f>
        <v>122.85</v>
      </c>
      <c r="C103" s="50">
        <f>VLOOKUP($A103,'Data shares'!$C:$FB,10)*100</f>
        <v>-0.54999999999999993</v>
      </c>
      <c r="D103" s="49">
        <f>VLOOKUP($A103,'Data shares'!$C:$FB,66)</f>
        <v>12727000</v>
      </c>
      <c r="E103" s="49">
        <f>VLOOKUP($A103,'Data shares'!$C:$FB,67)</f>
        <v>38885275</v>
      </c>
      <c r="F103" s="50">
        <f>VLOOKUP($A103,'Data shares'!$C:$FB,69)*100</f>
        <v>-67.27</v>
      </c>
      <c r="G103" s="49">
        <f>VLOOKUP($A103,'Data shares'!$C:$FB,42)</f>
        <v>4869150</v>
      </c>
      <c r="H103" s="49">
        <f>VLOOKUP($A103,'Data shares'!$C:$FB,43)</f>
        <v>16927625</v>
      </c>
      <c r="I103" s="50">
        <f>VLOOKUP($A103,'Data shares'!$C:$FB,45)*100</f>
        <v>-71.240000000000009</v>
      </c>
      <c r="J103" s="49">
        <f>VLOOKUP($A103,'Data shares'!$C:$FB,58)</f>
        <v>5702125</v>
      </c>
      <c r="K103" s="49">
        <f>VLOOKUP($A103,'Data shares'!$C:$FB,59)</f>
        <v>15293850</v>
      </c>
      <c r="L103" s="50">
        <f>VLOOKUP($A103,'Data shares'!$C:$FB,61)*100</f>
        <v>-62.72</v>
      </c>
      <c r="M103" s="49">
        <f>VLOOKUP($A103,'Data shares'!$C:$FB,62)</f>
        <v>2155725</v>
      </c>
      <c r="N103" s="49">
        <f>VLOOKUP($A103,'Data shares'!$C:$FB,63)</f>
        <v>6663800</v>
      </c>
      <c r="O103" s="140">
        <f>VLOOKUP($A103,'Data shares'!$C:$FB,65)*100</f>
        <v>-67.650000000000006</v>
      </c>
    </row>
    <row r="104" spans="1:15" x14ac:dyDescent="0.25">
      <c r="A104" s="101" t="str">
        <f>'Data shares'!C99</f>
        <v>IOC</v>
      </c>
      <c r="B104" s="50">
        <f>VLOOKUP($A104,'Data shares'!$C:$FB,7)</f>
        <v>165.88</v>
      </c>
      <c r="C104" s="50">
        <f>VLOOKUP($A104,'Data shares'!$C:$FB,10)*100</f>
        <v>-0.35000000000000003</v>
      </c>
      <c r="D104" s="49">
        <f>VLOOKUP($A104,'Data shares'!$C:$FB,66)</f>
        <v>91615875</v>
      </c>
      <c r="E104" s="49">
        <f>VLOOKUP($A104,'Data shares'!$C:$FB,67)</f>
        <v>155814750</v>
      </c>
      <c r="F104" s="50">
        <f>VLOOKUP($A104,'Data shares'!$C:$FB,69)*100</f>
        <v>-41.199999999999996</v>
      </c>
      <c r="G104" s="49">
        <f>VLOOKUP($A104,'Data shares'!$C:$FB,42)</f>
        <v>14015625</v>
      </c>
      <c r="H104" s="49">
        <f>VLOOKUP($A104,'Data shares'!$C:$FB,43)</f>
        <v>32838000</v>
      </c>
      <c r="I104" s="50">
        <f>VLOOKUP($A104,'Data shares'!$C:$FB,45)*100</f>
        <v>-57.320000000000007</v>
      </c>
      <c r="J104" s="49">
        <f>VLOOKUP($A104,'Data shares'!$C:$FB,58)</f>
        <v>54990000</v>
      </c>
      <c r="K104" s="49">
        <f>VLOOKUP($A104,'Data shares'!$C:$FB,59)</f>
        <v>83045625</v>
      </c>
      <c r="L104" s="50">
        <f>VLOOKUP($A104,'Data shares'!$C:$FB,61)*100</f>
        <v>-33.78</v>
      </c>
      <c r="M104" s="49">
        <f>VLOOKUP($A104,'Data shares'!$C:$FB,62)</f>
        <v>22610250</v>
      </c>
      <c r="N104" s="49">
        <f>VLOOKUP($A104,'Data shares'!$C:$FB,63)</f>
        <v>39931125</v>
      </c>
      <c r="O104" s="140">
        <f>VLOOKUP($A104,'Data shares'!$C:$FB,65)*100</f>
        <v>-43.38</v>
      </c>
    </row>
    <row r="105" spans="1:15" x14ac:dyDescent="0.25">
      <c r="A105" s="101" t="str">
        <f>'Data shares'!C100</f>
        <v>IRCTC</v>
      </c>
      <c r="B105" s="50">
        <f>VLOOKUP($A105,'Data shares'!$C:$FB,7)</f>
        <v>685.65</v>
      </c>
      <c r="C105" s="50">
        <f>VLOOKUP($A105,'Data shares'!$C:$FB,10)*100</f>
        <v>0.15</v>
      </c>
      <c r="D105" s="49">
        <f>VLOOKUP($A105,'Data shares'!$C:$FB,66)</f>
        <v>11426625</v>
      </c>
      <c r="E105" s="49">
        <f>VLOOKUP($A105,'Data shares'!$C:$FB,67)</f>
        <v>18655000</v>
      </c>
      <c r="F105" s="50">
        <f>VLOOKUP($A105,'Data shares'!$C:$FB,69)*100</f>
        <v>-38.75</v>
      </c>
      <c r="G105" s="49">
        <f>VLOOKUP($A105,'Data shares'!$C:$FB,42)</f>
        <v>1514625</v>
      </c>
      <c r="H105" s="49">
        <f>VLOOKUP($A105,'Data shares'!$C:$FB,43)</f>
        <v>2193625</v>
      </c>
      <c r="I105" s="50">
        <f>VLOOKUP($A105,'Data shares'!$C:$FB,45)*100</f>
        <v>-30.95</v>
      </c>
      <c r="J105" s="49">
        <f>VLOOKUP($A105,'Data shares'!$C:$FB,58)</f>
        <v>7742000</v>
      </c>
      <c r="K105" s="49">
        <f>VLOOKUP($A105,'Data shares'!$C:$FB,59)</f>
        <v>12763625</v>
      </c>
      <c r="L105" s="50">
        <f>VLOOKUP($A105,'Data shares'!$C:$FB,61)*100</f>
        <v>-39.340000000000003</v>
      </c>
      <c r="M105" s="49">
        <f>VLOOKUP($A105,'Data shares'!$C:$FB,62)</f>
        <v>2170000</v>
      </c>
      <c r="N105" s="49">
        <f>VLOOKUP($A105,'Data shares'!$C:$FB,63)</f>
        <v>3697750</v>
      </c>
      <c r="O105" s="140">
        <f>VLOOKUP($A105,'Data shares'!$C:$FB,65)*100</f>
        <v>-41.32</v>
      </c>
    </row>
    <row r="106" spans="1:15" x14ac:dyDescent="0.25">
      <c r="A106" s="101" t="str">
        <f>'Data shares'!C101</f>
        <v>IREDA</v>
      </c>
      <c r="B106" s="50">
        <f>VLOOKUP($A106,'Data shares'!$C:$FB,7)</f>
        <v>139.36000000000001</v>
      </c>
      <c r="C106" s="50">
        <f>VLOOKUP($A106,'Data shares'!$C:$FB,10)*100</f>
        <v>-0.38999999999999996</v>
      </c>
      <c r="D106" s="49">
        <f>VLOOKUP($A106,'Data shares'!$C:$FB,66)</f>
        <v>36852900</v>
      </c>
      <c r="E106" s="49">
        <f>VLOOKUP($A106,'Data shares'!$C:$FB,67)</f>
        <v>41193000</v>
      </c>
      <c r="F106" s="50">
        <f>VLOOKUP($A106,'Data shares'!$C:$FB,69)*100</f>
        <v>-10.54</v>
      </c>
      <c r="G106" s="49">
        <f>VLOOKUP($A106,'Data shares'!$C:$FB,42)</f>
        <v>11830050</v>
      </c>
      <c r="H106" s="49">
        <f>VLOOKUP($A106,'Data shares'!$C:$FB,43)</f>
        <v>10070550</v>
      </c>
      <c r="I106" s="50">
        <f>VLOOKUP($A106,'Data shares'!$C:$FB,45)*100</f>
        <v>17.47</v>
      </c>
      <c r="J106" s="49">
        <f>VLOOKUP($A106,'Data shares'!$C:$FB,58)</f>
        <v>20655150</v>
      </c>
      <c r="K106" s="49">
        <f>VLOOKUP($A106,'Data shares'!$C:$FB,59)</f>
        <v>24022350</v>
      </c>
      <c r="L106" s="50">
        <f>VLOOKUP($A106,'Data shares'!$C:$FB,61)*100</f>
        <v>-14.02</v>
      </c>
      <c r="M106" s="49">
        <f>VLOOKUP($A106,'Data shares'!$C:$FB,62)</f>
        <v>4367700</v>
      </c>
      <c r="N106" s="49">
        <f>VLOOKUP($A106,'Data shares'!$C:$FB,63)</f>
        <v>7100100</v>
      </c>
      <c r="O106" s="140">
        <f>VLOOKUP($A106,'Data shares'!$C:$FB,65)*100</f>
        <v>-38.479999999999997</v>
      </c>
    </row>
    <row r="107" spans="1:15" x14ac:dyDescent="0.25">
      <c r="A107" s="101" t="str">
        <f>'Data shares'!C102</f>
        <v>IRFC</v>
      </c>
      <c r="B107" s="50">
        <f>VLOOKUP($A107,'Data shares'!$C:$FB,7)</f>
        <v>125.79</v>
      </c>
      <c r="C107" s="50">
        <f>VLOOKUP($A107,'Data shares'!$C:$FB,10)*100</f>
        <v>0.94000000000000006</v>
      </c>
      <c r="D107" s="49">
        <f>VLOOKUP($A107,'Data shares'!$C:$FB,66)</f>
        <v>65649750</v>
      </c>
      <c r="E107" s="49">
        <f>VLOOKUP($A107,'Data shares'!$C:$FB,67)</f>
        <v>110950500</v>
      </c>
      <c r="F107" s="50">
        <f>VLOOKUP($A107,'Data shares'!$C:$FB,69)*100</f>
        <v>-40.83</v>
      </c>
      <c r="G107" s="49">
        <f>VLOOKUP($A107,'Data shares'!$C:$FB,42)</f>
        <v>11989250</v>
      </c>
      <c r="H107" s="49">
        <f>VLOOKUP($A107,'Data shares'!$C:$FB,43)</f>
        <v>19435250</v>
      </c>
      <c r="I107" s="50">
        <f>VLOOKUP($A107,'Data shares'!$C:$FB,45)*100</f>
        <v>-38.31</v>
      </c>
      <c r="J107" s="49">
        <f>VLOOKUP($A107,'Data shares'!$C:$FB,58)</f>
        <v>42011250</v>
      </c>
      <c r="K107" s="49">
        <f>VLOOKUP($A107,'Data shares'!$C:$FB,59)</f>
        <v>70686000</v>
      </c>
      <c r="L107" s="50">
        <f>VLOOKUP($A107,'Data shares'!$C:$FB,61)*100</f>
        <v>-40.57</v>
      </c>
      <c r="M107" s="49">
        <f>VLOOKUP($A107,'Data shares'!$C:$FB,62)</f>
        <v>11649250</v>
      </c>
      <c r="N107" s="49">
        <f>VLOOKUP($A107,'Data shares'!$C:$FB,63)</f>
        <v>20829250</v>
      </c>
      <c r="O107" s="140">
        <f>VLOOKUP($A107,'Data shares'!$C:$FB,65)*100</f>
        <v>-44.07</v>
      </c>
    </row>
    <row r="108" spans="1:15" x14ac:dyDescent="0.25">
      <c r="A108" s="101" t="str">
        <f>'Data shares'!C103</f>
        <v>ITC</v>
      </c>
      <c r="B108" s="50">
        <f>VLOOKUP($A108,'Data shares'!$C:$FB,7)</f>
        <v>363.85</v>
      </c>
      <c r="C108" s="50">
        <f>VLOOKUP($A108,'Data shares'!$C:$FB,10)*100</f>
        <v>-9.7100000000000009</v>
      </c>
      <c r="D108" s="49">
        <f>VLOOKUP($A108,'Data shares'!$C:$FB,66)</f>
        <v>1695953600</v>
      </c>
      <c r="E108" s="49">
        <f>VLOOKUP($A108,'Data shares'!$C:$FB,67)</f>
        <v>72755200</v>
      </c>
      <c r="F108" s="50">
        <f>VLOOKUP($A108,'Data shares'!$C:$FB,69)*100</f>
        <v>2231.04</v>
      </c>
      <c r="G108" s="49">
        <f>VLOOKUP($A108,'Data shares'!$C:$FB,42)</f>
        <v>200390400</v>
      </c>
      <c r="H108" s="49">
        <f>VLOOKUP($A108,'Data shares'!$C:$FB,43)</f>
        <v>9478400</v>
      </c>
      <c r="I108" s="50">
        <f>VLOOKUP($A108,'Data shares'!$C:$FB,45)*100</f>
        <v>2014.18</v>
      </c>
      <c r="J108" s="49">
        <f>VLOOKUP($A108,'Data shares'!$C:$FB,58)</f>
        <v>797430400</v>
      </c>
      <c r="K108" s="49">
        <f>VLOOKUP($A108,'Data shares'!$C:$FB,59)</f>
        <v>45091200</v>
      </c>
      <c r="L108" s="50">
        <f>VLOOKUP($A108,'Data shares'!$C:$FB,61)*100</f>
        <v>1668.48</v>
      </c>
      <c r="M108" s="49">
        <f>VLOOKUP($A108,'Data shares'!$C:$FB,62)</f>
        <v>698132800</v>
      </c>
      <c r="N108" s="49">
        <f>VLOOKUP($A108,'Data shares'!$C:$FB,63)</f>
        <v>18185600</v>
      </c>
      <c r="O108" s="140">
        <f>VLOOKUP($A108,'Data shares'!$C:$FB,65)*100</f>
        <v>3738.93</v>
      </c>
    </row>
    <row r="109" spans="1:15" x14ac:dyDescent="0.25">
      <c r="A109" s="101" t="str">
        <f>'Data shares'!C104</f>
        <v>JINDALSTEL</v>
      </c>
      <c r="B109" s="50">
        <f>VLOOKUP($A109,'Data shares'!$C:$FB,7)</f>
        <v>1068.4000000000001</v>
      </c>
      <c r="C109" s="50">
        <f>VLOOKUP($A109,'Data shares'!$C:$FB,10)*100</f>
        <v>1.39</v>
      </c>
      <c r="D109" s="49">
        <f>VLOOKUP($A109,'Data shares'!$C:$FB,66)</f>
        <v>14579375</v>
      </c>
      <c r="E109" s="49">
        <f>VLOOKUP($A109,'Data shares'!$C:$FB,67)</f>
        <v>38732500</v>
      </c>
      <c r="F109" s="50">
        <f>VLOOKUP($A109,'Data shares'!$C:$FB,69)*100</f>
        <v>-62.360000000000007</v>
      </c>
      <c r="G109" s="49">
        <f>VLOOKUP($A109,'Data shares'!$C:$FB,42)</f>
        <v>2703125</v>
      </c>
      <c r="H109" s="49">
        <f>VLOOKUP($A109,'Data shares'!$C:$FB,43)</f>
        <v>6996875</v>
      </c>
      <c r="I109" s="50">
        <f>VLOOKUP($A109,'Data shares'!$C:$FB,45)*100</f>
        <v>-61.370000000000005</v>
      </c>
      <c r="J109" s="49">
        <f>VLOOKUP($A109,'Data shares'!$C:$FB,58)</f>
        <v>7825625</v>
      </c>
      <c r="K109" s="49">
        <f>VLOOKUP($A109,'Data shares'!$C:$FB,59)</f>
        <v>23089375</v>
      </c>
      <c r="L109" s="50">
        <f>VLOOKUP($A109,'Data shares'!$C:$FB,61)*100</f>
        <v>-66.11</v>
      </c>
      <c r="M109" s="49">
        <f>VLOOKUP($A109,'Data shares'!$C:$FB,62)</f>
        <v>4050625</v>
      </c>
      <c r="N109" s="49">
        <f>VLOOKUP($A109,'Data shares'!$C:$FB,63)</f>
        <v>8646250</v>
      </c>
      <c r="O109" s="140">
        <f>VLOOKUP($A109,'Data shares'!$C:$FB,65)*100</f>
        <v>-53.15</v>
      </c>
    </row>
    <row r="110" spans="1:15" x14ac:dyDescent="0.25">
      <c r="A110" s="101" t="str">
        <f>'Data shares'!C105</f>
        <v>JIOFIN</v>
      </c>
      <c r="B110" s="50">
        <f>VLOOKUP($A110,'Data shares'!$C:$FB,7)</f>
        <v>295.7</v>
      </c>
      <c r="C110" s="50">
        <f>VLOOKUP($A110,'Data shares'!$C:$FB,10)*100</f>
        <v>0.25</v>
      </c>
      <c r="D110" s="49">
        <f>VLOOKUP($A110,'Data shares'!$C:$FB,66)</f>
        <v>29060100</v>
      </c>
      <c r="E110" s="49">
        <f>VLOOKUP($A110,'Data shares'!$C:$FB,67)</f>
        <v>53892550</v>
      </c>
      <c r="F110" s="50">
        <f>VLOOKUP($A110,'Data shares'!$C:$FB,69)*100</f>
        <v>-46.08</v>
      </c>
      <c r="G110" s="49">
        <f>VLOOKUP($A110,'Data shares'!$C:$FB,42)</f>
        <v>6020700</v>
      </c>
      <c r="H110" s="49">
        <f>VLOOKUP($A110,'Data shares'!$C:$FB,43)</f>
        <v>12943800</v>
      </c>
      <c r="I110" s="50">
        <f>VLOOKUP($A110,'Data shares'!$C:$FB,45)*100</f>
        <v>-53.49</v>
      </c>
      <c r="J110" s="49">
        <f>VLOOKUP($A110,'Data shares'!$C:$FB,58)</f>
        <v>16821300</v>
      </c>
      <c r="K110" s="49">
        <f>VLOOKUP($A110,'Data shares'!$C:$FB,59)</f>
        <v>28084850</v>
      </c>
      <c r="L110" s="50">
        <f>VLOOKUP($A110,'Data shares'!$C:$FB,61)*100</f>
        <v>-40.11</v>
      </c>
      <c r="M110" s="49">
        <f>VLOOKUP($A110,'Data shares'!$C:$FB,62)</f>
        <v>6218100</v>
      </c>
      <c r="N110" s="49">
        <f>VLOOKUP($A110,'Data shares'!$C:$FB,63)</f>
        <v>12863900</v>
      </c>
      <c r="O110" s="140">
        <f>VLOOKUP($A110,'Data shares'!$C:$FB,65)*100</f>
        <v>-51.66</v>
      </c>
    </row>
    <row r="111" spans="1:15" x14ac:dyDescent="0.25">
      <c r="A111" s="101" t="str">
        <f>'Data shares'!C106</f>
        <v>JSWENERGY</v>
      </c>
      <c r="B111" s="50">
        <f>VLOOKUP($A111,'Data shares'!$C:$FB,7)</f>
        <v>502</v>
      </c>
      <c r="C111" s="50">
        <f>VLOOKUP($A111,'Data shares'!$C:$FB,10)*100</f>
        <v>4.05</v>
      </c>
      <c r="D111" s="49">
        <f>VLOOKUP($A111,'Data shares'!$C:$FB,66)</f>
        <v>40440000</v>
      </c>
      <c r="E111" s="49">
        <f>VLOOKUP($A111,'Data shares'!$C:$FB,67)</f>
        <v>12289000</v>
      </c>
      <c r="F111" s="50">
        <f>VLOOKUP($A111,'Data shares'!$C:$FB,69)*100</f>
        <v>229.07000000000002</v>
      </c>
      <c r="G111" s="49">
        <f>VLOOKUP($A111,'Data shares'!$C:$FB,42)</f>
        <v>6256000</v>
      </c>
      <c r="H111" s="49">
        <f>VLOOKUP($A111,'Data shares'!$C:$FB,43)</f>
        <v>3796000</v>
      </c>
      <c r="I111" s="50">
        <f>VLOOKUP($A111,'Data shares'!$C:$FB,45)*100</f>
        <v>64.81</v>
      </c>
      <c r="J111" s="49">
        <f>VLOOKUP($A111,'Data shares'!$C:$FB,58)</f>
        <v>25725000</v>
      </c>
      <c r="K111" s="49">
        <f>VLOOKUP($A111,'Data shares'!$C:$FB,59)</f>
        <v>5963000</v>
      </c>
      <c r="L111" s="50">
        <f>VLOOKUP($A111,'Data shares'!$C:$FB,61)*100</f>
        <v>331.40999999999997</v>
      </c>
      <c r="M111" s="49">
        <f>VLOOKUP($A111,'Data shares'!$C:$FB,62)</f>
        <v>8459000</v>
      </c>
      <c r="N111" s="49">
        <f>VLOOKUP($A111,'Data shares'!$C:$FB,63)</f>
        <v>2530000</v>
      </c>
      <c r="O111" s="140">
        <f>VLOOKUP($A111,'Data shares'!$C:$FB,65)*100</f>
        <v>234.35000000000002</v>
      </c>
    </row>
    <row r="112" spans="1:15" x14ac:dyDescent="0.25">
      <c r="A112" s="101" t="str">
        <f>'Data shares'!C107</f>
        <v>JSWSTEEL</v>
      </c>
      <c r="B112" s="50">
        <f>VLOOKUP($A112,'Data shares'!$C:$FB,7)</f>
        <v>1171.5</v>
      </c>
      <c r="C112" s="50">
        <f>VLOOKUP($A112,'Data shares'!$C:$FB,10)*100</f>
        <v>0.57999999999999996</v>
      </c>
      <c r="D112" s="49">
        <f>VLOOKUP($A112,'Data shares'!$C:$FB,66)</f>
        <v>24929100</v>
      </c>
      <c r="E112" s="49">
        <f>VLOOKUP($A112,'Data shares'!$C:$FB,67)</f>
        <v>86167800</v>
      </c>
      <c r="F112" s="50">
        <f>VLOOKUP($A112,'Data shares'!$C:$FB,69)*100</f>
        <v>-71.069999999999993</v>
      </c>
      <c r="G112" s="49">
        <f>VLOOKUP($A112,'Data shares'!$C:$FB,42)</f>
        <v>3075300</v>
      </c>
      <c r="H112" s="49">
        <f>VLOOKUP($A112,'Data shares'!$C:$FB,43)</f>
        <v>14351175</v>
      </c>
      <c r="I112" s="50">
        <f>VLOOKUP($A112,'Data shares'!$C:$FB,45)*100</f>
        <v>-78.569999999999993</v>
      </c>
      <c r="J112" s="49">
        <f>VLOOKUP($A112,'Data shares'!$C:$FB,58)</f>
        <v>10674450</v>
      </c>
      <c r="K112" s="49">
        <f>VLOOKUP($A112,'Data shares'!$C:$FB,59)</f>
        <v>48622950</v>
      </c>
      <c r="L112" s="50">
        <f>VLOOKUP($A112,'Data shares'!$C:$FB,61)*100</f>
        <v>-78.05</v>
      </c>
      <c r="M112" s="49">
        <f>VLOOKUP($A112,'Data shares'!$C:$FB,62)</f>
        <v>11179350</v>
      </c>
      <c r="N112" s="49">
        <f>VLOOKUP($A112,'Data shares'!$C:$FB,63)</f>
        <v>23193675</v>
      </c>
      <c r="O112" s="140">
        <f>VLOOKUP($A112,'Data shares'!$C:$FB,65)*100</f>
        <v>-51.800000000000004</v>
      </c>
    </row>
    <row r="113" spans="1:15" x14ac:dyDescent="0.25">
      <c r="A113" s="101" t="str">
        <f>'Data shares'!C108</f>
        <v>JUBLFOOD</v>
      </c>
      <c r="B113" s="50">
        <f>VLOOKUP($A113,'Data shares'!$C:$FB,7)</f>
        <v>553.15</v>
      </c>
      <c r="C113" s="50">
        <f>VLOOKUP($A113,'Data shares'!$C:$FB,10)*100</f>
        <v>-0.98</v>
      </c>
      <c r="D113" s="49">
        <f>VLOOKUP($A113,'Data shares'!$C:$FB,66)</f>
        <v>8600000</v>
      </c>
      <c r="E113" s="49">
        <f>VLOOKUP($A113,'Data shares'!$C:$FB,67)</f>
        <v>15236250</v>
      </c>
      <c r="F113" s="50">
        <f>VLOOKUP($A113,'Data shares'!$C:$FB,69)*100</f>
        <v>-43.56</v>
      </c>
      <c r="G113" s="49">
        <f>VLOOKUP($A113,'Data shares'!$C:$FB,42)</f>
        <v>2516250</v>
      </c>
      <c r="H113" s="49">
        <f>VLOOKUP($A113,'Data shares'!$C:$FB,43)</f>
        <v>4458750</v>
      </c>
      <c r="I113" s="50">
        <f>VLOOKUP($A113,'Data shares'!$C:$FB,45)*100</f>
        <v>-43.57</v>
      </c>
      <c r="J113" s="49">
        <f>VLOOKUP($A113,'Data shares'!$C:$FB,58)</f>
        <v>3382500</v>
      </c>
      <c r="K113" s="49">
        <f>VLOOKUP($A113,'Data shares'!$C:$FB,59)</f>
        <v>7036250</v>
      </c>
      <c r="L113" s="50">
        <f>VLOOKUP($A113,'Data shares'!$C:$FB,61)*100</f>
        <v>-51.93</v>
      </c>
      <c r="M113" s="49">
        <f>VLOOKUP($A113,'Data shares'!$C:$FB,62)</f>
        <v>2701250</v>
      </c>
      <c r="N113" s="49">
        <f>VLOOKUP($A113,'Data shares'!$C:$FB,63)</f>
        <v>3741250</v>
      </c>
      <c r="O113" s="140">
        <f>VLOOKUP($A113,'Data shares'!$C:$FB,65)*100</f>
        <v>-27.800000000000004</v>
      </c>
    </row>
    <row r="114" spans="1:15" x14ac:dyDescent="0.25">
      <c r="A114" s="101" t="str">
        <f>'Data shares'!C109</f>
        <v>KALYANKJIL</v>
      </c>
      <c r="B114" s="50">
        <f>VLOOKUP($A114,'Data shares'!$C:$FB,7)</f>
        <v>484.2</v>
      </c>
      <c r="C114" s="50">
        <f>VLOOKUP($A114,'Data shares'!$C:$FB,10)*100</f>
        <v>-0.24</v>
      </c>
      <c r="D114" s="49">
        <f>VLOOKUP($A114,'Data shares'!$C:$FB,66)</f>
        <v>3234775</v>
      </c>
      <c r="E114" s="49">
        <f>VLOOKUP($A114,'Data shares'!$C:$FB,67)</f>
        <v>7000650</v>
      </c>
      <c r="F114" s="50">
        <f>VLOOKUP($A114,'Data shares'!$C:$FB,69)*100</f>
        <v>-53.790000000000006</v>
      </c>
      <c r="G114" s="49">
        <f>VLOOKUP($A114,'Data shares'!$C:$FB,42)</f>
        <v>868325</v>
      </c>
      <c r="H114" s="49">
        <f>VLOOKUP($A114,'Data shares'!$C:$FB,43)</f>
        <v>1958725</v>
      </c>
      <c r="I114" s="50">
        <f>VLOOKUP($A114,'Data shares'!$C:$FB,45)*100</f>
        <v>-55.669999999999995</v>
      </c>
      <c r="J114" s="49">
        <f>VLOOKUP($A114,'Data shares'!$C:$FB,58)</f>
        <v>1767200</v>
      </c>
      <c r="K114" s="49">
        <f>VLOOKUP($A114,'Data shares'!$C:$FB,59)</f>
        <v>3395750</v>
      </c>
      <c r="L114" s="50">
        <f>VLOOKUP($A114,'Data shares'!$C:$FB,61)*100</f>
        <v>-47.96</v>
      </c>
      <c r="M114" s="49">
        <f>VLOOKUP($A114,'Data shares'!$C:$FB,62)</f>
        <v>599250</v>
      </c>
      <c r="N114" s="49">
        <f>VLOOKUP($A114,'Data shares'!$C:$FB,63)</f>
        <v>1646175</v>
      </c>
      <c r="O114" s="140">
        <f>VLOOKUP($A114,'Data shares'!$C:$FB,65)*100</f>
        <v>-63.6</v>
      </c>
    </row>
    <row r="115" spans="1:15" x14ac:dyDescent="0.25">
      <c r="A115" s="101" t="str">
        <f>'Data shares'!C110</f>
        <v>KAYNES</v>
      </c>
      <c r="B115" s="50">
        <f>VLOOKUP($A115,'Data shares'!$C:$FB,7)</f>
        <v>3943.5</v>
      </c>
      <c r="C115" s="50">
        <f>VLOOKUP($A115,'Data shares'!$C:$FB,10)*100</f>
        <v>-1.73</v>
      </c>
      <c r="D115" s="49">
        <f>VLOOKUP($A115,'Data shares'!$C:$FB,66)</f>
        <v>3174300</v>
      </c>
      <c r="E115" s="49">
        <f>VLOOKUP($A115,'Data shares'!$C:$FB,67)</f>
        <v>4217000</v>
      </c>
      <c r="F115" s="50">
        <f>VLOOKUP($A115,'Data shares'!$C:$FB,69)*100</f>
        <v>-24.73</v>
      </c>
      <c r="G115" s="49">
        <f>VLOOKUP($A115,'Data shares'!$C:$FB,42)</f>
        <v>511500</v>
      </c>
      <c r="H115" s="49">
        <f>VLOOKUP($A115,'Data shares'!$C:$FB,43)</f>
        <v>581500</v>
      </c>
      <c r="I115" s="50">
        <f>VLOOKUP($A115,'Data shares'!$C:$FB,45)*100</f>
        <v>-12.04</v>
      </c>
      <c r="J115" s="49">
        <f>VLOOKUP($A115,'Data shares'!$C:$FB,58)</f>
        <v>1690600</v>
      </c>
      <c r="K115" s="49">
        <f>VLOOKUP($A115,'Data shares'!$C:$FB,59)</f>
        <v>2427000</v>
      </c>
      <c r="L115" s="50">
        <f>VLOOKUP($A115,'Data shares'!$C:$FB,61)*100</f>
        <v>-30.34</v>
      </c>
      <c r="M115" s="49">
        <f>VLOOKUP($A115,'Data shares'!$C:$FB,62)</f>
        <v>972200</v>
      </c>
      <c r="N115" s="49">
        <f>VLOOKUP($A115,'Data shares'!$C:$FB,63)</f>
        <v>1208500</v>
      </c>
      <c r="O115" s="140">
        <f>VLOOKUP($A115,'Data shares'!$C:$FB,65)*100</f>
        <v>-19.55</v>
      </c>
    </row>
    <row r="116" spans="1:15" x14ac:dyDescent="0.25">
      <c r="A116" s="101" t="str">
        <f>'Data shares'!C111</f>
        <v>KEI</v>
      </c>
      <c r="B116" s="50">
        <f>VLOOKUP($A116,'Data shares'!$C:$FB,7)</f>
        <v>4514.5</v>
      </c>
      <c r="C116" s="50">
        <f>VLOOKUP($A116,'Data shares'!$C:$FB,10)*100</f>
        <v>1.22</v>
      </c>
      <c r="D116" s="49">
        <f>VLOOKUP($A116,'Data shares'!$C:$FB,66)</f>
        <v>1069775</v>
      </c>
      <c r="E116" s="49">
        <f>VLOOKUP($A116,'Data shares'!$C:$FB,67)</f>
        <v>1451100</v>
      </c>
      <c r="F116" s="50">
        <f>VLOOKUP($A116,'Data shares'!$C:$FB,69)*100</f>
        <v>-26.279999999999998</v>
      </c>
      <c r="G116" s="49">
        <f>VLOOKUP($A116,'Data shares'!$C:$FB,42)</f>
        <v>206150</v>
      </c>
      <c r="H116" s="49">
        <f>VLOOKUP($A116,'Data shares'!$C:$FB,43)</f>
        <v>322525</v>
      </c>
      <c r="I116" s="50">
        <f>VLOOKUP($A116,'Data shares'!$C:$FB,45)*100</f>
        <v>-36.08</v>
      </c>
      <c r="J116" s="49">
        <f>VLOOKUP($A116,'Data shares'!$C:$FB,58)</f>
        <v>642950</v>
      </c>
      <c r="K116" s="49">
        <f>VLOOKUP($A116,'Data shares'!$C:$FB,59)</f>
        <v>866250</v>
      </c>
      <c r="L116" s="50">
        <f>VLOOKUP($A116,'Data shares'!$C:$FB,61)*100</f>
        <v>-25.779999999999998</v>
      </c>
      <c r="M116" s="49">
        <f>VLOOKUP($A116,'Data shares'!$C:$FB,62)</f>
        <v>220675</v>
      </c>
      <c r="N116" s="49">
        <f>VLOOKUP($A116,'Data shares'!$C:$FB,63)</f>
        <v>262325</v>
      </c>
      <c r="O116" s="140">
        <f>VLOOKUP($A116,'Data shares'!$C:$FB,65)*100</f>
        <v>-15.879999999999999</v>
      </c>
    </row>
    <row r="117" spans="1:15" x14ac:dyDescent="0.25">
      <c r="A117" s="101" t="str">
        <f>'Data shares'!C112</f>
        <v>KFINTECH</v>
      </c>
      <c r="B117" s="50">
        <f>VLOOKUP($A117,'Data shares'!$C:$FB,7)</f>
        <v>1076.7</v>
      </c>
      <c r="C117" s="50">
        <f>VLOOKUP($A117,'Data shares'!$C:$FB,10)*100</f>
        <v>-0.49</v>
      </c>
      <c r="D117" s="49">
        <f>VLOOKUP($A117,'Data shares'!$C:$FB,66)</f>
        <v>1623500</v>
      </c>
      <c r="E117" s="49">
        <f>VLOOKUP($A117,'Data shares'!$C:$FB,67)</f>
        <v>1696500</v>
      </c>
      <c r="F117" s="50">
        <f>VLOOKUP($A117,'Data shares'!$C:$FB,69)*100</f>
        <v>-4.3</v>
      </c>
      <c r="G117" s="49">
        <f>VLOOKUP($A117,'Data shares'!$C:$FB,42)</f>
        <v>618000</v>
      </c>
      <c r="H117" s="49">
        <f>VLOOKUP($A117,'Data shares'!$C:$FB,43)</f>
        <v>729000</v>
      </c>
      <c r="I117" s="50">
        <f>VLOOKUP($A117,'Data shares'!$C:$FB,45)*100</f>
        <v>-15.229999999999999</v>
      </c>
      <c r="J117" s="49">
        <f>VLOOKUP($A117,'Data shares'!$C:$FB,58)</f>
        <v>758000</v>
      </c>
      <c r="K117" s="49">
        <f>VLOOKUP($A117,'Data shares'!$C:$FB,59)</f>
        <v>611000</v>
      </c>
      <c r="L117" s="50">
        <f>VLOOKUP($A117,'Data shares'!$C:$FB,61)*100</f>
        <v>24.060000000000002</v>
      </c>
      <c r="M117" s="49">
        <f>VLOOKUP($A117,'Data shares'!$C:$FB,62)</f>
        <v>247500</v>
      </c>
      <c r="N117" s="49">
        <f>VLOOKUP($A117,'Data shares'!$C:$FB,63)</f>
        <v>356500</v>
      </c>
      <c r="O117" s="140">
        <f>VLOOKUP($A117,'Data shares'!$C:$FB,65)*100</f>
        <v>-30.580000000000002</v>
      </c>
    </row>
    <row r="118" spans="1:15" x14ac:dyDescent="0.25">
      <c r="A118" s="101" t="str">
        <f>'Data shares'!C113</f>
        <v>KOTAKBANK</v>
      </c>
      <c r="B118" s="50">
        <f>VLOOKUP($A118,'Data shares'!$C:$FB,7)</f>
        <v>2217.8000000000002</v>
      </c>
      <c r="C118" s="50">
        <f>VLOOKUP($A118,'Data shares'!$C:$FB,10)*100</f>
        <v>0.76</v>
      </c>
      <c r="D118" s="49">
        <f>VLOOKUP($A118,'Data shares'!$C:$FB,66)</f>
        <v>14365200</v>
      </c>
      <c r="E118" s="49">
        <f>VLOOKUP($A118,'Data shares'!$C:$FB,67)</f>
        <v>23248800</v>
      </c>
      <c r="F118" s="50">
        <f>VLOOKUP($A118,'Data shares'!$C:$FB,69)*100</f>
        <v>-38.21</v>
      </c>
      <c r="G118" s="49">
        <f>VLOOKUP($A118,'Data shares'!$C:$FB,42)</f>
        <v>2369200</v>
      </c>
      <c r="H118" s="49">
        <f>VLOOKUP($A118,'Data shares'!$C:$FB,43)</f>
        <v>5567200</v>
      </c>
      <c r="I118" s="50">
        <f>VLOOKUP($A118,'Data shares'!$C:$FB,45)*100</f>
        <v>-57.440000000000005</v>
      </c>
      <c r="J118" s="49">
        <f>VLOOKUP($A118,'Data shares'!$C:$FB,58)</f>
        <v>8084800</v>
      </c>
      <c r="K118" s="49">
        <f>VLOOKUP($A118,'Data shares'!$C:$FB,59)</f>
        <v>12028400</v>
      </c>
      <c r="L118" s="50">
        <f>VLOOKUP($A118,'Data shares'!$C:$FB,61)*100</f>
        <v>-32.79</v>
      </c>
      <c r="M118" s="49">
        <f>VLOOKUP($A118,'Data shares'!$C:$FB,62)</f>
        <v>3911200</v>
      </c>
      <c r="N118" s="49">
        <f>VLOOKUP($A118,'Data shares'!$C:$FB,63)</f>
        <v>5653200</v>
      </c>
      <c r="O118" s="140">
        <f>VLOOKUP($A118,'Data shares'!$C:$FB,65)*100</f>
        <v>-30.81</v>
      </c>
    </row>
    <row r="119" spans="1:15" x14ac:dyDescent="0.25">
      <c r="A119" s="101" t="str">
        <f>'Data shares'!C114</f>
        <v>KPITTECH</v>
      </c>
      <c r="B119" s="50">
        <f>VLOOKUP($A119,'Data shares'!$C:$FB,7)</f>
        <v>1163.2</v>
      </c>
      <c r="C119" s="50">
        <f>VLOOKUP($A119,'Data shares'!$C:$FB,10)*100</f>
        <v>-0.79</v>
      </c>
      <c r="D119" s="49">
        <f>VLOOKUP($A119,'Data shares'!$C:$FB,66)</f>
        <v>1546150</v>
      </c>
      <c r="E119" s="49">
        <f>VLOOKUP($A119,'Data shares'!$C:$FB,67)</f>
        <v>1910375</v>
      </c>
      <c r="F119" s="50">
        <f>VLOOKUP($A119,'Data shares'!$C:$FB,69)*100</f>
        <v>-19.07</v>
      </c>
      <c r="G119" s="49">
        <f>VLOOKUP($A119,'Data shares'!$C:$FB,42)</f>
        <v>655775</v>
      </c>
      <c r="H119" s="49">
        <f>VLOOKUP($A119,'Data shares'!$C:$FB,43)</f>
        <v>639200</v>
      </c>
      <c r="I119" s="50">
        <f>VLOOKUP($A119,'Data shares'!$C:$FB,45)*100</f>
        <v>2.59</v>
      </c>
      <c r="J119" s="49">
        <f>VLOOKUP($A119,'Data shares'!$C:$FB,58)</f>
        <v>607750</v>
      </c>
      <c r="K119" s="49">
        <f>VLOOKUP($A119,'Data shares'!$C:$FB,59)</f>
        <v>796450</v>
      </c>
      <c r="L119" s="50">
        <f>VLOOKUP($A119,'Data shares'!$C:$FB,61)*100</f>
        <v>-23.69</v>
      </c>
      <c r="M119" s="49">
        <f>VLOOKUP($A119,'Data shares'!$C:$FB,62)</f>
        <v>282625</v>
      </c>
      <c r="N119" s="49">
        <f>VLOOKUP($A119,'Data shares'!$C:$FB,63)</f>
        <v>474725</v>
      </c>
      <c r="O119" s="140">
        <f>VLOOKUP($A119,'Data shares'!$C:$FB,65)*100</f>
        <v>-40.47</v>
      </c>
    </row>
    <row r="120" spans="1:15" x14ac:dyDescent="0.25">
      <c r="A120" s="101" t="str">
        <f>'Data shares'!C115</f>
        <v>LAURUSLABS</v>
      </c>
      <c r="B120" s="50">
        <f>VLOOKUP($A120,'Data shares'!$C:$FB,7)</f>
        <v>1110.4000000000001</v>
      </c>
      <c r="C120" s="50">
        <f>VLOOKUP($A120,'Data shares'!$C:$FB,10)*100</f>
        <v>0.22</v>
      </c>
      <c r="D120" s="49">
        <f>VLOOKUP($A120,'Data shares'!$C:$FB,66)</f>
        <v>8057150</v>
      </c>
      <c r="E120" s="49">
        <f>VLOOKUP($A120,'Data shares'!$C:$FB,67)</f>
        <v>18529150</v>
      </c>
      <c r="F120" s="50">
        <f>VLOOKUP($A120,'Data shares'!$C:$FB,69)*100</f>
        <v>-56.52</v>
      </c>
      <c r="G120" s="49">
        <f>VLOOKUP($A120,'Data shares'!$C:$FB,42)</f>
        <v>1844500</v>
      </c>
      <c r="H120" s="49">
        <f>VLOOKUP($A120,'Data shares'!$C:$FB,43)</f>
        <v>3896400</v>
      </c>
      <c r="I120" s="50">
        <f>VLOOKUP($A120,'Data shares'!$C:$FB,45)*100</f>
        <v>-52.66</v>
      </c>
      <c r="J120" s="49">
        <f>VLOOKUP($A120,'Data shares'!$C:$FB,58)</f>
        <v>3837750</v>
      </c>
      <c r="K120" s="49">
        <f>VLOOKUP($A120,'Data shares'!$C:$FB,59)</f>
        <v>9063550</v>
      </c>
      <c r="L120" s="50">
        <f>VLOOKUP($A120,'Data shares'!$C:$FB,61)*100</f>
        <v>-57.66</v>
      </c>
      <c r="M120" s="49">
        <f>VLOOKUP($A120,'Data shares'!$C:$FB,62)</f>
        <v>2374900</v>
      </c>
      <c r="N120" s="49">
        <f>VLOOKUP($A120,'Data shares'!$C:$FB,63)</f>
        <v>5569200</v>
      </c>
      <c r="O120" s="140">
        <f>VLOOKUP($A120,'Data shares'!$C:$FB,65)*100</f>
        <v>-57.36</v>
      </c>
    </row>
    <row r="121" spans="1:15" x14ac:dyDescent="0.25">
      <c r="A121" s="101" t="str">
        <f>'Data shares'!C116</f>
        <v>LICHSGFIN</v>
      </c>
      <c r="B121" s="50">
        <f>VLOOKUP($A121,'Data shares'!$C:$FB,7)</f>
        <v>535.85</v>
      </c>
      <c r="C121" s="50">
        <f>VLOOKUP($A121,'Data shares'!$C:$FB,10)*100</f>
        <v>-0.69</v>
      </c>
      <c r="D121" s="49">
        <f>VLOOKUP($A121,'Data shares'!$C:$FB,66)</f>
        <v>5782000</v>
      </c>
      <c r="E121" s="49">
        <f>VLOOKUP($A121,'Data shares'!$C:$FB,67)</f>
        <v>12502000</v>
      </c>
      <c r="F121" s="50">
        <f>VLOOKUP($A121,'Data shares'!$C:$FB,69)*100</f>
        <v>-53.75</v>
      </c>
      <c r="G121" s="49">
        <f>VLOOKUP($A121,'Data shares'!$C:$FB,42)</f>
        <v>2091000</v>
      </c>
      <c r="H121" s="49">
        <f>VLOOKUP($A121,'Data shares'!$C:$FB,43)</f>
        <v>3379000</v>
      </c>
      <c r="I121" s="50">
        <f>VLOOKUP($A121,'Data shares'!$C:$FB,45)*100</f>
        <v>-38.119999999999997</v>
      </c>
      <c r="J121" s="49">
        <f>VLOOKUP($A121,'Data shares'!$C:$FB,58)</f>
        <v>2438000</v>
      </c>
      <c r="K121" s="49">
        <f>VLOOKUP($A121,'Data shares'!$C:$FB,59)</f>
        <v>5272000</v>
      </c>
      <c r="L121" s="50">
        <f>VLOOKUP($A121,'Data shares'!$C:$FB,61)*100</f>
        <v>-53.76</v>
      </c>
      <c r="M121" s="49">
        <f>VLOOKUP($A121,'Data shares'!$C:$FB,62)</f>
        <v>1253000</v>
      </c>
      <c r="N121" s="49">
        <f>VLOOKUP($A121,'Data shares'!$C:$FB,63)</f>
        <v>3851000</v>
      </c>
      <c r="O121" s="140">
        <f>VLOOKUP($A121,'Data shares'!$C:$FB,65)*100</f>
        <v>-67.459999999999994</v>
      </c>
    </row>
    <row r="122" spans="1:15" x14ac:dyDescent="0.25">
      <c r="A122" s="101" t="str">
        <f>'Data shares'!C117</f>
        <v>LICI</v>
      </c>
      <c r="B122" s="50">
        <f>VLOOKUP($A122,'Data shares'!$C:$FB,7)</f>
        <v>852.8</v>
      </c>
      <c r="C122" s="50">
        <f>VLOOKUP($A122,'Data shares'!$C:$FB,10)*100</f>
        <v>-0.25</v>
      </c>
      <c r="D122" s="49">
        <f>VLOOKUP($A122,'Data shares'!$C:$FB,66)</f>
        <v>2133600</v>
      </c>
      <c r="E122" s="49">
        <f>VLOOKUP($A122,'Data shares'!$C:$FB,67)</f>
        <v>6061300</v>
      </c>
      <c r="F122" s="50">
        <f>VLOOKUP($A122,'Data shares'!$C:$FB,69)*100</f>
        <v>-64.8</v>
      </c>
      <c r="G122" s="49">
        <f>VLOOKUP($A122,'Data shares'!$C:$FB,42)</f>
        <v>434700</v>
      </c>
      <c r="H122" s="49">
        <f>VLOOKUP($A122,'Data shares'!$C:$FB,43)</f>
        <v>1103900</v>
      </c>
      <c r="I122" s="50">
        <f>VLOOKUP($A122,'Data shares'!$C:$FB,45)*100</f>
        <v>-60.62</v>
      </c>
      <c r="J122" s="49">
        <f>VLOOKUP($A122,'Data shares'!$C:$FB,58)</f>
        <v>1187200</v>
      </c>
      <c r="K122" s="49">
        <f>VLOOKUP($A122,'Data shares'!$C:$FB,59)</f>
        <v>3070200</v>
      </c>
      <c r="L122" s="50">
        <f>VLOOKUP($A122,'Data shares'!$C:$FB,61)*100</f>
        <v>-61.33</v>
      </c>
      <c r="M122" s="49">
        <f>VLOOKUP($A122,'Data shares'!$C:$FB,62)</f>
        <v>511700</v>
      </c>
      <c r="N122" s="49">
        <f>VLOOKUP($A122,'Data shares'!$C:$FB,63)</f>
        <v>1887200</v>
      </c>
      <c r="O122" s="140">
        <f>VLOOKUP($A122,'Data shares'!$C:$FB,65)*100</f>
        <v>-72.89</v>
      </c>
    </row>
    <row r="123" spans="1:15" x14ac:dyDescent="0.25">
      <c r="A123" s="101" t="str">
        <f>'Data shares'!C118</f>
        <v>LODHA</v>
      </c>
      <c r="B123" s="50">
        <f>VLOOKUP($A123,'Data shares'!$C:$FB,7)</f>
        <v>1072.8</v>
      </c>
      <c r="C123" s="50">
        <f>VLOOKUP($A123,'Data shares'!$C:$FB,10)*100</f>
        <v>1.08</v>
      </c>
      <c r="D123" s="49">
        <f>VLOOKUP($A123,'Data shares'!$C:$FB,66)</f>
        <v>1976850</v>
      </c>
      <c r="E123" s="49">
        <f>VLOOKUP($A123,'Data shares'!$C:$FB,67)</f>
        <v>2160450</v>
      </c>
      <c r="F123" s="50">
        <f>VLOOKUP($A123,'Data shares'!$C:$FB,69)*100</f>
        <v>-8.5</v>
      </c>
      <c r="G123" s="49">
        <f>VLOOKUP($A123,'Data shares'!$C:$FB,42)</f>
        <v>540900</v>
      </c>
      <c r="H123" s="49">
        <f>VLOOKUP($A123,'Data shares'!$C:$FB,43)</f>
        <v>736650</v>
      </c>
      <c r="I123" s="50">
        <f>VLOOKUP($A123,'Data shares'!$C:$FB,45)*100</f>
        <v>-26.57</v>
      </c>
      <c r="J123" s="49">
        <f>VLOOKUP($A123,'Data shares'!$C:$FB,58)</f>
        <v>1024200</v>
      </c>
      <c r="K123" s="49">
        <f>VLOOKUP($A123,'Data shares'!$C:$FB,59)</f>
        <v>978300</v>
      </c>
      <c r="L123" s="50">
        <f>VLOOKUP($A123,'Data shares'!$C:$FB,61)*100</f>
        <v>4.6899999999999995</v>
      </c>
      <c r="M123" s="49">
        <f>VLOOKUP($A123,'Data shares'!$C:$FB,62)</f>
        <v>411750</v>
      </c>
      <c r="N123" s="49">
        <f>VLOOKUP($A123,'Data shares'!$C:$FB,63)</f>
        <v>445500</v>
      </c>
      <c r="O123" s="140">
        <f>VLOOKUP($A123,'Data shares'!$C:$FB,65)*100</f>
        <v>-7.580000000000001</v>
      </c>
    </row>
    <row r="124" spans="1:15" x14ac:dyDescent="0.25">
      <c r="A124" s="101" t="str">
        <f>'Data shares'!C119</f>
        <v>LT</v>
      </c>
      <c r="B124" s="50">
        <f>VLOOKUP($A124,'Data shares'!$C:$FB,7)</f>
        <v>4140.3999999999996</v>
      </c>
      <c r="C124" s="50">
        <f>VLOOKUP($A124,'Data shares'!$C:$FB,10)*100</f>
        <v>1.39</v>
      </c>
      <c r="D124" s="49">
        <f>VLOOKUP($A124,'Data shares'!$C:$FB,66)</f>
        <v>9482200</v>
      </c>
      <c r="E124" s="49">
        <f>VLOOKUP($A124,'Data shares'!$C:$FB,67)</f>
        <v>6853525</v>
      </c>
      <c r="F124" s="50">
        <f>VLOOKUP($A124,'Data shares'!$C:$FB,69)*100</f>
        <v>38.36</v>
      </c>
      <c r="G124" s="49">
        <f>VLOOKUP($A124,'Data shares'!$C:$FB,42)</f>
        <v>1360975</v>
      </c>
      <c r="H124" s="49">
        <f>VLOOKUP($A124,'Data shares'!$C:$FB,43)</f>
        <v>1234975</v>
      </c>
      <c r="I124" s="50">
        <f>VLOOKUP($A124,'Data shares'!$C:$FB,45)*100</f>
        <v>10.199999999999999</v>
      </c>
      <c r="J124" s="49">
        <f>VLOOKUP($A124,'Data shares'!$C:$FB,58)</f>
        <v>5580050</v>
      </c>
      <c r="K124" s="49">
        <f>VLOOKUP($A124,'Data shares'!$C:$FB,59)</f>
        <v>3613750</v>
      </c>
      <c r="L124" s="50">
        <f>VLOOKUP($A124,'Data shares'!$C:$FB,61)*100</f>
        <v>54.410000000000004</v>
      </c>
      <c r="M124" s="49">
        <f>VLOOKUP($A124,'Data shares'!$C:$FB,62)</f>
        <v>2541175</v>
      </c>
      <c r="N124" s="49">
        <f>VLOOKUP($A124,'Data shares'!$C:$FB,63)</f>
        <v>2004800</v>
      </c>
      <c r="O124" s="140">
        <f>VLOOKUP($A124,'Data shares'!$C:$FB,65)*100</f>
        <v>26.75</v>
      </c>
    </row>
    <row r="125" spans="1:15" x14ac:dyDescent="0.25">
      <c r="A125" s="101" t="str">
        <f>'Data shares'!C120</f>
        <v>LTF</v>
      </c>
      <c r="B125" s="50">
        <f>VLOOKUP($A125,'Data shares'!$C:$FB,7)</f>
        <v>317.25</v>
      </c>
      <c r="C125" s="50">
        <f>VLOOKUP($A125,'Data shares'!$C:$FB,10)*100</f>
        <v>0.41000000000000003</v>
      </c>
      <c r="D125" s="49">
        <f>VLOOKUP($A125,'Data shares'!$C:$FB,66)</f>
        <v>59946750</v>
      </c>
      <c r="E125" s="49">
        <f>VLOOKUP($A125,'Data shares'!$C:$FB,67)</f>
        <v>106191000</v>
      </c>
      <c r="F125" s="50">
        <f>VLOOKUP($A125,'Data shares'!$C:$FB,69)*100</f>
        <v>-43.55</v>
      </c>
      <c r="G125" s="49">
        <f>VLOOKUP($A125,'Data shares'!$C:$FB,42)</f>
        <v>12118500</v>
      </c>
      <c r="H125" s="49">
        <f>VLOOKUP($A125,'Data shares'!$C:$FB,43)</f>
        <v>21069000</v>
      </c>
      <c r="I125" s="50">
        <f>VLOOKUP($A125,'Data shares'!$C:$FB,45)*100</f>
        <v>-42.480000000000004</v>
      </c>
      <c r="J125" s="49">
        <f>VLOOKUP($A125,'Data shares'!$C:$FB,58)</f>
        <v>34373250</v>
      </c>
      <c r="K125" s="49">
        <f>VLOOKUP($A125,'Data shares'!$C:$FB,59)</f>
        <v>62300250</v>
      </c>
      <c r="L125" s="50">
        <f>VLOOKUP($A125,'Data shares'!$C:$FB,61)*100</f>
        <v>-44.83</v>
      </c>
      <c r="M125" s="49">
        <f>VLOOKUP($A125,'Data shares'!$C:$FB,62)</f>
        <v>13455000</v>
      </c>
      <c r="N125" s="49">
        <f>VLOOKUP($A125,'Data shares'!$C:$FB,63)</f>
        <v>22821750</v>
      </c>
      <c r="O125" s="140">
        <f>VLOOKUP($A125,'Data shares'!$C:$FB,65)*100</f>
        <v>-41.04</v>
      </c>
    </row>
    <row r="126" spans="1:15" x14ac:dyDescent="0.25">
      <c r="A126" s="101" t="str">
        <f>'Data shares'!C121</f>
        <v>LTIM</v>
      </c>
      <c r="B126" s="50">
        <f>VLOOKUP($A126,'Data shares'!$C:$FB,7)</f>
        <v>6112</v>
      </c>
      <c r="C126" s="50">
        <f>VLOOKUP($A126,'Data shares'!$C:$FB,10)*100</f>
        <v>0.8</v>
      </c>
      <c r="D126" s="49">
        <f>VLOOKUP($A126,'Data shares'!$C:$FB,66)</f>
        <v>963450</v>
      </c>
      <c r="E126" s="49">
        <f>VLOOKUP($A126,'Data shares'!$C:$FB,67)</f>
        <v>1065450</v>
      </c>
      <c r="F126" s="50">
        <f>VLOOKUP($A126,'Data shares'!$C:$FB,69)*100</f>
        <v>-9.5699999999999985</v>
      </c>
      <c r="G126" s="49">
        <f>VLOOKUP($A126,'Data shares'!$C:$FB,42)</f>
        <v>181200</v>
      </c>
      <c r="H126" s="49">
        <f>VLOOKUP($A126,'Data shares'!$C:$FB,43)</f>
        <v>275700</v>
      </c>
      <c r="I126" s="50">
        <f>VLOOKUP($A126,'Data shares'!$C:$FB,45)*100</f>
        <v>-34.28</v>
      </c>
      <c r="J126" s="49">
        <f>VLOOKUP($A126,'Data shares'!$C:$FB,58)</f>
        <v>522450</v>
      </c>
      <c r="K126" s="49">
        <f>VLOOKUP($A126,'Data shares'!$C:$FB,59)</f>
        <v>486000</v>
      </c>
      <c r="L126" s="50">
        <f>VLOOKUP($A126,'Data shares'!$C:$FB,61)*100</f>
        <v>7.5</v>
      </c>
      <c r="M126" s="49">
        <f>VLOOKUP($A126,'Data shares'!$C:$FB,62)</f>
        <v>259800</v>
      </c>
      <c r="N126" s="49">
        <f>VLOOKUP($A126,'Data shares'!$C:$FB,63)</f>
        <v>303750</v>
      </c>
      <c r="O126" s="140">
        <f>VLOOKUP($A126,'Data shares'!$C:$FB,65)*100</f>
        <v>-14.469999999999999</v>
      </c>
    </row>
    <row r="127" spans="1:15" x14ac:dyDescent="0.25">
      <c r="A127" s="101" t="str">
        <f>'Data shares'!C122</f>
        <v>LUPIN</v>
      </c>
      <c r="B127" s="50">
        <f>VLOOKUP($A127,'Data shares'!$C:$FB,7)</f>
        <v>2102.8000000000002</v>
      </c>
      <c r="C127" s="50">
        <f>VLOOKUP($A127,'Data shares'!$C:$FB,10)*100</f>
        <v>-0.32</v>
      </c>
      <c r="D127" s="49">
        <f>VLOOKUP($A127,'Data shares'!$C:$FB,66)</f>
        <v>2218075</v>
      </c>
      <c r="E127" s="49">
        <f>VLOOKUP($A127,'Data shares'!$C:$FB,67)</f>
        <v>3348575</v>
      </c>
      <c r="F127" s="50">
        <f>VLOOKUP($A127,'Data shares'!$C:$FB,69)*100</f>
        <v>-33.76</v>
      </c>
      <c r="G127" s="49">
        <f>VLOOKUP($A127,'Data shares'!$C:$FB,42)</f>
        <v>529125</v>
      </c>
      <c r="H127" s="49">
        <f>VLOOKUP($A127,'Data shares'!$C:$FB,43)</f>
        <v>975800</v>
      </c>
      <c r="I127" s="50">
        <f>VLOOKUP($A127,'Data shares'!$C:$FB,45)*100</f>
        <v>-45.78</v>
      </c>
      <c r="J127" s="49">
        <f>VLOOKUP($A127,'Data shares'!$C:$FB,58)</f>
        <v>1128375</v>
      </c>
      <c r="K127" s="49">
        <f>VLOOKUP($A127,'Data shares'!$C:$FB,59)</f>
        <v>1555075</v>
      </c>
      <c r="L127" s="50">
        <f>VLOOKUP($A127,'Data shares'!$C:$FB,61)*100</f>
        <v>-27.439999999999998</v>
      </c>
      <c r="M127" s="49">
        <f>VLOOKUP($A127,'Data shares'!$C:$FB,62)</f>
        <v>560575</v>
      </c>
      <c r="N127" s="49">
        <f>VLOOKUP($A127,'Data shares'!$C:$FB,63)</f>
        <v>817700</v>
      </c>
      <c r="O127" s="140">
        <f>VLOOKUP($A127,'Data shares'!$C:$FB,65)*100</f>
        <v>-31.44</v>
      </c>
    </row>
    <row r="128" spans="1:15" x14ac:dyDescent="0.25">
      <c r="A128" s="101" t="str">
        <f>'Data shares'!C123</f>
        <v>M&amp;M</v>
      </c>
      <c r="B128" s="50">
        <f>VLOOKUP($A128,'Data shares'!$C:$FB,7)</f>
        <v>3761</v>
      </c>
      <c r="C128" s="50">
        <f>VLOOKUP($A128,'Data shares'!$C:$FB,10)*100</f>
        <v>1.4000000000000001</v>
      </c>
      <c r="D128" s="49">
        <f>VLOOKUP($A128,'Data shares'!$C:$FB,66)</f>
        <v>17976200</v>
      </c>
      <c r="E128" s="49">
        <f>VLOOKUP($A128,'Data shares'!$C:$FB,67)</f>
        <v>12135200</v>
      </c>
      <c r="F128" s="50">
        <f>VLOOKUP($A128,'Data shares'!$C:$FB,69)*100</f>
        <v>48.13</v>
      </c>
      <c r="G128" s="49">
        <f>VLOOKUP($A128,'Data shares'!$C:$FB,42)</f>
        <v>1762800</v>
      </c>
      <c r="H128" s="49">
        <f>VLOOKUP($A128,'Data shares'!$C:$FB,43)</f>
        <v>1872400</v>
      </c>
      <c r="I128" s="50">
        <f>VLOOKUP($A128,'Data shares'!$C:$FB,45)*100</f>
        <v>-5.8500000000000005</v>
      </c>
      <c r="J128" s="49">
        <f>VLOOKUP($A128,'Data shares'!$C:$FB,58)</f>
        <v>12127200</v>
      </c>
      <c r="K128" s="49">
        <f>VLOOKUP($A128,'Data shares'!$C:$FB,59)</f>
        <v>7052400</v>
      </c>
      <c r="L128" s="50">
        <f>VLOOKUP($A128,'Data shares'!$C:$FB,61)*100</f>
        <v>71.960000000000008</v>
      </c>
      <c r="M128" s="49">
        <f>VLOOKUP($A128,'Data shares'!$C:$FB,62)</f>
        <v>4086200</v>
      </c>
      <c r="N128" s="49">
        <f>VLOOKUP($A128,'Data shares'!$C:$FB,63)</f>
        <v>3210400</v>
      </c>
      <c r="O128" s="140">
        <f>VLOOKUP($A128,'Data shares'!$C:$FB,65)*100</f>
        <v>27.279999999999998</v>
      </c>
    </row>
    <row r="129" spans="1:15" x14ac:dyDescent="0.25">
      <c r="A129" s="101" t="str">
        <f>'Data shares'!C124</f>
        <v>MANAPPURAM</v>
      </c>
      <c r="B129" s="50">
        <f>VLOOKUP($A129,'Data shares'!$C:$FB,7)</f>
        <v>314.10000000000002</v>
      </c>
      <c r="C129" s="50">
        <f>VLOOKUP($A129,'Data shares'!$C:$FB,10)*100</f>
        <v>1.7999999999999998</v>
      </c>
      <c r="D129" s="49">
        <f>VLOOKUP($A129,'Data shares'!$C:$FB,66)</f>
        <v>24471000</v>
      </c>
      <c r="E129" s="49">
        <f>VLOOKUP($A129,'Data shares'!$C:$FB,67)</f>
        <v>25704000</v>
      </c>
      <c r="F129" s="50">
        <f>VLOOKUP($A129,'Data shares'!$C:$FB,69)*100</f>
        <v>-4.8</v>
      </c>
      <c r="G129" s="49">
        <f>VLOOKUP($A129,'Data shares'!$C:$FB,42)</f>
        <v>6186000</v>
      </c>
      <c r="H129" s="49">
        <f>VLOOKUP($A129,'Data shares'!$C:$FB,43)</f>
        <v>7929000</v>
      </c>
      <c r="I129" s="50">
        <f>VLOOKUP($A129,'Data shares'!$C:$FB,45)*100</f>
        <v>-21.98</v>
      </c>
      <c r="J129" s="49">
        <f>VLOOKUP($A129,'Data shares'!$C:$FB,58)</f>
        <v>13251000</v>
      </c>
      <c r="K129" s="49">
        <f>VLOOKUP($A129,'Data shares'!$C:$FB,59)</f>
        <v>11445000</v>
      </c>
      <c r="L129" s="50">
        <f>VLOOKUP($A129,'Data shares'!$C:$FB,61)*100</f>
        <v>15.78</v>
      </c>
      <c r="M129" s="49">
        <f>VLOOKUP($A129,'Data shares'!$C:$FB,62)</f>
        <v>5034000</v>
      </c>
      <c r="N129" s="49">
        <f>VLOOKUP($A129,'Data shares'!$C:$FB,63)</f>
        <v>6330000</v>
      </c>
      <c r="O129" s="140">
        <f>VLOOKUP($A129,'Data shares'!$C:$FB,65)*100</f>
        <v>-20.47</v>
      </c>
    </row>
    <row r="130" spans="1:15" x14ac:dyDescent="0.25">
      <c r="A130" s="101" t="str">
        <f>'Data shares'!C125</f>
        <v>MANKIND</v>
      </c>
      <c r="B130" s="50">
        <f>VLOOKUP($A130,'Data shares'!$C:$FB,7)</f>
        <v>2164.6</v>
      </c>
      <c r="C130" s="50">
        <f>VLOOKUP($A130,'Data shares'!$C:$FB,10)*100</f>
        <v>-1.4500000000000002</v>
      </c>
      <c r="D130" s="49">
        <f>VLOOKUP($A130,'Data shares'!$C:$FB,66)</f>
        <v>608850</v>
      </c>
      <c r="E130" s="49">
        <f>VLOOKUP($A130,'Data shares'!$C:$FB,67)</f>
        <v>1178775</v>
      </c>
      <c r="F130" s="50">
        <f>VLOOKUP($A130,'Data shares'!$C:$FB,69)*100</f>
        <v>-48.35</v>
      </c>
      <c r="G130" s="49">
        <f>VLOOKUP($A130,'Data shares'!$C:$FB,42)</f>
        <v>242775</v>
      </c>
      <c r="H130" s="49">
        <f>VLOOKUP($A130,'Data shares'!$C:$FB,43)</f>
        <v>467775</v>
      </c>
      <c r="I130" s="50">
        <f>VLOOKUP($A130,'Data shares'!$C:$FB,45)*100</f>
        <v>-48.1</v>
      </c>
      <c r="J130" s="49">
        <f>VLOOKUP($A130,'Data shares'!$C:$FB,58)</f>
        <v>263250</v>
      </c>
      <c r="K130" s="49">
        <f>VLOOKUP($A130,'Data shares'!$C:$FB,59)</f>
        <v>548100</v>
      </c>
      <c r="L130" s="50">
        <f>VLOOKUP($A130,'Data shares'!$C:$FB,61)*100</f>
        <v>-51.970000000000006</v>
      </c>
      <c r="M130" s="49">
        <f>VLOOKUP($A130,'Data shares'!$C:$FB,62)</f>
        <v>102825</v>
      </c>
      <c r="N130" s="49">
        <f>VLOOKUP($A130,'Data shares'!$C:$FB,63)</f>
        <v>162900</v>
      </c>
      <c r="O130" s="140">
        <f>VLOOKUP($A130,'Data shares'!$C:$FB,65)*100</f>
        <v>-36.880000000000003</v>
      </c>
    </row>
    <row r="131" spans="1:15" x14ac:dyDescent="0.25">
      <c r="A131" s="101" t="str">
        <f>'Data shares'!C126</f>
        <v>MARICO</v>
      </c>
      <c r="B131" s="50">
        <f>VLOOKUP($A131,'Data shares'!$C:$FB,7)</f>
        <v>760.45</v>
      </c>
      <c r="C131" s="50">
        <f>VLOOKUP($A131,'Data shares'!$C:$FB,10)*100</f>
        <v>1.31</v>
      </c>
      <c r="D131" s="49">
        <f>VLOOKUP($A131,'Data shares'!$C:$FB,66)</f>
        <v>8806800</v>
      </c>
      <c r="E131" s="49">
        <f>VLOOKUP($A131,'Data shares'!$C:$FB,67)</f>
        <v>6682800</v>
      </c>
      <c r="F131" s="50">
        <f>VLOOKUP($A131,'Data shares'!$C:$FB,69)*100</f>
        <v>31.78</v>
      </c>
      <c r="G131" s="49">
        <f>VLOOKUP($A131,'Data shares'!$C:$FB,42)</f>
        <v>2221200</v>
      </c>
      <c r="H131" s="49">
        <f>VLOOKUP($A131,'Data shares'!$C:$FB,43)</f>
        <v>2088000</v>
      </c>
      <c r="I131" s="50">
        <f>VLOOKUP($A131,'Data shares'!$C:$FB,45)*100</f>
        <v>6.38</v>
      </c>
      <c r="J131" s="49">
        <f>VLOOKUP($A131,'Data shares'!$C:$FB,58)</f>
        <v>4633200</v>
      </c>
      <c r="K131" s="49">
        <f>VLOOKUP($A131,'Data shares'!$C:$FB,59)</f>
        <v>3456000</v>
      </c>
      <c r="L131" s="50">
        <f>VLOOKUP($A131,'Data shares'!$C:$FB,61)*100</f>
        <v>34.06</v>
      </c>
      <c r="M131" s="49">
        <f>VLOOKUP($A131,'Data shares'!$C:$FB,62)</f>
        <v>1952400</v>
      </c>
      <c r="N131" s="49">
        <f>VLOOKUP($A131,'Data shares'!$C:$FB,63)</f>
        <v>1138800</v>
      </c>
      <c r="O131" s="140">
        <f>VLOOKUP($A131,'Data shares'!$C:$FB,65)*100</f>
        <v>71.44</v>
      </c>
    </row>
    <row r="132" spans="1:15" x14ac:dyDescent="0.25">
      <c r="A132" s="101" t="str">
        <f>'Data shares'!C127</f>
        <v>MARUTI</v>
      </c>
      <c r="B132" s="50">
        <f>VLOOKUP($A132,'Data shares'!$C:$FB,7)</f>
        <v>16708</v>
      </c>
      <c r="C132" s="50">
        <f>VLOOKUP($A132,'Data shares'!$C:$FB,10)*100</f>
        <v>6.9999999999999993E-2</v>
      </c>
      <c r="D132" s="49">
        <f>VLOOKUP($A132,'Data shares'!$C:$FB,66)</f>
        <v>3349700</v>
      </c>
      <c r="E132" s="49">
        <f>VLOOKUP($A132,'Data shares'!$C:$FB,67)</f>
        <v>3277750</v>
      </c>
      <c r="F132" s="50">
        <f>VLOOKUP($A132,'Data shares'!$C:$FB,69)*100</f>
        <v>2.1999999999999997</v>
      </c>
      <c r="G132" s="49">
        <f>VLOOKUP($A132,'Data shares'!$C:$FB,42)</f>
        <v>307850</v>
      </c>
      <c r="H132" s="49">
        <f>VLOOKUP($A132,'Data shares'!$C:$FB,43)</f>
        <v>316750</v>
      </c>
      <c r="I132" s="50">
        <f>VLOOKUP($A132,'Data shares'!$C:$FB,45)*100</f>
        <v>-2.81</v>
      </c>
      <c r="J132" s="49">
        <f>VLOOKUP($A132,'Data shares'!$C:$FB,58)</f>
        <v>1811550</v>
      </c>
      <c r="K132" s="49">
        <f>VLOOKUP($A132,'Data shares'!$C:$FB,59)</f>
        <v>1803650</v>
      </c>
      <c r="L132" s="50">
        <f>VLOOKUP($A132,'Data shares'!$C:$FB,61)*100</f>
        <v>0.44</v>
      </c>
      <c r="M132" s="49">
        <f>VLOOKUP($A132,'Data shares'!$C:$FB,62)</f>
        <v>1230300</v>
      </c>
      <c r="N132" s="49">
        <f>VLOOKUP($A132,'Data shares'!$C:$FB,63)</f>
        <v>1157350</v>
      </c>
      <c r="O132" s="140">
        <f>VLOOKUP($A132,'Data shares'!$C:$FB,65)*100</f>
        <v>6.3</v>
      </c>
    </row>
    <row r="133" spans="1:15" x14ac:dyDescent="0.25">
      <c r="A133" s="101" t="str">
        <f>'Data shares'!C128</f>
        <v>MAXHEALTH</v>
      </c>
      <c r="B133" s="50">
        <f>VLOOKUP($A133,'Data shares'!$C:$FB,7)</f>
        <v>1049.4000000000001</v>
      </c>
      <c r="C133" s="50">
        <f>VLOOKUP($A133,'Data shares'!$C:$FB,10)*100</f>
        <v>0.41000000000000003</v>
      </c>
      <c r="D133" s="49">
        <f>VLOOKUP($A133,'Data shares'!$C:$FB,66)</f>
        <v>4007325</v>
      </c>
      <c r="E133" s="49">
        <f>VLOOKUP($A133,'Data shares'!$C:$FB,67)</f>
        <v>5714625</v>
      </c>
      <c r="F133" s="50">
        <f>VLOOKUP($A133,'Data shares'!$C:$FB,69)*100</f>
        <v>-29.880000000000003</v>
      </c>
      <c r="G133" s="49">
        <f>VLOOKUP($A133,'Data shares'!$C:$FB,42)</f>
        <v>1165500</v>
      </c>
      <c r="H133" s="49">
        <f>VLOOKUP($A133,'Data shares'!$C:$FB,43)</f>
        <v>1764000</v>
      </c>
      <c r="I133" s="50">
        <f>VLOOKUP($A133,'Data shares'!$C:$FB,45)*100</f>
        <v>-33.93</v>
      </c>
      <c r="J133" s="49">
        <f>VLOOKUP($A133,'Data shares'!$C:$FB,58)</f>
        <v>2069025</v>
      </c>
      <c r="K133" s="49">
        <f>VLOOKUP($A133,'Data shares'!$C:$FB,59)</f>
        <v>2547300</v>
      </c>
      <c r="L133" s="50">
        <f>VLOOKUP($A133,'Data shares'!$C:$FB,61)*100</f>
        <v>-18.78</v>
      </c>
      <c r="M133" s="49">
        <f>VLOOKUP($A133,'Data shares'!$C:$FB,62)</f>
        <v>772800</v>
      </c>
      <c r="N133" s="49">
        <f>VLOOKUP($A133,'Data shares'!$C:$FB,63)</f>
        <v>1403325</v>
      </c>
      <c r="O133" s="140">
        <f>VLOOKUP($A133,'Data shares'!$C:$FB,65)*100</f>
        <v>-44.93</v>
      </c>
    </row>
    <row r="134" spans="1:15" x14ac:dyDescent="0.25">
      <c r="A134" s="101" t="str">
        <f>'Data shares'!C129</f>
        <v>MAZDOCK</v>
      </c>
      <c r="B134" s="50">
        <f>VLOOKUP($A134,'Data shares'!$C:$FB,7)</f>
        <v>2476.6999999999998</v>
      </c>
      <c r="C134" s="50">
        <f>VLOOKUP($A134,'Data shares'!$C:$FB,10)*100</f>
        <v>-0.54</v>
      </c>
      <c r="D134" s="49">
        <f>VLOOKUP($A134,'Data shares'!$C:$FB,66)</f>
        <v>4030600</v>
      </c>
      <c r="E134" s="49">
        <f>VLOOKUP($A134,'Data shares'!$C:$FB,67)</f>
        <v>6696000</v>
      </c>
      <c r="F134" s="50">
        <f>VLOOKUP($A134,'Data shares'!$C:$FB,69)*100</f>
        <v>-39.81</v>
      </c>
      <c r="G134" s="49">
        <f>VLOOKUP($A134,'Data shares'!$C:$FB,42)</f>
        <v>618000</v>
      </c>
      <c r="H134" s="49">
        <f>VLOOKUP($A134,'Data shares'!$C:$FB,43)</f>
        <v>827600</v>
      </c>
      <c r="I134" s="50">
        <f>VLOOKUP($A134,'Data shares'!$C:$FB,45)*100</f>
        <v>-25.330000000000002</v>
      </c>
      <c r="J134" s="49">
        <f>VLOOKUP($A134,'Data shares'!$C:$FB,58)</f>
        <v>2448200</v>
      </c>
      <c r="K134" s="49">
        <f>VLOOKUP($A134,'Data shares'!$C:$FB,59)</f>
        <v>4318600</v>
      </c>
      <c r="L134" s="50">
        <f>VLOOKUP($A134,'Data shares'!$C:$FB,61)*100</f>
        <v>-43.309999999999995</v>
      </c>
      <c r="M134" s="49">
        <f>VLOOKUP($A134,'Data shares'!$C:$FB,62)</f>
        <v>964400</v>
      </c>
      <c r="N134" s="49">
        <f>VLOOKUP($A134,'Data shares'!$C:$FB,63)</f>
        <v>1549800</v>
      </c>
      <c r="O134" s="140">
        <f>VLOOKUP($A134,'Data shares'!$C:$FB,65)*100</f>
        <v>-37.769999999999996</v>
      </c>
    </row>
    <row r="135" spans="1:15" x14ac:dyDescent="0.25">
      <c r="A135" s="101" t="str">
        <f>'Data shares'!C130</f>
        <v>MCX</v>
      </c>
      <c r="B135" s="50">
        <f>VLOOKUP($A135,'Data shares'!$C:$FB,7)</f>
        <v>10989</v>
      </c>
      <c r="C135" s="50">
        <f>VLOOKUP($A135,'Data shares'!$C:$FB,10)*100</f>
        <v>-1.32</v>
      </c>
      <c r="D135" s="49">
        <f>VLOOKUP($A135,'Data shares'!$C:$FB,66)</f>
        <v>4679875</v>
      </c>
      <c r="E135" s="49">
        <f>VLOOKUP($A135,'Data shares'!$C:$FB,67)</f>
        <v>9168000</v>
      </c>
      <c r="F135" s="50">
        <f>VLOOKUP($A135,'Data shares'!$C:$FB,69)*100</f>
        <v>-48.949999999999996</v>
      </c>
      <c r="G135" s="49">
        <f>VLOOKUP($A135,'Data shares'!$C:$FB,42)</f>
        <v>502125</v>
      </c>
      <c r="H135" s="49">
        <f>VLOOKUP($A135,'Data shares'!$C:$FB,43)</f>
        <v>895000</v>
      </c>
      <c r="I135" s="50">
        <f>VLOOKUP($A135,'Data shares'!$C:$FB,45)*100</f>
        <v>-43.9</v>
      </c>
      <c r="J135" s="49">
        <f>VLOOKUP($A135,'Data shares'!$C:$FB,58)</f>
        <v>2223500</v>
      </c>
      <c r="K135" s="49">
        <f>VLOOKUP($A135,'Data shares'!$C:$FB,59)</f>
        <v>5684875</v>
      </c>
      <c r="L135" s="50">
        <f>VLOOKUP($A135,'Data shares'!$C:$FB,61)*100</f>
        <v>-60.89</v>
      </c>
      <c r="M135" s="49">
        <f>VLOOKUP($A135,'Data shares'!$C:$FB,62)</f>
        <v>1954250</v>
      </c>
      <c r="N135" s="49">
        <f>VLOOKUP($A135,'Data shares'!$C:$FB,63)</f>
        <v>2588125</v>
      </c>
      <c r="O135" s="140">
        <f>VLOOKUP($A135,'Data shares'!$C:$FB,65)*100</f>
        <v>-24.490000000000002</v>
      </c>
    </row>
    <row r="136" spans="1:15" x14ac:dyDescent="0.25">
      <c r="A136" s="101" t="str">
        <f>'Data shares'!C131</f>
        <v>MFSL</v>
      </c>
      <c r="B136" s="50">
        <f>VLOOKUP($A136,'Data shares'!$C:$FB,7)</f>
        <v>1674</v>
      </c>
      <c r="C136" s="50">
        <f>VLOOKUP($A136,'Data shares'!$C:$FB,10)*100</f>
        <v>0.13</v>
      </c>
      <c r="D136" s="49">
        <f>VLOOKUP($A136,'Data shares'!$C:$FB,66)</f>
        <v>1098800</v>
      </c>
      <c r="E136" s="49">
        <f>VLOOKUP($A136,'Data shares'!$C:$FB,67)</f>
        <v>2469600</v>
      </c>
      <c r="F136" s="50">
        <f>VLOOKUP($A136,'Data shares'!$C:$FB,69)*100</f>
        <v>-55.510000000000005</v>
      </c>
      <c r="G136" s="49">
        <f>VLOOKUP($A136,'Data shares'!$C:$FB,42)</f>
        <v>469600</v>
      </c>
      <c r="H136" s="49">
        <f>VLOOKUP($A136,'Data shares'!$C:$FB,43)</f>
        <v>1194000</v>
      </c>
      <c r="I136" s="50">
        <f>VLOOKUP($A136,'Data shares'!$C:$FB,45)*100</f>
        <v>-60.67</v>
      </c>
      <c r="J136" s="49">
        <f>VLOOKUP($A136,'Data shares'!$C:$FB,58)</f>
        <v>394400</v>
      </c>
      <c r="K136" s="49">
        <f>VLOOKUP($A136,'Data shares'!$C:$FB,59)</f>
        <v>647600</v>
      </c>
      <c r="L136" s="50">
        <f>VLOOKUP($A136,'Data shares'!$C:$FB,61)*100</f>
        <v>-39.1</v>
      </c>
      <c r="M136" s="49">
        <f>VLOOKUP($A136,'Data shares'!$C:$FB,62)</f>
        <v>234800</v>
      </c>
      <c r="N136" s="49">
        <f>VLOOKUP($A136,'Data shares'!$C:$FB,63)</f>
        <v>628000</v>
      </c>
      <c r="O136" s="140">
        <f>VLOOKUP($A136,'Data shares'!$C:$FB,65)*100</f>
        <v>-62.61</v>
      </c>
    </row>
    <row r="137" spans="1:15" x14ac:dyDescent="0.25">
      <c r="A137" s="101" t="str">
        <f>'Data shares'!C132</f>
        <v>MIDCPNIFTY</v>
      </c>
      <c r="B137" s="50">
        <f>VLOOKUP($A137,'Data shares'!$C:$FB,7)</f>
        <v>13843.6</v>
      </c>
      <c r="C137" s="50">
        <f>VLOOKUP($A137,'Data shares'!$C:$FB,10)*100</f>
        <v>0.48</v>
      </c>
      <c r="D137" s="49">
        <f>VLOOKUP($A137,'Data shares'!$C:$FB,66)</f>
        <v>20254560</v>
      </c>
      <c r="E137" s="49">
        <f>VLOOKUP($A137,'Data shares'!$C:$FB,67)</f>
        <v>27885720</v>
      </c>
      <c r="F137" s="50">
        <f>VLOOKUP($A137,'Data shares'!$C:$FB,69)*100</f>
        <v>-27.37</v>
      </c>
      <c r="G137" s="49">
        <f>VLOOKUP($A137,'Data shares'!$C:$FB,42)</f>
        <v>447840</v>
      </c>
      <c r="H137" s="49">
        <f>VLOOKUP($A137,'Data shares'!$C:$FB,43)</f>
        <v>928800</v>
      </c>
      <c r="I137" s="50">
        <f>VLOOKUP($A137,'Data shares'!$C:$FB,45)*100</f>
        <v>-51.78</v>
      </c>
      <c r="J137" s="49">
        <f>VLOOKUP($A137,'Data shares'!$C:$FB,58)</f>
        <v>10006080</v>
      </c>
      <c r="K137" s="49">
        <f>VLOOKUP($A137,'Data shares'!$C:$FB,59)</f>
        <v>13770600</v>
      </c>
      <c r="L137" s="50">
        <f>VLOOKUP($A137,'Data shares'!$C:$FB,61)*100</f>
        <v>-27.339999999999996</v>
      </c>
      <c r="M137" s="49">
        <f>VLOOKUP($A137,'Data shares'!$C:$FB,62)</f>
        <v>9800640</v>
      </c>
      <c r="N137" s="49">
        <f>VLOOKUP($A137,'Data shares'!$C:$FB,63)</f>
        <v>13186320</v>
      </c>
      <c r="O137" s="140">
        <f>VLOOKUP($A137,'Data shares'!$C:$FB,65)*100</f>
        <v>-25.679999999999996</v>
      </c>
    </row>
    <row r="138" spans="1:15" x14ac:dyDescent="0.25">
      <c r="A138" s="101" t="str">
        <f>'Data shares'!C133</f>
        <v>MOTHERSON</v>
      </c>
      <c r="B138" s="50">
        <f>VLOOKUP($A138,'Data shares'!$C:$FB,7)</f>
        <v>122.52</v>
      </c>
      <c r="C138" s="50">
        <f>VLOOKUP($A138,'Data shares'!$C:$FB,10)*100</f>
        <v>2.15</v>
      </c>
      <c r="D138" s="49">
        <f>VLOOKUP($A138,'Data shares'!$C:$FB,66)</f>
        <v>107588100</v>
      </c>
      <c r="E138" s="49">
        <f>VLOOKUP($A138,'Data shares'!$C:$FB,67)</f>
        <v>55214700</v>
      </c>
      <c r="F138" s="50">
        <f>VLOOKUP($A138,'Data shares'!$C:$FB,69)*100</f>
        <v>94.85</v>
      </c>
      <c r="G138" s="49">
        <f>VLOOKUP($A138,'Data shares'!$C:$FB,42)</f>
        <v>24415500</v>
      </c>
      <c r="H138" s="49">
        <f>VLOOKUP($A138,'Data shares'!$C:$FB,43)</f>
        <v>15860850</v>
      </c>
      <c r="I138" s="50">
        <f>VLOOKUP($A138,'Data shares'!$C:$FB,45)*100</f>
        <v>53.94</v>
      </c>
      <c r="J138" s="49">
        <f>VLOOKUP($A138,'Data shares'!$C:$FB,58)</f>
        <v>62625450</v>
      </c>
      <c r="K138" s="49">
        <f>VLOOKUP($A138,'Data shares'!$C:$FB,59)</f>
        <v>28984950</v>
      </c>
      <c r="L138" s="50">
        <f>VLOOKUP($A138,'Data shares'!$C:$FB,61)*100</f>
        <v>116.06</v>
      </c>
      <c r="M138" s="49">
        <f>VLOOKUP($A138,'Data shares'!$C:$FB,62)</f>
        <v>20547150</v>
      </c>
      <c r="N138" s="49">
        <f>VLOOKUP($A138,'Data shares'!$C:$FB,63)</f>
        <v>10368900</v>
      </c>
      <c r="O138" s="140">
        <f>VLOOKUP($A138,'Data shares'!$C:$FB,65)*100</f>
        <v>98.16</v>
      </c>
    </row>
    <row r="139" spans="1:15" x14ac:dyDescent="0.25">
      <c r="A139" s="101" t="str">
        <f>'Data shares'!C134</f>
        <v>MPHASIS</v>
      </c>
      <c r="B139" s="50">
        <f>VLOOKUP($A139,'Data shares'!$C:$FB,7)</f>
        <v>2828.6</v>
      </c>
      <c r="C139" s="50">
        <f>VLOOKUP($A139,'Data shares'!$C:$FB,10)*100</f>
        <v>1.34</v>
      </c>
      <c r="D139" s="49">
        <f>VLOOKUP($A139,'Data shares'!$C:$FB,66)</f>
        <v>994675</v>
      </c>
      <c r="E139" s="49">
        <f>VLOOKUP($A139,'Data shares'!$C:$FB,67)</f>
        <v>1222375</v>
      </c>
      <c r="F139" s="50">
        <f>VLOOKUP($A139,'Data shares'!$C:$FB,69)*100</f>
        <v>-18.63</v>
      </c>
      <c r="G139" s="49">
        <f>VLOOKUP($A139,'Data shares'!$C:$FB,42)</f>
        <v>274175</v>
      </c>
      <c r="H139" s="49">
        <f>VLOOKUP($A139,'Data shares'!$C:$FB,43)</f>
        <v>383625</v>
      </c>
      <c r="I139" s="50">
        <f>VLOOKUP($A139,'Data shares'!$C:$FB,45)*100</f>
        <v>-28.53</v>
      </c>
      <c r="J139" s="49">
        <f>VLOOKUP($A139,'Data shares'!$C:$FB,58)</f>
        <v>562925</v>
      </c>
      <c r="K139" s="49">
        <f>VLOOKUP($A139,'Data shares'!$C:$FB,59)</f>
        <v>627000</v>
      </c>
      <c r="L139" s="50">
        <f>VLOOKUP($A139,'Data shares'!$C:$FB,61)*100</f>
        <v>-10.220000000000001</v>
      </c>
      <c r="M139" s="49">
        <f>VLOOKUP($A139,'Data shares'!$C:$FB,62)</f>
        <v>157575</v>
      </c>
      <c r="N139" s="49">
        <f>VLOOKUP($A139,'Data shares'!$C:$FB,63)</f>
        <v>211750</v>
      </c>
      <c r="O139" s="140">
        <f>VLOOKUP($A139,'Data shares'!$C:$FB,65)*100</f>
        <v>-25.580000000000002</v>
      </c>
    </row>
    <row r="140" spans="1:15" x14ac:dyDescent="0.25">
      <c r="A140" s="101" t="str">
        <f>'Data shares'!C135</f>
        <v>MUTHOOTFIN</v>
      </c>
      <c r="B140" s="50">
        <f>VLOOKUP($A140,'Data shares'!$C:$FB,7)</f>
        <v>3839</v>
      </c>
      <c r="C140" s="50">
        <f>VLOOKUP($A140,'Data shares'!$C:$FB,10)*100</f>
        <v>0.72</v>
      </c>
      <c r="D140" s="49">
        <f>VLOOKUP($A140,'Data shares'!$C:$FB,66)</f>
        <v>3391300</v>
      </c>
      <c r="E140" s="49">
        <f>VLOOKUP($A140,'Data shares'!$C:$FB,67)</f>
        <v>6747400</v>
      </c>
      <c r="F140" s="50">
        <f>VLOOKUP($A140,'Data shares'!$C:$FB,69)*100</f>
        <v>-49.74</v>
      </c>
      <c r="G140" s="49">
        <f>VLOOKUP($A140,'Data shares'!$C:$FB,42)</f>
        <v>492800</v>
      </c>
      <c r="H140" s="49">
        <f>VLOOKUP($A140,'Data shares'!$C:$FB,43)</f>
        <v>977900</v>
      </c>
      <c r="I140" s="50">
        <f>VLOOKUP($A140,'Data shares'!$C:$FB,45)*100</f>
        <v>-49.61</v>
      </c>
      <c r="J140" s="49">
        <f>VLOOKUP($A140,'Data shares'!$C:$FB,58)</f>
        <v>1749825</v>
      </c>
      <c r="K140" s="49">
        <f>VLOOKUP($A140,'Data shares'!$C:$FB,59)</f>
        <v>3535675</v>
      </c>
      <c r="L140" s="50">
        <f>VLOOKUP($A140,'Data shares'!$C:$FB,61)*100</f>
        <v>-50.51</v>
      </c>
      <c r="M140" s="49">
        <f>VLOOKUP($A140,'Data shares'!$C:$FB,62)</f>
        <v>1148675</v>
      </c>
      <c r="N140" s="49">
        <f>VLOOKUP($A140,'Data shares'!$C:$FB,63)</f>
        <v>2233825</v>
      </c>
      <c r="O140" s="140">
        <f>VLOOKUP($A140,'Data shares'!$C:$FB,65)*100</f>
        <v>-48.58</v>
      </c>
    </row>
    <row r="141" spans="1:15" x14ac:dyDescent="0.25">
      <c r="A141" s="101" t="str">
        <f>'Data shares'!C136</f>
        <v>NATIONALUM</v>
      </c>
      <c r="B141" s="50">
        <f>VLOOKUP($A141,'Data shares'!$C:$FB,7)</f>
        <v>314.60000000000002</v>
      </c>
      <c r="C141" s="50">
        <f>VLOOKUP($A141,'Data shares'!$C:$FB,10)*100</f>
        <v>0.1</v>
      </c>
      <c r="D141" s="49">
        <f>VLOOKUP($A141,'Data shares'!$C:$FB,66)</f>
        <v>45862500</v>
      </c>
      <c r="E141" s="49">
        <f>VLOOKUP($A141,'Data shares'!$C:$FB,67)</f>
        <v>139218750</v>
      </c>
      <c r="F141" s="50">
        <f>VLOOKUP($A141,'Data shares'!$C:$FB,69)*100</f>
        <v>-67.06</v>
      </c>
      <c r="G141" s="49">
        <f>VLOOKUP($A141,'Data shares'!$C:$FB,42)</f>
        <v>10057500</v>
      </c>
      <c r="H141" s="49">
        <f>VLOOKUP($A141,'Data shares'!$C:$FB,43)</f>
        <v>20670000</v>
      </c>
      <c r="I141" s="50">
        <f>VLOOKUP($A141,'Data shares'!$C:$FB,45)*100</f>
        <v>-51.339999999999996</v>
      </c>
      <c r="J141" s="49">
        <f>VLOOKUP($A141,'Data shares'!$C:$FB,58)</f>
        <v>23673750</v>
      </c>
      <c r="K141" s="49">
        <f>VLOOKUP($A141,'Data shares'!$C:$FB,59)</f>
        <v>86958750</v>
      </c>
      <c r="L141" s="50">
        <f>VLOOKUP($A141,'Data shares'!$C:$FB,61)*100</f>
        <v>-72.78</v>
      </c>
      <c r="M141" s="49">
        <f>VLOOKUP($A141,'Data shares'!$C:$FB,62)</f>
        <v>12131250</v>
      </c>
      <c r="N141" s="49">
        <f>VLOOKUP($A141,'Data shares'!$C:$FB,63)</f>
        <v>31590000</v>
      </c>
      <c r="O141" s="140">
        <f>VLOOKUP($A141,'Data shares'!$C:$FB,65)*100</f>
        <v>-61.6</v>
      </c>
    </row>
    <row r="142" spans="1:15" x14ac:dyDescent="0.25">
      <c r="A142" s="101" t="str">
        <f>'Data shares'!C137</f>
        <v>NAUKRI</v>
      </c>
      <c r="B142" s="50">
        <f>VLOOKUP($A142,'Data shares'!$C:$FB,7)</f>
        <v>1340.9</v>
      </c>
      <c r="C142" s="50">
        <f>VLOOKUP($A142,'Data shares'!$C:$FB,10)*100</f>
        <v>0.54999999999999993</v>
      </c>
      <c r="D142" s="49">
        <f>VLOOKUP($A142,'Data shares'!$C:$FB,66)</f>
        <v>1690875</v>
      </c>
      <c r="E142" s="49">
        <f>VLOOKUP($A142,'Data shares'!$C:$FB,67)</f>
        <v>2679375</v>
      </c>
      <c r="F142" s="50">
        <f>VLOOKUP($A142,'Data shares'!$C:$FB,69)*100</f>
        <v>-36.89</v>
      </c>
      <c r="G142" s="49">
        <f>VLOOKUP($A142,'Data shares'!$C:$FB,42)</f>
        <v>387750</v>
      </c>
      <c r="H142" s="49">
        <f>VLOOKUP($A142,'Data shares'!$C:$FB,43)</f>
        <v>680250</v>
      </c>
      <c r="I142" s="50">
        <f>VLOOKUP($A142,'Data shares'!$C:$FB,45)*100</f>
        <v>-43</v>
      </c>
      <c r="J142" s="49">
        <f>VLOOKUP($A142,'Data shares'!$C:$FB,58)</f>
        <v>706125</v>
      </c>
      <c r="K142" s="49">
        <f>VLOOKUP($A142,'Data shares'!$C:$FB,59)</f>
        <v>1183500</v>
      </c>
      <c r="L142" s="50">
        <f>VLOOKUP($A142,'Data shares'!$C:$FB,61)*100</f>
        <v>-40.339999999999996</v>
      </c>
      <c r="M142" s="49">
        <f>VLOOKUP($A142,'Data shares'!$C:$FB,62)</f>
        <v>597000</v>
      </c>
      <c r="N142" s="49">
        <f>VLOOKUP($A142,'Data shares'!$C:$FB,63)</f>
        <v>815625</v>
      </c>
      <c r="O142" s="140">
        <f>VLOOKUP($A142,'Data shares'!$C:$FB,65)*100</f>
        <v>-26.8</v>
      </c>
    </row>
    <row r="143" spans="1:15" x14ac:dyDescent="0.25">
      <c r="A143" s="101" t="str">
        <f>'Data shares'!C138</f>
        <v>NBCC</v>
      </c>
      <c r="B143" s="50">
        <f>VLOOKUP($A143,'Data shares'!$C:$FB,7)</f>
        <v>122.1</v>
      </c>
      <c r="C143" s="50">
        <f>VLOOKUP($A143,'Data shares'!$C:$FB,10)*100</f>
        <v>0.27</v>
      </c>
      <c r="D143" s="49">
        <f>VLOOKUP($A143,'Data shares'!$C:$FB,66)</f>
        <v>34924500</v>
      </c>
      <c r="E143" s="49">
        <f>VLOOKUP($A143,'Data shares'!$C:$FB,67)</f>
        <v>33904000</v>
      </c>
      <c r="F143" s="50">
        <f>VLOOKUP($A143,'Data shares'!$C:$FB,69)*100</f>
        <v>3.01</v>
      </c>
      <c r="G143" s="49">
        <f>VLOOKUP($A143,'Data shares'!$C:$FB,42)</f>
        <v>8723000</v>
      </c>
      <c r="H143" s="49">
        <f>VLOOKUP($A143,'Data shares'!$C:$FB,43)</f>
        <v>9412000</v>
      </c>
      <c r="I143" s="50">
        <f>VLOOKUP($A143,'Data shares'!$C:$FB,45)*100</f>
        <v>-7.32</v>
      </c>
      <c r="J143" s="49">
        <f>VLOOKUP($A143,'Data shares'!$C:$FB,58)</f>
        <v>19363500</v>
      </c>
      <c r="K143" s="49">
        <f>VLOOKUP($A143,'Data shares'!$C:$FB,59)</f>
        <v>17823000</v>
      </c>
      <c r="L143" s="50">
        <f>VLOOKUP($A143,'Data shares'!$C:$FB,61)*100</f>
        <v>8.64</v>
      </c>
      <c r="M143" s="49">
        <f>VLOOKUP($A143,'Data shares'!$C:$FB,62)</f>
        <v>6838000</v>
      </c>
      <c r="N143" s="49">
        <f>VLOOKUP($A143,'Data shares'!$C:$FB,63)</f>
        <v>6669000</v>
      </c>
      <c r="O143" s="140">
        <f>VLOOKUP($A143,'Data shares'!$C:$FB,65)*100</f>
        <v>2.5299999999999998</v>
      </c>
    </row>
    <row r="144" spans="1:15" x14ac:dyDescent="0.25">
      <c r="A144" s="101" t="str">
        <f>'Data shares'!C139</f>
        <v>NESTLEIND</v>
      </c>
      <c r="B144" s="50">
        <f>VLOOKUP($A144,'Data shares'!$C:$FB,7)</f>
        <v>1295</v>
      </c>
      <c r="C144" s="50">
        <f>VLOOKUP($A144,'Data shares'!$C:$FB,10)*100</f>
        <v>0.54</v>
      </c>
      <c r="D144" s="49">
        <f>VLOOKUP($A144,'Data shares'!$C:$FB,66)</f>
        <v>4685500</v>
      </c>
      <c r="E144" s="49">
        <f>VLOOKUP($A144,'Data shares'!$C:$FB,67)</f>
        <v>5988500</v>
      </c>
      <c r="F144" s="50">
        <f>VLOOKUP($A144,'Data shares'!$C:$FB,69)*100</f>
        <v>-21.759999999999998</v>
      </c>
      <c r="G144" s="49">
        <f>VLOOKUP($A144,'Data shares'!$C:$FB,42)</f>
        <v>1060000</v>
      </c>
      <c r="H144" s="49">
        <f>VLOOKUP($A144,'Data shares'!$C:$FB,43)</f>
        <v>1617500</v>
      </c>
      <c r="I144" s="50">
        <f>VLOOKUP($A144,'Data shares'!$C:$FB,45)*100</f>
        <v>-34.47</v>
      </c>
      <c r="J144" s="49">
        <f>VLOOKUP($A144,'Data shares'!$C:$FB,58)</f>
        <v>2703000</v>
      </c>
      <c r="K144" s="49">
        <f>VLOOKUP($A144,'Data shares'!$C:$FB,59)</f>
        <v>3133000</v>
      </c>
      <c r="L144" s="50">
        <f>VLOOKUP($A144,'Data shares'!$C:$FB,61)*100</f>
        <v>-13.719999999999999</v>
      </c>
      <c r="M144" s="49">
        <f>VLOOKUP($A144,'Data shares'!$C:$FB,62)</f>
        <v>922500</v>
      </c>
      <c r="N144" s="49">
        <f>VLOOKUP($A144,'Data shares'!$C:$FB,63)</f>
        <v>1238000</v>
      </c>
      <c r="O144" s="140">
        <f>VLOOKUP($A144,'Data shares'!$C:$FB,65)*100</f>
        <v>-25.480000000000004</v>
      </c>
    </row>
    <row r="145" spans="1:15" x14ac:dyDescent="0.25">
      <c r="A145" s="101" t="str">
        <f>'Data shares'!C140</f>
        <v>NHPC</v>
      </c>
      <c r="B145" s="50">
        <f>VLOOKUP($A145,'Data shares'!$C:$FB,7)</f>
        <v>79.56</v>
      </c>
      <c r="C145" s="50">
        <f>VLOOKUP($A145,'Data shares'!$C:$FB,10)*100</f>
        <v>0.43</v>
      </c>
      <c r="D145" s="49">
        <f>VLOOKUP($A145,'Data shares'!$C:$FB,66)</f>
        <v>35072000</v>
      </c>
      <c r="E145" s="49">
        <f>VLOOKUP($A145,'Data shares'!$C:$FB,67)</f>
        <v>60057600</v>
      </c>
      <c r="F145" s="50">
        <f>VLOOKUP($A145,'Data shares'!$C:$FB,69)*100</f>
        <v>-41.6</v>
      </c>
      <c r="G145" s="49">
        <f>VLOOKUP($A145,'Data shares'!$C:$FB,42)</f>
        <v>5856000</v>
      </c>
      <c r="H145" s="49">
        <f>VLOOKUP($A145,'Data shares'!$C:$FB,43)</f>
        <v>12761600</v>
      </c>
      <c r="I145" s="50">
        <f>VLOOKUP($A145,'Data shares'!$C:$FB,45)*100</f>
        <v>-54.11</v>
      </c>
      <c r="J145" s="49">
        <f>VLOOKUP($A145,'Data shares'!$C:$FB,58)</f>
        <v>21017600</v>
      </c>
      <c r="K145" s="49">
        <f>VLOOKUP($A145,'Data shares'!$C:$FB,59)</f>
        <v>36787200</v>
      </c>
      <c r="L145" s="50">
        <f>VLOOKUP($A145,'Data shares'!$C:$FB,61)*100</f>
        <v>-42.870000000000005</v>
      </c>
      <c r="M145" s="49">
        <f>VLOOKUP($A145,'Data shares'!$C:$FB,62)</f>
        <v>8198400</v>
      </c>
      <c r="N145" s="49">
        <f>VLOOKUP($A145,'Data shares'!$C:$FB,63)</f>
        <v>10508800</v>
      </c>
      <c r="O145" s="140">
        <f>VLOOKUP($A145,'Data shares'!$C:$FB,65)*100</f>
        <v>-21.990000000000002</v>
      </c>
    </row>
    <row r="146" spans="1:15" x14ac:dyDescent="0.25">
      <c r="A146" s="101" t="str">
        <f>'Data shares'!C141</f>
        <v>NIFTY</v>
      </c>
      <c r="B146" s="50">
        <f>VLOOKUP($A146,'Data shares'!$C:$FB,7)</f>
        <v>26146.55</v>
      </c>
      <c r="C146" s="50">
        <f>VLOOKUP($A146,'Data shares'!$C:$FB,10)*100</f>
        <v>0.06</v>
      </c>
      <c r="D146" s="49">
        <f>VLOOKUP($A146,'Data shares'!$C:$FB,66)</f>
        <v>3187431780</v>
      </c>
      <c r="E146" s="49">
        <f>VLOOKUP($A146,'Data shares'!$C:$FB,67)</f>
        <v>3846108045</v>
      </c>
      <c r="F146" s="50">
        <f>VLOOKUP($A146,'Data shares'!$C:$FB,69)*100</f>
        <v>-17.130000000000003</v>
      </c>
      <c r="G146" s="49">
        <f>VLOOKUP($A146,'Data shares'!$C:$FB,42)</f>
        <v>2203955</v>
      </c>
      <c r="H146" s="49">
        <f>VLOOKUP($A146,'Data shares'!$C:$FB,43)</f>
        <v>5238480</v>
      </c>
      <c r="I146" s="50">
        <f>VLOOKUP($A146,'Data shares'!$C:$FB,45)*100</f>
        <v>-57.930000000000007</v>
      </c>
      <c r="J146" s="49">
        <f>VLOOKUP($A146,'Data shares'!$C:$FB,58)</f>
        <v>1555363550</v>
      </c>
      <c r="K146" s="49">
        <f>VLOOKUP($A146,'Data shares'!$C:$FB,59)</f>
        <v>2047867835</v>
      </c>
      <c r="L146" s="50">
        <f>VLOOKUP($A146,'Data shares'!$C:$FB,61)*100</f>
        <v>-24.05</v>
      </c>
      <c r="M146" s="49">
        <f>VLOOKUP($A146,'Data shares'!$C:$FB,62)</f>
        <v>1629864275</v>
      </c>
      <c r="N146" s="49">
        <f>VLOOKUP($A146,'Data shares'!$C:$FB,63)</f>
        <v>1793001730</v>
      </c>
      <c r="O146" s="140">
        <f>VLOOKUP($A146,'Data shares'!$C:$FB,65)*100</f>
        <v>-9.1</v>
      </c>
    </row>
    <row r="147" spans="1:15" x14ac:dyDescent="0.25">
      <c r="A147" s="101" t="str">
        <f>'Data shares'!C142</f>
        <v>NIFTYNXT50</v>
      </c>
      <c r="B147" s="50">
        <f>VLOOKUP($A147,'Data shares'!$C:$FB,7)</f>
        <v>69675.399999999994</v>
      </c>
      <c r="C147" s="50">
        <f>VLOOKUP($A147,'Data shares'!$C:$FB,10)*100</f>
        <v>0.44999999999999996</v>
      </c>
      <c r="D147" s="49">
        <f>VLOOKUP($A147,'Data shares'!$C:$FB,66)</f>
        <v>18275</v>
      </c>
      <c r="E147" s="49">
        <f>VLOOKUP($A147,'Data shares'!$C:$FB,67)</f>
        <v>20225</v>
      </c>
      <c r="F147" s="50">
        <f>VLOOKUP($A147,'Data shares'!$C:$FB,69)*100</f>
        <v>-9.64</v>
      </c>
      <c r="G147" s="49">
        <f>VLOOKUP($A147,'Data shares'!$C:$FB,42)</f>
        <v>5700</v>
      </c>
      <c r="H147" s="49">
        <f>VLOOKUP($A147,'Data shares'!$C:$FB,43)</f>
        <v>10300</v>
      </c>
      <c r="I147" s="50">
        <f>VLOOKUP($A147,'Data shares'!$C:$FB,45)*100</f>
        <v>-44.66</v>
      </c>
      <c r="J147" s="49">
        <f>VLOOKUP($A147,'Data shares'!$C:$FB,58)</f>
        <v>7600</v>
      </c>
      <c r="K147" s="49">
        <f>VLOOKUP($A147,'Data shares'!$C:$FB,59)</f>
        <v>7525</v>
      </c>
      <c r="L147" s="50">
        <f>VLOOKUP($A147,'Data shares'!$C:$FB,61)*100</f>
        <v>1</v>
      </c>
      <c r="M147" s="49">
        <f>VLOOKUP($A147,'Data shares'!$C:$FB,62)</f>
        <v>4975</v>
      </c>
      <c r="N147" s="49">
        <f>VLOOKUP($A147,'Data shares'!$C:$FB,63)</f>
        <v>2400</v>
      </c>
      <c r="O147" s="140">
        <f>VLOOKUP($A147,'Data shares'!$C:$FB,65)*100</f>
        <v>107.28999999999999</v>
      </c>
    </row>
    <row r="148" spans="1:15" x14ac:dyDescent="0.25">
      <c r="A148" s="101" t="str">
        <f>'Data shares'!C143</f>
        <v>NMDC</v>
      </c>
      <c r="B148" s="50">
        <f>VLOOKUP($A148,'Data shares'!$C:$FB,7)</f>
        <v>83.66</v>
      </c>
      <c r="C148" s="50">
        <f>VLOOKUP($A148,'Data shares'!$C:$FB,10)*100</f>
        <v>0.59</v>
      </c>
      <c r="D148" s="49">
        <f>VLOOKUP($A148,'Data shares'!$C:$FB,66)</f>
        <v>108675000</v>
      </c>
      <c r="E148" s="49">
        <f>VLOOKUP($A148,'Data shares'!$C:$FB,67)</f>
        <v>218706750</v>
      </c>
      <c r="F148" s="50">
        <f>VLOOKUP($A148,'Data shares'!$C:$FB,69)*100</f>
        <v>-50.31</v>
      </c>
      <c r="G148" s="49">
        <f>VLOOKUP($A148,'Data shares'!$C:$FB,42)</f>
        <v>26885250</v>
      </c>
      <c r="H148" s="49">
        <f>VLOOKUP($A148,'Data shares'!$C:$FB,43)</f>
        <v>60770250</v>
      </c>
      <c r="I148" s="50">
        <f>VLOOKUP($A148,'Data shares'!$C:$FB,45)*100</f>
        <v>-55.76</v>
      </c>
      <c r="J148" s="49">
        <f>VLOOKUP($A148,'Data shares'!$C:$FB,58)</f>
        <v>57591000</v>
      </c>
      <c r="K148" s="49">
        <f>VLOOKUP($A148,'Data shares'!$C:$FB,59)</f>
        <v>111084750</v>
      </c>
      <c r="L148" s="50">
        <f>VLOOKUP($A148,'Data shares'!$C:$FB,61)*100</f>
        <v>-48.16</v>
      </c>
      <c r="M148" s="49">
        <f>VLOOKUP($A148,'Data shares'!$C:$FB,62)</f>
        <v>24198750</v>
      </c>
      <c r="N148" s="49">
        <f>VLOOKUP($A148,'Data shares'!$C:$FB,63)</f>
        <v>46851750</v>
      </c>
      <c r="O148" s="140">
        <f>VLOOKUP($A148,'Data shares'!$C:$FB,65)*100</f>
        <v>-48.35</v>
      </c>
    </row>
    <row r="149" spans="1:15" x14ac:dyDescent="0.25">
      <c r="A149" s="101" t="str">
        <f>'Data shares'!C144</f>
        <v>NTPC</v>
      </c>
      <c r="B149" s="50">
        <f>VLOOKUP($A149,'Data shares'!$C:$FB,7)</f>
        <v>336.3</v>
      </c>
      <c r="C149" s="50">
        <f>VLOOKUP($A149,'Data shares'!$C:$FB,10)*100</f>
        <v>2.0500000000000003</v>
      </c>
      <c r="D149" s="49">
        <f>VLOOKUP($A149,'Data shares'!$C:$FB,66)</f>
        <v>81492000</v>
      </c>
      <c r="E149" s="49">
        <f>VLOOKUP($A149,'Data shares'!$C:$FB,67)</f>
        <v>64074000</v>
      </c>
      <c r="F149" s="50">
        <f>VLOOKUP($A149,'Data shares'!$C:$FB,69)*100</f>
        <v>27.18</v>
      </c>
      <c r="G149" s="49">
        <f>VLOOKUP($A149,'Data shares'!$C:$FB,42)</f>
        <v>12460500</v>
      </c>
      <c r="H149" s="49">
        <f>VLOOKUP($A149,'Data shares'!$C:$FB,43)</f>
        <v>8485500</v>
      </c>
      <c r="I149" s="50">
        <f>VLOOKUP($A149,'Data shares'!$C:$FB,45)*100</f>
        <v>46.839999999999996</v>
      </c>
      <c r="J149" s="49">
        <f>VLOOKUP($A149,'Data shares'!$C:$FB,58)</f>
        <v>46740000</v>
      </c>
      <c r="K149" s="49">
        <f>VLOOKUP($A149,'Data shares'!$C:$FB,59)</f>
        <v>37513500</v>
      </c>
      <c r="L149" s="50">
        <f>VLOOKUP($A149,'Data shares'!$C:$FB,61)*100</f>
        <v>24.6</v>
      </c>
      <c r="M149" s="49">
        <f>VLOOKUP($A149,'Data shares'!$C:$FB,62)</f>
        <v>22291500</v>
      </c>
      <c r="N149" s="49">
        <f>VLOOKUP($A149,'Data shares'!$C:$FB,63)</f>
        <v>18075000</v>
      </c>
      <c r="O149" s="140">
        <f>VLOOKUP($A149,'Data shares'!$C:$FB,65)*100</f>
        <v>23.330000000000002</v>
      </c>
    </row>
    <row r="150" spans="1:15" x14ac:dyDescent="0.25">
      <c r="A150" s="101" t="str">
        <f>'Data shares'!C145</f>
        <v>NUVAMA</v>
      </c>
      <c r="B150" s="50">
        <f>VLOOKUP($A150,'Data shares'!$C:$FB,7)</f>
        <v>1458.5</v>
      </c>
      <c r="C150" s="50">
        <f>VLOOKUP($A150,'Data shares'!$C:$FB,10)*100</f>
        <v>-1.49</v>
      </c>
      <c r="D150" s="49">
        <f>VLOOKUP($A150,'Data shares'!$C:$FB,66)</f>
        <v>1470500</v>
      </c>
      <c r="E150" s="49">
        <f>VLOOKUP($A150,'Data shares'!$C:$FB,67)</f>
        <v>2430000</v>
      </c>
      <c r="F150" s="50">
        <f>VLOOKUP($A150,'Data shares'!$C:$FB,69)*100</f>
        <v>-39.489999999999995</v>
      </c>
      <c r="G150" s="49">
        <f>VLOOKUP($A150,'Data shares'!$C:$FB,42)</f>
        <v>358000</v>
      </c>
      <c r="H150" s="49">
        <f>VLOOKUP($A150,'Data shares'!$C:$FB,43)</f>
        <v>473000</v>
      </c>
      <c r="I150" s="50">
        <f>VLOOKUP($A150,'Data shares'!$C:$FB,45)*100</f>
        <v>-24.310000000000002</v>
      </c>
      <c r="J150" s="49">
        <f>VLOOKUP($A150,'Data shares'!$C:$FB,58)</f>
        <v>693000</v>
      </c>
      <c r="K150" s="49">
        <f>VLOOKUP($A150,'Data shares'!$C:$FB,59)</f>
        <v>1400500</v>
      </c>
      <c r="L150" s="50">
        <f>VLOOKUP($A150,'Data shares'!$C:$FB,61)*100</f>
        <v>-50.519999999999996</v>
      </c>
      <c r="M150" s="49">
        <f>VLOOKUP($A150,'Data shares'!$C:$FB,62)</f>
        <v>419500</v>
      </c>
      <c r="N150" s="49">
        <f>VLOOKUP($A150,'Data shares'!$C:$FB,63)</f>
        <v>556500</v>
      </c>
      <c r="O150" s="140">
        <f>VLOOKUP($A150,'Data shares'!$C:$FB,65)*100</f>
        <v>-24.62</v>
      </c>
    </row>
    <row r="151" spans="1:15" x14ac:dyDescent="0.25">
      <c r="A151" s="101" t="str">
        <f>'Data shares'!C146</f>
        <v>NYKAA</v>
      </c>
      <c r="B151" s="50">
        <f>VLOOKUP($A151,'Data shares'!$C:$FB,7)</f>
        <v>265.75</v>
      </c>
      <c r="C151" s="50">
        <f>VLOOKUP($A151,'Data shares'!$C:$FB,10)*100</f>
        <v>0.22999999999999998</v>
      </c>
      <c r="D151" s="49">
        <f>VLOOKUP($A151,'Data shares'!$C:$FB,66)</f>
        <v>12412500</v>
      </c>
      <c r="E151" s="49">
        <f>VLOOKUP($A151,'Data shares'!$C:$FB,67)</f>
        <v>26003125</v>
      </c>
      <c r="F151" s="50">
        <f>VLOOKUP($A151,'Data shares'!$C:$FB,69)*100</f>
        <v>-52.27</v>
      </c>
      <c r="G151" s="49">
        <f>VLOOKUP($A151,'Data shares'!$C:$FB,42)</f>
        <v>3353125</v>
      </c>
      <c r="H151" s="49">
        <f>VLOOKUP($A151,'Data shares'!$C:$FB,43)</f>
        <v>7200000</v>
      </c>
      <c r="I151" s="50">
        <f>VLOOKUP($A151,'Data shares'!$C:$FB,45)*100</f>
        <v>-53.43</v>
      </c>
      <c r="J151" s="49">
        <f>VLOOKUP($A151,'Data shares'!$C:$FB,58)</f>
        <v>6753125</v>
      </c>
      <c r="K151" s="49">
        <f>VLOOKUP($A151,'Data shares'!$C:$FB,59)</f>
        <v>14443750</v>
      </c>
      <c r="L151" s="50">
        <f>VLOOKUP($A151,'Data shares'!$C:$FB,61)*100</f>
        <v>-53.25</v>
      </c>
      <c r="M151" s="49">
        <f>VLOOKUP($A151,'Data shares'!$C:$FB,62)</f>
        <v>2306250</v>
      </c>
      <c r="N151" s="49">
        <f>VLOOKUP($A151,'Data shares'!$C:$FB,63)</f>
        <v>4359375</v>
      </c>
      <c r="O151" s="140">
        <f>VLOOKUP($A151,'Data shares'!$C:$FB,65)*100</f>
        <v>-47.099999999999994</v>
      </c>
    </row>
    <row r="152" spans="1:15" x14ac:dyDescent="0.25">
      <c r="A152" s="101" t="str">
        <f>'Data shares'!C147</f>
        <v>OBEROIRLTY</v>
      </c>
      <c r="B152" s="50">
        <f>VLOOKUP($A152,'Data shares'!$C:$FB,7)</f>
        <v>1695.9</v>
      </c>
      <c r="C152" s="50">
        <f>VLOOKUP($A152,'Data shares'!$C:$FB,10)*100</f>
        <v>1.51</v>
      </c>
      <c r="D152" s="49">
        <f>VLOOKUP($A152,'Data shares'!$C:$FB,66)</f>
        <v>1222550</v>
      </c>
      <c r="E152" s="49">
        <f>VLOOKUP($A152,'Data shares'!$C:$FB,67)</f>
        <v>1201550</v>
      </c>
      <c r="F152" s="50">
        <f>VLOOKUP($A152,'Data shares'!$C:$FB,69)*100</f>
        <v>1.7500000000000002</v>
      </c>
      <c r="G152" s="49">
        <f>VLOOKUP($A152,'Data shares'!$C:$FB,42)</f>
        <v>437850</v>
      </c>
      <c r="H152" s="49">
        <f>VLOOKUP($A152,'Data shares'!$C:$FB,43)</f>
        <v>397250</v>
      </c>
      <c r="I152" s="50">
        <f>VLOOKUP($A152,'Data shares'!$C:$FB,45)*100</f>
        <v>10.220000000000001</v>
      </c>
      <c r="J152" s="49">
        <f>VLOOKUP($A152,'Data shares'!$C:$FB,58)</f>
        <v>598150</v>
      </c>
      <c r="K152" s="49">
        <f>VLOOKUP($A152,'Data shares'!$C:$FB,59)</f>
        <v>523250</v>
      </c>
      <c r="L152" s="50">
        <f>VLOOKUP($A152,'Data shares'!$C:$FB,61)*100</f>
        <v>14.31</v>
      </c>
      <c r="M152" s="49">
        <f>VLOOKUP($A152,'Data shares'!$C:$FB,62)</f>
        <v>186550</v>
      </c>
      <c r="N152" s="49">
        <f>VLOOKUP($A152,'Data shares'!$C:$FB,63)</f>
        <v>281050</v>
      </c>
      <c r="O152" s="140">
        <f>VLOOKUP($A152,'Data shares'!$C:$FB,65)*100</f>
        <v>-33.619999999999997</v>
      </c>
    </row>
    <row r="153" spans="1:15" x14ac:dyDescent="0.25">
      <c r="A153" s="101" t="str">
        <f>'Data shares'!C148</f>
        <v>OFSS</v>
      </c>
      <c r="B153" s="50">
        <f>VLOOKUP($A153,'Data shares'!$C:$FB,7)</f>
        <v>7687.5</v>
      </c>
      <c r="C153" s="50">
        <f>VLOOKUP($A153,'Data shares'!$C:$FB,10)*100</f>
        <v>0.01</v>
      </c>
      <c r="D153" s="49">
        <f>VLOOKUP($A153,'Data shares'!$C:$FB,66)</f>
        <v>476925</v>
      </c>
      <c r="E153" s="49">
        <f>VLOOKUP($A153,'Data shares'!$C:$FB,67)</f>
        <v>605025</v>
      </c>
      <c r="F153" s="50">
        <f>VLOOKUP($A153,'Data shares'!$C:$FB,69)*100</f>
        <v>-21.17</v>
      </c>
      <c r="G153" s="49">
        <f>VLOOKUP($A153,'Data shares'!$C:$FB,42)</f>
        <v>73125</v>
      </c>
      <c r="H153" s="49">
        <f>VLOOKUP($A153,'Data shares'!$C:$FB,43)</f>
        <v>110400</v>
      </c>
      <c r="I153" s="50">
        <f>VLOOKUP($A153,'Data shares'!$C:$FB,45)*100</f>
        <v>-33.76</v>
      </c>
      <c r="J153" s="49">
        <f>VLOOKUP($A153,'Data shares'!$C:$FB,58)</f>
        <v>223575</v>
      </c>
      <c r="K153" s="49">
        <f>VLOOKUP($A153,'Data shares'!$C:$FB,59)</f>
        <v>269400</v>
      </c>
      <c r="L153" s="50">
        <f>VLOOKUP($A153,'Data shares'!$C:$FB,61)*100</f>
        <v>-17.010000000000002</v>
      </c>
      <c r="M153" s="49">
        <f>VLOOKUP($A153,'Data shares'!$C:$FB,62)</f>
        <v>180225</v>
      </c>
      <c r="N153" s="49">
        <f>VLOOKUP($A153,'Data shares'!$C:$FB,63)</f>
        <v>225225</v>
      </c>
      <c r="O153" s="140">
        <f>VLOOKUP($A153,'Data shares'!$C:$FB,65)*100</f>
        <v>-19.98</v>
      </c>
    </row>
    <row r="154" spans="1:15" x14ac:dyDescent="0.25">
      <c r="A154" s="101" t="str">
        <f>'Data shares'!C149</f>
        <v>OIL</v>
      </c>
      <c r="B154" s="50">
        <f>VLOOKUP($A154,'Data shares'!$C:$FB,7)</f>
        <v>427.55</v>
      </c>
      <c r="C154" s="50">
        <f>VLOOKUP($A154,'Data shares'!$C:$FB,10)*100</f>
        <v>0.75</v>
      </c>
      <c r="D154" s="49">
        <f>VLOOKUP($A154,'Data shares'!$C:$FB,66)</f>
        <v>8533000</v>
      </c>
      <c r="E154" s="49">
        <f>VLOOKUP($A154,'Data shares'!$C:$FB,67)</f>
        <v>25701200</v>
      </c>
      <c r="F154" s="50">
        <f>VLOOKUP($A154,'Data shares'!$C:$FB,69)*100</f>
        <v>-66.8</v>
      </c>
      <c r="G154" s="49">
        <f>VLOOKUP($A154,'Data shares'!$C:$FB,42)</f>
        <v>1583400</v>
      </c>
      <c r="H154" s="49">
        <f>VLOOKUP($A154,'Data shares'!$C:$FB,43)</f>
        <v>3680600</v>
      </c>
      <c r="I154" s="50">
        <f>VLOOKUP($A154,'Data shares'!$C:$FB,45)*100</f>
        <v>-56.98</v>
      </c>
      <c r="J154" s="49">
        <f>VLOOKUP($A154,'Data shares'!$C:$FB,58)</f>
        <v>4754400</v>
      </c>
      <c r="K154" s="49">
        <f>VLOOKUP($A154,'Data shares'!$C:$FB,59)</f>
        <v>17084200</v>
      </c>
      <c r="L154" s="50">
        <f>VLOOKUP($A154,'Data shares'!$C:$FB,61)*100</f>
        <v>-72.17</v>
      </c>
      <c r="M154" s="49">
        <f>VLOOKUP($A154,'Data shares'!$C:$FB,62)</f>
        <v>2195200</v>
      </c>
      <c r="N154" s="49">
        <f>VLOOKUP($A154,'Data shares'!$C:$FB,63)</f>
        <v>4936400</v>
      </c>
      <c r="O154" s="140">
        <f>VLOOKUP($A154,'Data shares'!$C:$FB,65)*100</f>
        <v>-55.53</v>
      </c>
    </row>
    <row r="155" spans="1:15" x14ac:dyDescent="0.25">
      <c r="A155" s="101" t="str">
        <f>'Data shares'!C150</f>
        <v>ONGC</v>
      </c>
      <c r="B155" s="50">
        <f>VLOOKUP($A155,'Data shares'!$C:$FB,7)</f>
        <v>237.94</v>
      </c>
      <c r="C155" s="50">
        <f>VLOOKUP($A155,'Data shares'!$C:$FB,10)*100</f>
        <v>-1.02</v>
      </c>
      <c r="D155" s="49">
        <f>VLOOKUP($A155,'Data shares'!$C:$FB,66)</f>
        <v>77665500</v>
      </c>
      <c r="E155" s="49">
        <f>VLOOKUP($A155,'Data shares'!$C:$FB,67)</f>
        <v>90366750</v>
      </c>
      <c r="F155" s="50">
        <f>VLOOKUP($A155,'Data shares'!$C:$FB,69)*100</f>
        <v>-14.06</v>
      </c>
      <c r="G155" s="49">
        <f>VLOOKUP($A155,'Data shares'!$C:$FB,42)</f>
        <v>10174500</v>
      </c>
      <c r="H155" s="49">
        <f>VLOOKUP($A155,'Data shares'!$C:$FB,43)</f>
        <v>16670250</v>
      </c>
      <c r="I155" s="50">
        <f>VLOOKUP($A155,'Data shares'!$C:$FB,45)*100</f>
        <v>-38.97</v>
      </c>
      <c r="J155" s="49">
        <f>VLOOKUP($A155,'Data shares'!$C:$FB,58)</f>
        <v>48687750</v>
      </c>
      <c r="K155" s="49">
        <f>VLOOKUP($A155,'Data shares'!$C:$FB,59)</f>
        <v>49241250</v>
      </c>
      <c r="L155" s="50">
        <f>VLOOKUP($A155,'Data shares'!$C:$FB,61)*100</f>
        <v>-1.1199999999999999</v>
      </c>
      <c r="M155" s="49">
        <f>VLOOKUP($A155,'Data shares'!$C:$FB,62)</f>
        <v>18803250</v>
      </c>
      <c r="N155" s="49">
        <f>VLOOKUP($A155,'Data shares'!$C:$FB,63)</f>
        <v>24455250</v>
      </c>
      <c r="O155" s="140">
        <f>VLOOKUP($A155,'Data shares'!$C:$FB,65)*100</f>
        <v>-23.11</v>
      </c>
    </row>
    <row r="156" spans="1:15" x14ac:dyDescent="0.25">
      <c r="A156" s="101" t="str">
        <f>'Data shares'!C151</f>
        <v>PAGEIND</v>
      </c>
      <c r="B156" s="50">
        <f>VLOOKUP($A156,'Data shares'!$C:$FB,7)</f>
        <v>35645</v>
      </c>
      <c r="C156" s="50">
        <f>VLOOKUP($A156,'Data shares'!$C:$FB,10)*100</f>
        <v>-1.1100000000000001</v>
      </c>
      <c r="D156" s="49">
        <f>VLOOKUP($A156,'Data shares'!$C:$FB,66)</f>
        <v>142185</v>
      </c>
      <c r="E156" s="49">
        <f>VLOOKUP($A156,'Data shares'!$C:$FB,67)</f>
        <v>91845</v>
      </c>
      <c r="F156" s="50">
        <f>VLOOKUP($A156,'Data shares'!$C:$FB,69)*100</f>
        <v>54.81</v>
      </c>
      <c r="G156" s="49">
        <f>VLOOKUP($A156,'Data shares'!$C:$FB,42)</f>
        <v>16935</v>
      </c>
      <c r="H156" s="49">
        <f>VLOOKUP($A156,'Data shares'!$C:$FB,43)</f>
        <v>18525</v>
      </c>
      <c r="I156" s="50">
        <f>VLOOKUP($A156,'Data shares'!$C:$FB,45)*100</f>
        <v>-8.58</v>
      </c>
      <c r="J156" s="49">
        <f>VLOOKUP($A156,'Data shares'!$C:$FB,58)</f>
        <v>88305</v>
      </c>
      <c r="K156" s="49">
        <f>VLOOKUP($A156,'Data shares'!$C:$FB,59)</f>
        <v>52440</v>
      </c>
      <c r="L156" s="50">
        <f>VLOOKUP($A156,'Data shares'!$C:$FB,61)*100</f>
        <v>68.39</v>
      </c>
      <c r="M156" s="49">
        <f>VLOOKUP($A156,'Data shares'!$C:$FB,62)</f>
        <v>36945</v>
      </c>
      <c r="N156" s="49">
        <f>VLOOKUP($A156,'Data shares'!$C:$FB,63)</f>
        <v>20880</v>
      </c>
      <c r="O156" s="140">
        <f>VLOOKUP($A156,'Data shares'!$C:$FB,65)*100</f>
        <v>76.94</v>
      </c>
    </row>
    <row r="157" spans="1:15" x14ac:dyDescent="0.25">
      <c r="A157" s="101" t="str">
        <f>'Data shares'!C152</f>
        <v>PATANJALI</v>
      </c>
      <c r="B157" s="50">
        <f>VLOOKUP($A157,'Data shares'!$C:$FB,7)</f>
        <v>552.54999999999995</v>
      </c>
      <c r="C157" s="50">
        <f>VLOOKUP($A157,'Data shares'!$C:$FB,10)*100</f>
        <v>1.29</v>
      </c>
      <c r="D157" s="49">
        <f>VLOOKUP($A157,'Data shares'!$C:$FB,66)</f>
        <v>5983200</v>
      </c>
      <c r="E157" s="49">
        <f>VLOOKUP($A157,'Data shares'!$C:$FB,67)</f>
        <v>13599900</v>
      </c>
      <c r="F157" s="50">
        <f>VLOOKUP($A157,'Data shares'!$C:$FB,69)*100</f>
        <v>-56.010000000000005</v>
      </c>
      <c r="G157" s="49">
        <f>VLOOKUP($A157,'Data shares'!$C:$FB,42)</f>
        <v>3559500</v>
      </c>
      <c r="H157" s="49">
        <f>VLOOKUP($A157,'Data shares'!$C:$FB,43)</f>
        <v>5172300</v>
      </c>
      <c r="I157" s="50">
        <f>VLOOKUP($A157,'Data shares'!$C:$FB,45)*100</f>
        <v>-31.180000000000003</v>
      </c>
      <c r="J157" s="49">
        <f>VLOOKUP($A157,'Data shares'!$C:$FB,58)</f>
        <v>1684800</v>
      </c>
      <c r="K157" s="49">
        <f>VLOOKUP($A157,'Data shares'!$C:$FB,59)</f>
        <v>5208300</v>
      </c>
      <c r="L157" s="50">
        <f>VLOOKUP($A157,'Data shares'!$C:$FB,61)*100</f>
        <v>-67.650000000000006</v>
      </c>
      <c r="M157" s="49">
        <f>VLOOKUP($A157,'Data shares'!$C:$FB,62)</f>
        <v>738900</v>
      </c>
      <c r="N157" s="49">
        <f>VLOOKUP($A157,'Data shares'!$C:$FB,63)</f>
        <v>3219300</v>
      </c>
      <c r="O157" s="140">
        <f>VLOOKUP($A157,'Data shares'!$C:$FB,65)*100</f>
        <v>-77.05</v>
      </c>
    </row>
    <row r="158" spans="1:15" x14ac:dyDescent="0.25">
      <c r="A158" s="101" t="str">
        <f>'Data shares'!C153</f>
        <v>PAYTM</v>
      </c>
      <c r="B158" s="50">
        <f>VLOOKUP($A158,'Data shares'!$C:$FB,7)</f>
        <v>1291.7</v>
      </c>
      <c r="C158" s="50">
        <f>VLOOKUP($A158,'Data shares'!$C:$FB,10)*100</f>
        <v>-0.54999999999999993</v>
      </c>
      <c r="D158" s="49">
        <f>VLOOKUP($A158,'Data shares'!$C:$FB,66)</f>
        <v>6082750</v>
      </c>
      <c r="E158" s="49">
        <f>VLOOKUP($A158,'Data shares'!$C:$FB,67)</f>
        <v>8250500</v>
      </c>
      <c r="F158" s="50">
        <f>VLOOKUP($A158,'Data shares'!$C:$FB,69)*100</f>
        <v>-26.27</v>
      </c>
      <c r="G158" s="49">
        <f>VLOOKUP($A158,'Data shares'!$C:$FB,42)</f>
        <v>1265850</v>
      </c>
      <c r="H158" s="49">
        <f>VLOOKUP($A158,'Data shares'!$C:$FB,43)</f>
        <v>1942275</v>
      </c>
      <c r="I158" s="50">
        <f>VLOOKUP($A158,'Data shares'!$C:$FB,45)*100</f>
        <v>-34.83</v>
      </c>
      <c r="J158" s="49">
        <f>VLOOKUP($A158,'Data shares'!$C:$FB,58)</f>
        <v>3477100</v>
      </c>
      <c r="K158" s="49">
        <f>VLOOKUP($A158,'Data shares'!$C:$FB,59)</f>
        <v>4601575</v>
      </c>
      <c r="L158" s="50">
        <f>VLOOKUP($A158,'Data shares'!$C:$FB,61)*100</f>
        <v>-24.44</v>
      </c>
      <c r="M158" s="49">
        <f>VLOOKUP($A158,'Data shares'!$C:$FB,62)</f>
        <v>1339800</v>
      </c>
      <c r="N158" s="49">
        <f>VLOOKUP($A158,'Data shares'!$C:$FB,63)</f>
        <v>1706650</v>
      </c>
      <c r="O158" s="140">
        <f>VLOOKUP($A158,'Data shares'!$C:$FB,65)*100</f>
        <v>-21.5</v>
      </c>
    </row>
    <row r="159" spans="1:15" x14ac:dyDescent="0.25">
      <c r="A159" s="101" t="str">
        <f>'Data shares'!C154</f>
        <v>PERSISTENT</v>
      </c>
      <c r="B159" s="50">
        <f>VLOOKUP($A159,'Data shares'!$C:$FB,7)</f>
        <v>6282.5</v>
      </c>
      <c r="C159" s="50">
        <f>VLOOKUP($A159,'Data shares'!$C:$FB,10)*100</f>
        <v>0.16999999999999998</v>
      </c>
      <c r="D159" s="49">
        <f>VLOOKUP($A159,'Data shares'!$C:$FB,66)</f>
        <v>869000</v>
      </c>
      <c r="E159" s="49">
        <f>VLOOKUP($A159,'Data shares'!$C:$FB,67)</f>
        <v>1536600</v>
      </c>
      <c r="F159" s="50">
        <f>VLOOKUP($A159,'Data shares'!$C:$FB,69)*100</f>
        <v>-43.45</v>
      </c>
      <c r="G159" s="49">
        <f>VLOOKUP($A159,'Data shares'!$C:$FB,42)</f>
        <v>197700</v>
      </c>
      <c r="H159" s="49">
        <f>VLOOKUP($A159,'Data shares'!$C:$FB,43)</f>
        <v>399900</v>
      </c>
      <c r="I159" s="50">
        <f>VLOOKUP($A159,'Data shares'!$C:$FB,45)*100</f>
        <v>-50.56</v>
      </c>
      <c r="J159" s="49">
        <f>VLOOKUP($A159,'Data shares'!$C:$FB,58)</f>
        <v>454100</v>
      </c>
      <c r="K159" s="49">
        <f>VLOOKUP($A159,'Data shares'!$C:$FB,59)</f>
        <v>730800</v>
      </c>
      <c r="L159" s="50">
        <f>VLOOKUP($A159,'Data shares'!$C:$FB,61)*100</f>
        <v>-37.86</v>
      </c>
      <c r="M159" s="49">
        <f>VLOOKUP($A159,'Data shares'!$C:$FB,62)</f>
        <v>217200</v>
      </c>
      <c r="N159" s="49">
        <f>VLOOKUP($A159,'Data shares'!$C:$FB,63)</f>
        <v>405900</v>
      </c>
      <c r="O159" s="140">
        <f>VLOOKUP($A159,'Data shares'!$C:$FB,65)*100</f>
        <v>-46.489999999999995</v>
      </c>
    </row>
    <row r="160" spans="1:15" x14ac:dyDescent="0.25">
      <c r="A160" s="101" t="str">
        <f>'Data shares'!C155</f>
        <v>PETRONET</v>
      </c>
      <c r="B160" s="50">
        <f>VLOOKUP($A160,'Data shares'!$C:$FB,7)</f>
        <v>288.10000000000002</v>
      </c>
      <c r="C160" s="50">
        <f>VLOOKUP($A160,'Data shares'!$C:$FB,10)*100</f>
        <v>1.41</v>
      </c>
      <c r="D160" s="49">
        <f>VLOOKUP($A160,'Data shares'!$C:$FB,66)</f>
        <v>21867100</v>
      </c>
      <c r="E160" s="49">
        <f>VLOOKUP($A160,'Data shares'!$C:$FB,67)</f>
        <v>42960900</v>
      </c>
      <c r="F160" s="50">
        <f>VLOOKUP($A160,'Data shares'!$C:$FB,69)*100</f>
        <v>-49.1</v>
      </c>
      <c r="G160" s="49">
        <f>VLOOKUP($A160,'Data shares'!$C:$FB,42)</f>
        <v>3678400</v>
      </c>
      <c r="H160" s="49">
        <f>VLOOKUP($A160,'Data shares'!$C:$FB,43)</f>
        <v>9344200</v>
      </c>
      <c r="I160" s="50">
        <f>VLOOKUP($A160,'Data shares'!$C:$FB,45)*100</f>
        <v>-60.629999999999995</v>
      </c>
      <c r="J160" s="49">
        <f>VLOOKUP($A160,'Data shares'!$C:$FB,58)</f>
        <v>12669200</v>
      </c>
      <c r="K160" s="49">
        <f>VLOOKUP($A160,'Data shares'!$C:$FB,59)</f>
        <v>18515500</v>
      </c>
      <c r="L160" s="50">
        <f>VLOOKUP($A160,'Data shares'!$C:$FB,61)*100</f>
        <v>-31.580000000000002</v>
      </c>
      <c r="M160" s="49">
        <f>VLOOKUP($A160,'Data shares'!$C:$FB,62)</f>
        <v>5519500</v>
      </c>
      <c r="N160" s="49">
        <f>VLOOKUP($A160,'Data shares'!$C:$FB,63)</f>
        <v>15101200</v>
      </c>
      <c r="O160" s="140">
        <f>VLOOKUP($A160,'Data shares'!$C:$FB,65)*100</f>
        <v>-63.449999999999996</v>
      </c>
    </row>
    <row r="161" spans="1:15" x14ac:dyDescent="0.25">
      <c r="A161" s="101" t="str">
        <f>'Data shares'!C156</f>
        <v>PFC</v>
      </c>
      <c r="B161" s="50">
        <f>VLOOKUP($A161,'Data shares'!$C:$FB,7)</f>
        <v>363.15</v>
      </c>
      <c r="C161" s="50">
        <f>VLOOKUP($A161,'Data shares'!$C:$FB,10)*100</f>
        <v>2.1800000000000002</v>
      </c>
      <c r="D161" s="49">
        <f>VLOOKUP($A161,'Data shares'!$C:$FB,66)</f>
        <v>81513900</v>
      </c>
      <c r="E161" s="49">
        <f>VLOOKUP($A161,'Data shares'!$C:$FB,67)</f>
        <v>52975000</v>
      </c>
      <c r="F161" s="50">
        <f>VLOOKUP($A161,'Data shares'!$C:$FB,69)*100</f>
        <v>53.87</v>
      </c>
      <c r="G161" s="49">
        <f>VLOOKUP($A161,'Data shares'!$C:$FB,42)</f>
        <v>12643800</v>
      </c>
      <c r="H161" s="49">
        <f>VLOOKUP($A161,'Data shares'!$C:$FB,43)</f>
        <v>9783800</v>
      </c>
      <c r="I161" s="50">
        <f>VLOOKUP($A161,'Data shares'!$C:$FB,45)*100</f>
        <v>29.23</v>
      </c>
      <c r="J161" s="49">
        <f>VLOOKUP($A161,'Data shares'!$C:$FB,58)</f>
        <v>57053100</v>
      </c>
      <c r="K161" s="49">
        <f>VLOOKUP($A161,'Data shares'!$C:$FB,59)</f>
        <v>28935400</v>
      </c>
      <c r="L161" s="50">
        <f>VLOOKUP($A161,'Data shares'!$C:$FB,61)*100</f>
        <v>97.17</v>
      </c>
      <c r="M161" s="49">
        <f>VLOOKUP($A161,'Data shares'!$C:$FB,62)</f>
        <v>11817000</v>
      </c>
      <c r="N161" s="49">
        <f>VLOOKUP($A161,'Data shares'!$C:$FB,63)</f>
        <v>14255800</v>
      </c>
      <c r="O161" s="140">
        <f>VLOOKUP($A161,'Data shares'!$C:$FB,65)*100</f>
        <v>-17.11</v>
      </c>
    </row>
    <row r="162" spans="1:15" x14ac:dyDescent="0.25">
      <c r="A162" s="101" t="str">
        <f>'Data shares'!C157</f>
        <v>PGEL</v>
      </c>
      <c r="B162" s="50">
        <f>VLOOKUP($A162,'Data shares'!$C:$FB,7)</f>
        <v>578.95000000000005</v>
      </c>
      <c r="C162" s="50">
        <f>VLOOKUP($A162,'Data shares'!$C:$FB,10)*100</f>
        <v>0.63</v>
      </c>
      <c r="D162" s="49">
        <f>VLOOKUP($A162,'Data shares'!$C:$FB,66)</f>
        <v>3382000</v>
      </c>
      <c r="E162" s="49">
        <f>VLOOKUP($A162,'Data shares'!$C:$FB,67)</f>
        <v>12705300</v>
      </c>
      <c r="F162" s="50">
        <f>VLOOKUP($A162,'Data shares'!$C:$FB,69)*100</f>
        <v>-73.38</v>
      </c>
      <c r="G162" s="49">
        <f>VLOOKUP($A162,'Data shares'!$C:$FB,42)</f>
        <v>925300</v>
      </c>
      <c r="H162" s="49">
        <f>VLOOKUP($A162,'Data shares'!$C:$FB,43)</f>
        <v>3270850</v>
      </c>
      <c r="I162" s="50">
        <f>VLOOKUP($A162,'Data shares'!$C:$FB,45)*100</f>
        <v>-71.709999999999994</v>
      </c>
      <c r="J162" s="49">
        <f>VLOOKUP($A162,'Data shares'!$C:$FB,58)</f>
        <v>1696700</v>
      </c>
      <c r="K162" s="49">
        <f>VLOOKUP($A162,'Data shares'!$C:$FB,59)</f>
        <v>6458100</v>
      </c>
      <c r="L162" s="50">
        <f>VLOOKUP($A162,'Data shares'!$C:$FB,61)*100</f>
        <v>-73.72999999999999</v>
      </c>
      <c r="M162" s="49">
        <f>VLOOKUP($A162,'Data shares'!$C:$FB,62)</f>
        <v>760000</v>
      </c>
      <c r="N162" s="49">
        <f>VLOOKUP($A162,'Data shares'!$C:$FB,63)</f>
        <v>2976350</v>
      </c>
      <c r="O162" s="140">
        <f>VLOOKUP($A162,'Data shares'!$C:$FB,65)*100</f>
        <v>-74.47</v>
      </c>
    </row>
    <row r="163" spans="1:15" x14ac:dyDescent="0.25">
      <c r="A163" s="101" t="str">
        <f>'Data shares'!C158</f>
        <v>PHOENIXLTD</v>
      </c>
      <c r="B163" s="50">
        <f>VLOOKUP($A163,'Data shares'!$C:$FB,7)</f>
        <v>1872.7</v>
      </c>
      <c r="C163" s="50">
        <f>VLOOKUP($A163,'Data shares'!$C:$FB,10)*100</f>
        <v>1.04</v>
      </c>
      <c r="D163" s="49">
        <f>VLOOKUP($A163,'Data shares'!$C:$FB,66)</f>
        <v>962500</v>
      </c>
      <c r="E163" s="49">
        <f>VLOOKUP($A163,'Data shares'!$C:$FB,67)</f>
        <v>637700</v>
      </c>
      <c r="F163" s="50">
        <f>VLOOKUP($A163,'Data shares'!$C:$FB,69)*100</f>
        <v>50.93</v>
      </c>
      <c r="G163" s="49">
        <f>VLOOKUP($A163,'Data shares'!$C:$FB,42)</f>
        <v>356650</v>
      </c>
      <c r="H163" s="49">
        <f>VLOOKUP($A163,'Data shares'!$C:$FB,43)</f>
        <v>284550</v>
      </c>
      <c r="I163" s="50">
        <f>VLOOKUP($A163,'Data shares'!$C:$FB,45)*100</f>
        <v>25.34</v>
      </c>
      <c r="J163" s="49">
        <f>VLOOKUP($A163,'Data shares'!$C:$FB,58)</f>
        <v>460950</v>
      </c>
      <c r="K163" s="49">
        <f>VLOOKUP($A163,'Data shares'!$C:$FB,59)</f>
        <v>204400</v>
      </c>
      <c r="L163" s="50">
        <f>VLOOKUP($A163,'Data shares'!$C:$FB,61)*100</f>
        <v>125.51</v>
      </c>
      <c r="M163" s="49">
        <f>VLOOKUP($A163,'Data shares'!$C:$FB,62)</f>
        <v>144900</v>
      </c>
      <c r="N163" s="49">
        <f>VLOOKUP($A163,'Data shares'!$C:$FB,63)</f>
        <v>148750</v>
      </c>
      <c r="O163" s="140">
        <f>VLOOKUP($A163,'Data shares'!$C:$FB,65)*100</f>
        <v>-2.59</v>
      </c>
    </row>
    <row r="164" spans="1:15" x14ac:dyDescent="0.25">
      <c r="A164" s="101" t="str">
        <f>'Data shares'!C159</f>
        <v>PIDILITIND</v>
      </c>
      <c r="B164" s="50">
        <f>VLOOKUP($A164,'Data shares'!$C:$FB,7)</f>
        <v>1469.3</v>
      </c>
      <c r="C164" s="50">
        <f>VLOOKUP($A164,'Data shares'!$C:$FB,10)*100</f>
        <v>-0.88</v>
      </c>
      <c r="D164" s="49">
        <f>VLOOKUP($A164,'Data shares'!$C:$FB,66)</f>
        <v>1266000</v>
      </c>
      <c r="E164" s="49">
        <f>VLOOKUP($A164,'Data shares'!$C:$FB,67)</f>
        <v>3971500</v>
      </c>
      <c r="F164" s="50">
        <f>VLOOKUP($A164,'Data shares'!$C:$FB,69)*100</f>
        <v>-68.12</v>
      </c>
      <c r="G164" s="49">
        <f>VLOOKUP($A164,'Data shares'!$C:$FB,42)</f>
        <v>409000</v>
      </c>
      <c r="H164" s="49">
        <f>VLOOKUP($A164,'Data shares'!$C:$FB,43)</f>
        <v>1274000</v>
      </c>
      <c r="I164" s="50">
        <f>VLOOKUP($A164,'Data shares'!$C:$FB,45)*100</f>
        <v>-67.900000000000006</v>
      </c>
      <c r="J164" s="49">
        <f>VLOOKUP($A164,'Data shares'!$C:$FB,58)</f>
        <v>580000</v>
      </c>
      <c r="K164" s="49">
        <f>VLOOKUP($A164,'Data shares'!$C:$FB,59)</f>
        <v>1959500</v>
      </c>
      <c r="L164" s="50">
        <f>VLOOKUP($A164,'Data shares'!$C:$FB,61)*100</f>
        <v>-70.399999999999991</v>
      </c>
      <c r="M164" s="49">
        <f>VLOOKUP($A164,'Data shares'!$C:$FB,62)</f>
        <v>277000</v>
      </c>
      <c r="N164" s="49">
        <f>VLOOKUP($A164,'Data shares'!$C:$FB,63)</f>
        <v>738000</v>
      </c>
      <c r="O164" s="140">
        <f>VLOOKUP($A164,'Data shares'!$C:$FB,65)*100</f>
        <v>-62.470000000000006</v>
      </c>
    </row>
    <row r="165" spans="1:15" x14ac:dyDescent="0.25">
      <c r="A165" s="101" t="str">
        <f>'Data shares'!C160</f>
        <v>PIIND</v>
      </c>
      <c r="B165" s="50">
        <f>VLOOKUP($A165,'Data shares'!$C:$FB,7)</f>
        <v>3219.1</v>
      </c>
      <c r="C165" s="50">
        <f>VLOOKUP($A165,'Data shares'!$C:$FB,10)*100</f>
        <v>-0.59</v>
      </c>
      <c r="D165" s="49">
        <f>VLOOKUP($A165,'Data shares'!$C:$FB,66)</f>
        <v>539525</v>
      </c>
      <c r="E165" s="49">
        <f>VLOOKUP($A165,'Data shares'!$C:$FB,67)</f>
        <v>659575</v>
      </c>
      <c r="F165" s="50">
        <f>VLOOKUP($A165,'Data shares'!$C:$FB,69)*100</f>
        <v>-18.2</v>
      </c>
      <c r="G165" s="49">
        <f>VLOOKUP($A165,'Data shares'!$C:$FB,42)</f>
        <v>213500</v>
      </c>
      <c r="H165" s="49">
        <f>VLOOKUP($A165,'Data shares'!$C:$FB,43)</f>
        <v>274400</v>
      </c>
      <c r="I165" s="50">
        <f>VLOOKUP($A165,'Data shares'!$C:$FB,45)*100</f>
        <v>-22.189999999999998</v>
      </c>
      <c r="J165" s="49">
        <f>VLOOKUP($A165,'Data shares'!$C:$FB,58)</f>
        <v>225575</v>
      </c>
      <c r="K165" s="49">
        <f>VLOOKUP($A165,'Data shares'!$C:$FB,59)</f>
        <v>265475</v>
      </c>
      <c r="L165" s="50">
        <f>VLOOKUP($A165,'Data shares'!$C:$FB,61)*100</f>
        <v>-15.03</v>
      </c>
      <c r="M165" s="49">
        <f>VLOOKUP($A165,'Data shares'!$C:$FB,62)</f>
        <v>100450</v>
      </c>
      <c r="N165" s="49">
        <f>VLOOKUP($A165,'Data shares'!$C:$FB,63)</f>
        <v>119700</v>
      </c>
      <c r="O165" s="140">
        <f>VLOOKUP($A165,'Data shares'!$C:$FB,65)*100</f>
        <v>-16.079999999999998</v>
      </c>
    </row>
    <row r="166" spans="1:15" x14ac:dyDescent="0.25">
      <c r="A166" s="101" t="str">
        <f>'Data shares'!C161</f>
        <v>PNB</v>
      </c>
      <c r="B166" s="50">
        <f>VLOOKUP($A166,'Data shares'!$C:$FB,7)</f>
        <v>123.94</v>
      </c>
      <c r="C166" s="50">
        <f>VLOOKUP($A166,'Data shares'!$C:$FB,10)*100</f>
        <v>0.28999999999999998</v>
      </c>
      <c r="D166" s="49">
        <f>VLOOKUP($A166,'Data shares'!$C:$FB,66)</f>
        <v>101848000</v>
      </c>
      <c r="E166" s="49">
        <f>VLOOKUP($A166,'Data shares'!$C:$FB,67)</f>
        <v>249800000</v>
      </c>
      <c r="F166" s="50">
        <f>VLOOKUP($A166,'Data shares'!$C:$FB,69)*100</f>
        <v>-59.230000000000004</v>
      </c>
      <c r="G166" s="49">
        <f>VLOOKUP($A166,'Data shares'!$C:$FB,42)</f>
        <v>30888000</v>
      </c>
      <c r="H166" s="49">
        <f>VLOOKUP($A166,'Data shares'!$C:$FB,43)</f>
        <v>58616000</v>
      </c>
      <c r="I166" s="50">
        <f>VLOOKUP($A166,'Data shares'!$C:$FB,45)*100</f>
        <v>-47.3</v>
      </c>
      <c r="J166" s="49">
        <f>VLOOKUP($A166,'Data shares'!$C:$FB,58)</f>
        <v>40544000</v>
      </c>
      <c r="K166" s="49">
        <f>VLOOKUP($A166,'Data shares'!$C:$FB,59)</f>
        <v>106872000</v>
      </c>
      <c r="L166" s="50">
        <f>VLOOKUP($A166,'Data shares'!$C:$FB,61)*100</f>
        <v>-62.06</v>
      </c>
      <c r="M166" s="49">
        <f>VLOOKUP($A166,'Data shares'!$C:$FB,62)</f>
        <v>30416000</v>
      </c>
      <c r="N166" s="49">
        <f>VLOOKUP($A166,'Data shares'!$C:$FB,63)</f>
        <v>84312000</v>
      </c>
      <c r="O166" s="140">
        <f>VLOOKUP($A166,'Data shares'!$C:$FB,65)*100</f>
        <v>-63.92</v>
      </c>
    </row>
    <row r="167" spans="1:15" x14ac:dyDescent="0.25">
      <c r="A167" s="101" t="str">
        <f>'Data shares'!C162</f>
        <v>PNBHOUSING</v>
      </c>
      <c r="B167" s="50">
        <f>VLOOKUP($A167,'Data shares'!$C:$FB,7)</f>
        <v>986.6</v>
      </c>
      <c r="C167" s="50">
        <f>VLOOKUP($A167,'Data shares'!$C:$FB,10)*100</f>
        <v>3.6900000000000004</v>
      </c>
      <c r="D167" s="49">
        <f>VLOOKUP($A167,'Data shares'!$C:$FB,66)</f>
        <v>22863750</v>
      </c>
      <c r="E167" s="49">
        <f>VLOOKUP($A167,'Data shares'!$C:$FB,67)</f>
        <v>3629600</v>
      </c>
      <c r="F167" s="50">
        <f>VLOOKUP($A167,'Data shares'!$C:$FB,69)*100</f>
        <v>529.91999999999996</v>
      </c>
      <c r="G167" s="49">
        <f>VLOOKUP($A167,'Data shares'!$C:$FB,42)</f>
        <v>4495400</v>
      </c>
      <c r="H167" s="49">
        <f>VLOOKUP($A167,'Data shares'!$C:$FB,43)</f>
        <v>1412450</v>
      </c>
      <c r="I167" s="50">
        <f>VLOOKUP($A167,'Data shares'!$C:$FB,45)*100</f>
        <v>218.27</v>
      </c>
      <c r="J167" s="49">
        <f>VLOOKUP($A167,'Data shares'!$C:$FB,58)</f>
        <v>14693900</v>
      </c>
      <c r="K167" s="49">
        <f>VLOOKUP($A167,'Data shares'!$C:$FB,59)</f>
        <v>1599000</v>
      </c>
      <c r="L167" s="50">
        <f>VLOOKUP($A167,'Data shares'!$C:$FB,61)*100</f>
        <v>818.93999999999994</v>
      </c>
      <c r="M167" s="49">
        <f>VLOOKUP($A167,'Data shares'!$C:$FB,62)</f>
        <v>3674450</v>
      </c>
      <c r="N167" s="49">
        <f>VLOOKUP($A167,'Data shares'!$C:$FB,63)</f>
        <v>618150</v>
      </c>
      <c r="O167" s="140">
        <f>VLOOKUP($A167,'Data shares'!$C:$FB,65)*100</f>
        <v>494.43</v>
      </c>
    </row>
    <row r="168" spans="1:15" x14ac:dyDescent="0.25">
      <c r="A168" s="101" t="str">
        <f>'Data shares'!C163</f>
        <v>POLICYBZR</v>
      </c>
      <c r="B168" s="50">
        <f>VLOOKUP($A168,'Data shares'!$C:$FB,7)</f>
        <v>1805.8</v>
      </c>
      <c r="C168" s="50">
        <f>VLOOKUP($A168,'Data shares'!$C:$FB,10)*100</f>
        <v>-1.08</v>
      </c>
      <c r="D168" s="49">
        <f>VLOOKUP($A168,'Data shares'!$C:$FB,66)</f>
        <v>6084400</v>
      </c>
      <c r="E168" s="49">
        <f>VLOOKUP($A168,'Data shares'!$C:$FB,67)</f>
        <v>6449100</v>
      </c>
      <c r="F168" s="50">
        <f>VLOOKUP($A168,'Data shares'!$C:$FB,69)*100</f>
        <v>-5.66</v>
      </c>
      <c r="G168" s="49">
        <f>VLOOKUP($A168,'Data shares'!$C:$FB,42)</f>
        <v>1373750</v>
      </c>
      <c r="H168" s="49">
        <f>VLOOKUP($A168,'Data shares'!$C:$FB,43)</f>
        <v>1482950</v>
      </c>
      <c r="I168" s="50">
        <f>VLOOKUP($A168,'Data shares'!$C:$FB,45)*100</f>
        <v>-7.3599999999999994</v>
      </c>
      <c r="J168" s="49">
        <f>VLOOKUP($A168,'Data shares'!$C:$FB,58)</f>
        <v>2200450</v>
      </c>
      <c r="K168" s="49">
        <f>VLOOKUP($A168,'Data shares'!$C:$FB,59)</f>
        <v>2368800</v>
      </c>
      <c r="L168" s="50">
        <f>VLOOKUP($A168,'Data shares'!$C:$FB,61)*100</f>
        <v>-7.1099999999999994</v>
      </c>
      <c r="M168" s="49">
        <f>VLOOKUP($A168,'Data shares'!$C:$FB,62)</f>
        <v>2510200</v>
      </c>
      <c r="N168" s="49">
        <f>VLOOKUP($A168,'Data shares'!$C:$FB,63)</f>
        <v>2597350</v>
      </c>
      <c r="O168" s="140">
        <f>VLOOKUP($A168,'Data shares'!$C:$FB,65)*100</f>
        <v>-3.36</v>
      </c>
    </row>
    <row r="169" spans="1:15" x14ac:dyDescent="0.25">
      <c r="A169" s="101" t="str">
        <f>'Data shares'!C164</f>
        <v>POLYCAB</v>
      </c>
      <c r="B169" s="50">
        <f>VLOOKUP($A169,'Data shares'!$C:$FB,7)</f>
        <v>7673</v>
      </c>
      <c r="C169" s="50">
        <f>VLOOKUP($A169,'Data shares'!$C:$FB,10)*100</f>
        <v>0.71000000000000008</v>
      </c>
      <c r="D169" s="49">
        <f>VLOOKUP($A169,'Data shares'!$C:$FB,66)</f>
        <v>1824000</v>
      </c>
      <c r="E169" s="49">
        <f>VLOOKUP($A169,'Data shares'!$C:$FB,67)</f>
        <v>1759125</v>
      </c>
      <c r="F169" s="50">
        <f>VLOOKUP($A169,'Data shares'!$C:$FB,69)*100</f>
        <v>3.6900000000000004</v>
      </c>
      <c r="G169" s="49">
        <f>VLOOKUP($A169,'Data shares'!$C:$FB,42)</f>
        <v>279500</v>
      </c>
      <c r="H169" s="49">
        <f>VLOOKUP($A169,'Data shares'!$C:$FB,43)</f>
        <v>343625</v>
      </c>
      <c r="I169" s="50">
        <f>VLOOKUP($A169,'Data shares'!$C:$FB,45)*100</f>
        <v>-18.66</v>
      </c>
      <c r="J169" s="49">
        <f>VLOOKUP($A169,'Data shares'!$C:$FB,58)</f>
        <v>1014500</v>
      </c>
      <c r="K169" s="49">
        <f>VLOOKUP($A169,'Data shares'!$C:$FB,59)</f>
        <v>914500</v>
      </c>
      <c r="L169" s="50">
        <f>VLOOKUP($A169,'Data shares'!$C:$FB,61)*100</f>
        <v>10.93</v>
      </c>
      <c r="M169" s="49">
        <f>VLOOKUP($A169,'Data shares'!$C:$FB,62)</f>
        <v>530000</v>
      </c>
      <c r="N169" s="49">
        <f>VLOOKUP($A169,'Data shares'!$C:$FB,63)</f>
        <v>501000</v>
      </c>
      <c r="O169" s="140">
        <f>VLOOKUP($A169,'Data shares'!$C:$FB,65)*100</f>
        <v>5.79</v>
      </c>
    </row>
    <row r="170" spans="1:15" x14ac:dyDescent="0.25">
      <c r="A170" s="101" t="str">
        <f>'Data shares'!C165</f>
        <v>POWERGRID</v>
      </c>
      <c r="B170" s="50">
        <f>VLOOKUP($A170,'Data shares'!$C:$FB,7)</f>
        <v>266.8</v>
      </c>
      <c r="C170" s="50">
        <f>VLOOKUP($A170,'Data shares'!$C:$FB,10)*100</f>
        <v>0.83</v>
      </c>
      <c r="D170" s="49">
        <f>VLOOKUP($A170,'Data shares'!$C:$FB,66)</f>
        <v>28716600</v>
      </c>
      <c r="E170" s="49">
        <f>VLOOKUP($A170,'Data shares'!$C:$FB,67)</f>
        <v>35902400</v>
      </c>
      <c r="F170" s="50">
        <f>VLOOKUP($A170,'Data shares'!$C:$FB,69)*100</f>
        <v>-20.010000000000002</v>
      </c>
      <c r="G170" s="49">
        <f>VLOOKUP($A170,'Data shares'!$C:$FB,42)</f>
        <v>5350400</v>
      </c>
      <c r="H170" s="49">
        <f>VLOOKUP($A170,'Data shares'!$C:$FB,43)</f>
        <v>8061700</v>
      </c>
      <c r="I170" s="50">
        <f>VLOOKUP($A170,'Data shares'!$C:$FB,45)*100</f>
        <v>-33.629999999999995</v>
      </c>
      <c r="J170" s="49">
        <f>VLOOKUP($A170,'Data shares'!$C:$FB,58)</f>
        <v>17158900</v>
      </c>
      <c r="K170" s="49">
        <f>VLOOKUP($A170,'Data shares'!$C:$FB,59)</f>
        <v>19176700</v>
      </c>
      <c r="L170" s="50">
        <f>VLOOKUP($A170,'Data shares'!$C:$FB,61)*100</f>
        <v>-10.52</v>
      </c>
      <c r="M170" s="49">
        <f>VLOOKUP($A170,'Data shares'!$C:$FB,62)</f>
        <v>6207300</v>
      </c>
      <c r="N170" s="49">
        <f>VLOOKUP($A170,'Data shares'!$C:$FB,63)</f>
        <v>8664000</v>
      </c>
      <c r="O170" s="140">
        <f>VLOOKUP($A170,'Data shares'!$C:$FB,65)*100</f>
        <v>-28.360000000000003</v>
      </c>
    </row>
    <row r="171" spans="1:15" x14ac:dyDescent="0.25">
      <c r="A171" s="101" t="str">
        <f>'Data shares'!C166</f>
        <v>POWERINDIA</v>
      </c>
      <c r="B171" s="50">
        <f>VLOOKUP($A171,'Data shares'!$C:$FB,7)</f>
        <v>18482</v>
      </c>
      <c r="C171" s="50">
        <f>VLOOKUP($A171,'Data shares'!$C:$FB,10)*100</f>
        <v>0.94000000000000006</v>
      </c>
      <c r="D171" s="49">
        <f>VLOOKUP($A171,'Data shares'!$C:$FB,66)</f>
        <v>76550</v>
      </c>
      <c r="E171" s="49">
        <f>VLOOKUP($A171,'Data shares'!$C:$FB,67)</f>
        <v>137750</v>
      </c>
      <c r="F171" s="50">
        <f>VLOOKUP($A171,'Data shares'!$C:$FB,69)*100</f>
        <v>-44.43</v>
      </c>
      <c r="G171" s="49">
        <f>VLOOKUP($A171,'Data shares'!$C:$FB,42)</f>
        <v>23600</v>
      </c>
      <c r="H171" s="49">
        <f>VLOOKUP($A171,'Data shares'!$C:$FB,43)</f>
        <v>47600</v>
      </c>
      <c r="I171" s="50">
        <f>VLOOKUP($A171,'Data shares'!$C:$FB,45)*100</f>
        <v>-50.42</v>
      </c>
      <c r="J171" s="49">
        <f>VLOOKUP($A171,'Data shares'!$C:$FB,58)</f>
        <v>40000</v>
      </c>
      <c r="K171" s="49">
        <f>VLOOKUP($A171,'Data shares'!$C:$FB,59)</f>
        <v>72900</v>
      </c>
      <c r="L171" s="50">
        <f>VLOOKUP($A171,'Data shares'!$C:$FB,61)*100</f>
        <v>-45.129999999999995</v>
      </c>
      <c r="M171" s="49">
        <f>VLOOKUP($A171,'Data shares'!$C:$FB,62)</f>
        <v>12950</v>
      </c>
      <c r="N171" s="49">
        <f>VLOOKUP($A171,'Data shares'!$C:$FB,63)</f>
        <v>17250</v>
      </c>
      <c r="O171" s="140">
        <f>VLOOKUP($A171,'Data shares'!$C:$FB,65)*100</f>
        <v>-24.93</v>
      </c>
    </row>
    <row r="172" spans="1:15" x14ac:dyDescent="0.25">
      <c r="A172" s="101" t="str">
        <f>'Data shares'!C167</f>
        <v>PPLPHARMA</v>
      </c>
      <c r="B172" s="50">
        <f>VLOOKUP($A172,'Data shares'!$C:$FB,7)</f>
        <v>169.88</v>
      </c>
      <c r="C172" s="50">
        <f>VLOOKUP($A172,'Data shares'!$C:$FB,10)*100</f>
        <v>-1.35</v>
      </c>
      <c r="D172" s="49">
        <f>VLOOKUP($A172,'Data shares'!$C:$FB,66)</f>
        <v>5446875</v>
      </c>
      <c r="E172" s="49">
        <f>VLOOKUP($A172,'Data shares'!$C:$FB,67)</f>
        <v>5680500</v>
      </c>
      <c r="F172" s="50">
        <f>VLOOKUP($A172,'Data shares'!$C:$FB,69)*100</f>
        <v>-4.1099999999999994</v>
      </c>
      <c r="G172" s="49">
        <f>VLOOKUP($A172,'Data shares'!$C:$FB,42)</f>
        <v>1947750</v>
      </c>
      <c r="H172" s="49">
        <f>VLOOKUP($A172,'Data shares'!$C:$FB,43)</f>
        <v>2370375</v>
      </c>
      <c r="I172" s="50">
        <f>VLOOKUP($A172,'Data shares'!$C:$FB,45)*100</f>
        <v>-17.829999999999998</v>
      </c>
      <c r="J172" s="49">
        <f>VLOOKUP($A172,'Data shares'!$C:$FB,58)</f>
        <v>2359875</v>
      </c>
      <c r="K172" s="49">
        <f>VLOOKUP($A172,'Data shares'!$C:$FB,59)</f>
        <v>2895375</v>
      </c>
      <c r="L172" s="50">
        <f>VLOOKUP($A172,'Data shares'!$C:$FB,61)*100</f>
        <v>-18.5</v>
      </c>
      <c r="M172" s="49">
        <f>VLOOKUP($A172,'Data shares'!$C:$FB,62)</f>
        <v>1139250</v>
      </c>
      <c r="N172" s="49">
        <f>VLOOKUP($A172,'Data shares'!$C:$FB,63)</f>
        <v>414750</v>
      </c>
      <c r="O172" s="140">
        <f>VLOOKUP($A172,'Data shares'!$C:$FB,65)*100</f>
        <v>174.67999999999998</v>
      </c>
    </row>
    <row r="173" spans="1:15" x14ac:dyDescent="0.25">
      <c r="A173" s="101" t="str">
        <f>'Data shares'!C168</f>
        <v>PREMIERENE</v>
      </c>
      <c r="B173" s="50">
        <f>VLOOKUP($A173,'Data shares'!$C:$FB,7)</f>
        <v>847.2</v>
      </c>
      <c r="C173" s="50">
        <f>VLOOKUP($A173,'Data shares'!$C:$FB,10)*100</f>
        <v>0.6</v>
      </c>
      <c r="D173" s="49">
        <f>VLOOKUP($A173,'Data shares'!$C:$FB,66)</f>
        <v>1175300</v>
      </c>
      <c r="E173" s="49">
        <f>VLOOKUP($A173,'Data shares'!$C:$FB,67)</f>
        <v>3523600</v>
      </c>
      <c r="F173" s="50">
        <f>VLOOKUP($A173,'Data shares'!$C:$FB,69)*100</f>
        <v>-66.64</v>
      </c>
      <c r="G173" s="49">
        <f>VLOOKUP($A173,'Data shares'!$C:$FB,42)</f>
        <v>342700</v>
      </c>
      <c r="H173" s="49">
        <f>VLOOKUP($A173,'Data shares'!$C:$FB,43)</f>
        <v>1288575</v>
      </c>
      <c r="I173" s="50">
        <f>VLOOKUP($A173,'Data shares'!$C:$FB,45)*100</f>
        <v>-73.400000000000006</v>
      </c>
      <c r="J173" s="49">
        <f>VLOOKUP($A173,'Data shares'!$C:$FB,58)</f>
        <v>516350</v>
      </c>
      <c r="K173" s="49">
        <f>VLOOKUP($A173,'Data shares'!$C:$FB,59)</f>
        <v>1280525</v>
      </c>
      <c r="L173" s="50">
        <f>VLOOKUP($A173,'Data shares'!$C:$FB,61)*100</f>
        <v>-59.68</v>
      </c>
      <c r="M173" s="49">
        <f>VLOOKUP($A173,'Data shares'!$C:$FB,62)</f>
        <v>316250</v>
      </c>
      <c r="N173" s="49">
        <f>VLOOKUP($A173,'Data shares'!$C:$FB,63)</f>
        <v>954500</v>
      </c>
      <c r="O173" s="140">
        <f>VLOOKUP($A173,'Data shares'!$C:$FB,65)*100</f>
        <v>-66.86999999999999</v>
      </c>
    </row>
    <row r="174" spans="1:15" x14ac:dyDescent="0.25">
      <c r="A174" s="101" t="str">
        <f>'Data shares'!C169</f>
        <v>PRESTIGE</v>
      </c>
      <c r="B174" s="50">
        <f>VLOOKUP($A174,'Data shares'!$C:$FB,7)</f>
        <v>1604.1</v>
      </c>
      <c r="C174" s="50">
        <f>VLOOKUP($A174,'Data shares'!$C:$FB,10)*100</f>
        <v>0.57999999999999996</v>
      </c>
      <c r="D174" s="49">
        <f>VLOOKUP($A174,'Data shares'!$C:$FB,66)</f>
        <v>1374750</v>
      </c>
      <c r="E174" s="49">
        <f>VLOOKUP($A174,'Data shares'!$C:$FB,67)</f>
        <v>1389600</v>
      </c>
      <c r="F174" s="50">
        <f>VLOOKUP($A174,'Data shares'!$C:$FB,69)*100</f>
        <v>-1.0699999999999998</v>
      </c>
      <c r="G174" s="49">
        <f>VLOOKUP($A174,'Data shares'!$C:$FB,42)</f>
        <v>562050</v>
      </c>
      <c r="H174" s="49">
        <f>VLOOKUP($A174,'Data shares'!$C:$FB,43)</f>
        <v>562950</v>
      </c>
      <c r="I174" s="50">
        <f>VLOOKUP($A174,'Data shares'!$C:$FB,45)*100</f>
        <v>-0.16</v>
      </c>
      <c r="J174" s="49">
        <f>VLOOKUP($A174,'Data shares'!$C:$FB,58)</f>
        <v>602550</v>
      </c>
      <c r="K174" s="49">
        <f>VLOOKUP($A174,'Data shares'!$C:$FB,59)</f>
        <v>558000</v>
      </c>
      <c r="L174" s="50">
        <f>VLOOKUP($A174,'Data shares'!$C:$FB,61)*100</f>
        <v>7.9799999999999995</v>
      </c>
      <c r="M174" s="49">
        <f>VLOOKUP($A174,'Data shares'!$C:$FB,62)</f>
        <v>210150</v>
      </c>
      <c r="N174" s="49">
        <f>VLOOKUP($A174,'Data shares'!$C:$FB,63)</f>
        <v>268650</v>
      </c>
      <c r="O174" s="140">
        <f>VLOOKUP($A174,'Data shares'!$C:$FB,65)*100</f>
        <v>-21.78</v>
      </c>
    </row>
    <row r="175" spans="1:15" x14ac:dyDescent="0.25">
      <c r="A175" s="101" t="str">
        <f>'Data shares'!C170</f>
        <v>RBLBANK</v>
      </c>
      <c r="B175" s="50">
        <f>VLOOKUP($A175,'Data shares'!$C:$FB,7)</f>
        <v>315.3</v>
      </c>
      <c r="C175" s="50">
        <f>VLOOKUP($A175,'Data shares'!$C:$FB,10)*100</f>
        <v>-0.16</v>
      </c>
      <c r="D175" s="49">
        <f>VLOOKUP($A175,'Data shares'!$C:$FB,66)</f>
        <v>24215725</v>
      </c>
      <c r="E175" s="49">
        <f>VLOOKUP($A175,'Data shares'!$C:$FB,67)</f>
        <v>52044600</v>
      </c>
      <c r="F175" s="50">
        <f>VLOOKUP($A175,'Data shares'!$C:$FB,69)*100</f>
        <v>-53.47</v>
      </c>
      <c r="G175" s="49">
        <f>VLOOKUP($A175,'Data shares'!$C:$FB,42)</f>
        <v>6080125</v>
      </c>
      <c r="H175" s="49">
        <f>VLOOKUP($A175,'Data shares'!$C:$FB,43)</f>
        <v>14503400</v>
      </c>
      <c r="I175" s="50">
        <f>VLOOKUP($A175,'Data shares'!$C:$FB,45)*100</f>
        <v>-58.08</v>
      </c>
      <c r="J175" s="49">
        <f>VLOOKUP($A175,'Data shares'!$C:$FB,58)</f>
        <v>12369800</v>
      </c>
      <c r="K175" s="49">
        <f>VLOOKUP($A175,'Data shares'!$C:$FB,59)</f>
        <v>24466550</v>
      </c>
      <c r="L175" s="50">
        <f>VLOOKUP($A175,'Data shares'!$C:$FB,61)*100</f>
        <v>-49.44</v>
      </c>
      <c r="M175" s="49">
        <f>VLOOKUP($A175,'Data shares'!$C:$FB,62)</f>
        <v>5765800</v>
      </c>
      <c r="N175" s="49">
        <f>VLOOKUP($A175,'Data shares'!$C:$FB,63)</f>
        <v>13074650</v>
      </c>
      <c r="O175" s="140">
        <f>VLOOKUP($A175,'Data shares'!$C:$FB,65)*100</f>
        <v>-55.900000000000006</v>
      </c>
    </row>
    <row r="176" spans="1:15" x14ac:dyDescent="0.25">
      <c r="A176" s="101" t="str">
        <f>'Data shares'!C171</f>
        <v>RECLTD</v>
      </c>
      <c r="B176" s="50">
        <f>VLOOKUP($A176,'Data shares'!$C:$FB,7)</f>
        <v>367.7</v>
      </c>
      <c r="C176" s="50">
        <f>VLOOKUP($A176,'Data shares'!$C:$FB,10)*100</f>
        <v>3.05</v>
      </c>
      <c r="D176" s="49">
        <f>VLOOKUP($A176,'Data shares'!$C:$FB,66)</f>
        <v>135893800</v>
      </c>
      <c r="E176" s="49">
        <f>VLOOKUP($A176,'Data shares'!$C:$FB,67)</f>
        <v>75360600</v>
      </c>
      <c r="F176" s="50">
        <f>VLOOKUP($A176,'Data shares'!$C:$FB,69)*100</f>
        <v>80.320000000000007</v>
      </c>
      <c r="G176" s="49">
        <f>VLOOKUP($A176,'Data shares'!$C:$FB,42)</f>
        <v>20678000</v>
      </c>
      <c r="H176" s="49">
        <f>VLOOKUP($A176,'Data shares'!$C:$FB,43)</f>
        <v>13505800</v>
      </c>
      <c r="I176" s="50">
        <f>VLOOKUP($A176,'Data shares'!$C:$FB,45)*100</f>
        <v>53.1</v>
      </c>
      <c r="J176" s="49">
        <f>VLOOKUP($A176,'Data shares'!$C:$FB,58)</f>
        <v>91784000</v>
      </c>
      <c r="K176" s="49">
        <f>VLOOKUP($A176,'Data shares'!$C:$FB,59)</f>
        <v>44471000</v>
      </c>
      <c r="L176" s="50">
        <f>VLOOKUP($A176,'Data shares'!$C:$FB,61)*100</f>
        <v>106.39</v>
      </c>
      <c r="M176" s="49">
        <f>VLOOKUP($A176,'Data shares'!$C:$FB,62)</f>
        <v>23431800</v>
      </c>
      <c r="N176" s="49">
        <f>VLOOKUP($A176,'Data shares'!$C:$FB,63)</f>
        <v>17383800</v>
      </c>
      <c r="O176" s="140">
        <f>VLOOKUP($A176,'Data shares'!$C:$FB,65)*100</f>
        <v>34.79</v>
      </c>
    </row>
    <row r="177" spans="1:15" x14ac:dyDescent="0.25">
      <c r="A177" s="101" t="str">
        <f>'Data shares'!C172</f>
        <v>RELIANCE</v>
      </c>
      <c r="B177" s="50">
        <f>VLOOKUP($A177,'Data shares'!$C:$FB,7)</f>
        <v>1575.6</v>
      </c>
      <c r="C177" s="50">
        <f>VLOOKUP($A177,'Data shares'!$C:$FB,10)*100</f>
        <v>0.33</v>
      </c>
      <c r="D177" s="49">
        <f>VLOOKUP($A177,'Data shares'!$C:$FB,66)</f>
        <v>88694000</v>
      </c>
      <c r="E177" s="49">
        <f>VLOOKUP($A177,'Data shares'!$C:$FB,67)</f>
        <v>95006000</v>
      </c>
      <c r="F177" s="50">
        <f>VLOOKUP($A177,'Data shares'!$C:$FB,69)*100</f>
        <v>-6.64</v>
      </c>
      <c r="G177" s="49">
        <f>VLOOKUP($A177,'Data shares'!$C:$FB,42)</f>
        <v>8049000</v>
      </c>
      <c r="H177" s="49">
        <f>VLOOKUP($A177,'Data shares'!$C:$FB,43)</f>
        <v>11368500</v>
      </c>
      <c r="I177" s="50">
        <f>VLOOKUP($A177,'Data shares'!$C:$FB,45)*100</f>
        <v>-29.2</v>
      </c>
      <c r="J177" s="49">
        <f>VLOOKUP($A177,'Data shares'!$C:$FB,58)</f>
        <v>54946000</v>
      </c>
      <c r="K177" s="49">
        <f>VLOOKUP($A177,'Data shares'!$C:$FB,59)</f>
        <v>54267000</v>
      </c>
      <c r="L177" s="50">
        <f>VLOOKUP($A177,'Data shares'!$C:$FB,61)*100</f>
        <v>1.25</v>
      </c>
      <c r="M177" s="49">
        <f>VLOOKUP($A177,'Data shares'!$C:$FB,62)</f>
        <v>25699000</v>
      </c>
      <c r="N177" s="49">
        <f>VLOOKUP($A177,'Data shares'!$C:$FB,63)</f>
        <v>29370500</v>
      </c>
      <c r="O177" s="140">
        <f>VLOOKUP($A177,'Data shares'!$C:$FB,65)*100</f>
        <v>-12.5</v>
      </c>
    </row>
    <row r="178" spans="1:15" x14ac:dyDescent="0.25">
      <c r="A178" s="101" t="str">
        <f>'Data shares'!C173</f>
        <v>RVNL</v>
      </c>
      <c r="B178" s="50">
        <f>VLOOKUP($A178,'Data shares'!$C:$FB,7)</f>
        <v>361.5</v>
      </c>
      <c r="C178" s="50">
        <f>VLOOKUP($A178,'Data shares'!$C:$FB,10)*100</f>
        <v>1.1900000000000002</v>
      </c>
      <c r="D178" s="49">
        <f>VLOOKUP($A178,'Data shares'!$C:$FB,66)</f>
        <v>44305825</v>
      </c>
      <c r="E178" s="49">
        <f>VLOOKUP($A178,'Data shares'!$C:$FB,67)</f>
        <v>72641850</v>
      </c>
      <c r="F178" s="50">
        <f>VLOOKUP($A178,'Data shares'!$C:$FB,69)*100</f>
        <v>-39.01</v>
      </c>
      <c r="G178" s="49">
        <f>VLOOKUP($A178,'Data shares'!$C:$FB,42)</f>
        <v>5682150</v>
      </c>
      <c r="H178" s="49">
        <f>VLOOKUP($A178,'Data shares'!$C:$FB,43)</f>
        <v>9441275</v>
      </c>
      <c r="I178" s="50">
        <f>VLOOKUP($A178,'Data shares'!$C:$FB,45)*100</f>
        <v>-39.82</v>
      </c>
      <c r="J178" s="49">
        <f>VLOOKUP($A178,'Data shares'!$C:$FB,58)</f>
        <v>30617425</v>
      </c>
      <c r="K178" s="49">
        <f>VLOOKUP($A178,'Data shares'!$C:$FB,59)</f>
        <v>48867100</v>
      </c>
      <c r="L178" s="50">
        <f>VLOOKUP($A178,'Data shares'!$C:$FB,61)*100</f>
        <v>-37.35</v>
      </c>
      <c r="M178" s="49">
        <f>VLOOKUP($A178,'Data shares'!$C:$FB,62)</f>
        <v>8006250</v>
      </c>
      <c r="N178" s="49">
        <f>VLOOKUP($A178,'Data shares'!$C:$FB,63)</f>
        <v>14333475</v>
      </c>
      <c r="O178" s="140">
        <f>VLOOKUP($A178,'Data shares'!$C:$FB,65)*100</f>
        <v>-44.14</v>
      </c>
    </row>
    <row r="179" spans="1:15" x14ac:dyDescent="0.25">
      <c r="A179" s="101" t="str">
        <f>'Data shares'!C174</f>
        <v>SAIL</v>
      </c>
      <c r="B179" s="50">
        <f>VLOOKUP($A179,'Data shares'!$C:$FB,7)</f>
        <v>148.44999999999999</v>
      </c>
      <c r="C179" s="50">
        <f>VLOOKUP($A179,'Data shares'!$C:$FB,10)*100</f>
        <v>0.9900000000000001</v>
      </c>
      <c r="D179" s="49">
        <f>VLOOKUP($A179,'Data shares'!$C:$FB,66)</f>
        <v>141648600</v>
      </c>
      <c r="E179" s="49">
        <f>VLOOKUP($A179,'Data shares'!$C:$FB,67)</f>
        <v>504079700</v>
      </c>
      <c r="F179" s="50">
        <f>VLOOKUP($A179,'Data shares'!$C:$FB,69)*100</f>
        <v>-71.899999999999991</v>
      </c>
      <c r="G179" s="49">
        <f>VLOOKUP($A179,'Data shares'!$C:$FB,42)</f>
        <v>32444100</v>
      </c>
      <c r="H179" s="49">
        <f>VLOOKUP($A179,'Data shares'!$C:$FB,43)</f>
        <v>109735600</v>
      </c>
      <c r="I179" s="50">
        <f>VLOOKUP($A179,'Data shares'!$C:$FB,45)*100</f>
        <v>-70.430000000000007</v>
      </c>
      <c r="J179" s="49">
        <f>VLOOKUP($A179,'Data shares'!$C:$FB,58)</f>
        <v>67087800</v>
      </c>
      <c r="K179" s="49">
        <f>VLOOKUP($A179,'Data shares'!$C:$FB,59)</f>
        <v>251431200</v>
      </c>
      <c r="L179" s="50">
        <f>VLOOKUP($A179,'Data shares'!$C:$FB,61)*100</f>
        <v>-73.319999999999993</v>
      </c>
      <c r="M179" s="49">
        <f>VLOOKUP($A179,'Data shares'!$C:$FB,62)</f>
        <v>42116700</v>
      </c>
      <c r="N179" s="49">
        <f>VLOOKUP($A179,'Data shares'!$C:$FB,63)</f>
        <v>142912900</v>
      </c>
      <c r="O179" s="140">
        <f>VLOOKUP($A179,'Data shares'!$C:$FB,65)*100</f>
        <v>-70.53</v>
      </c>
    </row>
    <row r="180" spans="1:15" x14ac:dyDescent="0.25">
      <c r="A180" s="101" t="str">
        <f>'Data shares'!C175</f>
        <v>SAMMAANCAP</v>
      </c>
      <c r="B180" s="50">
        <f>VLOOKUP($A180,'Data shares'!$C:$FB,7)</f>
        <v>144.21</v>
      </c>
      <c r="C180" s="50">
        <f>VLOOKUP($A180,'Data shares'!$C:$FB,10)*100</f>
        <v>-0.98</v>
      </c>
      <c r="D180" s="49">
        <f>VLOOKUP($A180,'Data shares'!$C:$FB,66)</f>
        <v>34292500</v>
      </c>
      <c r="E180" s="49">
        <f>VLOOKUP($A180,'Data shares'!$C:$FB,67)</f>
        <v>168499800</v>
      </c>
      <c r="F180" s="50">
        <f>VLOOKUP($A180,'Data shares'!$C:$FB,69)*100</f>
        <v>-79.650000000000006</v>
      </c>
      <c r="G180" s="49">
        <f>VLOOKUP($A180,'Data shares'!$C:$FB,42)</f>
        <v>8294700</v>
      </c>
      <c r="H180" s="49">
        <f>VLOOKUP($A180,'Data shares'!$C:$FB,43)</f>
        <v>45111300</v>
      </c>
      <c r="I180" s="50">
        <f>VLOOKUP($A180,'Data shares'!$C:$FB,45)*100</f>
        <v>-81.61</v>
      </c>
      <c r="J180" s="49">
        <f>VLOOKUP($A180,'Data shares'!$C:$FB,58)</f>
        <v>13953500</v>
      </c>
      <c r="K180" s="49">
        <f>VLOOKUP($A180,'Data shares'!$C:$FB,59)</f>
        <v>85570000</v>
      </c>
      <c r="L180" s="50">
        <f>VLOOKUP($A180,'Data shares'!$C:$FB,61)*100</f>
        <v>-83.69</v>
      </c>
      <c r="M180" s="49">
        <f>VLOOKUP($A180,'Data shares'!$C:$FB,62)</f>
        <v>12044300</v>
      </c>
      <c r="N180" s="49">
        <f>VLOOKUP($A180,'Data shares'!$C:$FB,63)</f>
        <v>37818500</v>
      </c>
      <c r="O180" s="140">
        <f>VLOOKUP($A180,'Data shares'!$C:$FB,65)*100</f>
        <v>-68.150000000000006</v>
      </c>
    </row>
    <row r="181" spans="1:15" x14ac:dyDescent="0.25">
      <c r="A181" s="101" t="str">
        <f>'Data shares'!C176</f>
        <v>SBICARD</v>
      </c>
      <c r="B181" s="50">
        <f>VLOOKUP($A181,'Data shares'!$C:$FB,7)</f>
        <v>859.5</v>
      </c>
      <c r="C181" s="50">
        <f>VLOOKUP($A181,'Data shares'!$C:$FB,10)*100</f>
        <v>-0.26</v>
      </c>
      <c r="D181" s="49">
        <f>VLOOKUP($A181,'Data shares'!$C:$FB,66)</f>
        <v>5206400</v>
      </c>
      <c r="E181" s="49">
        <f>VLOOKUP($A181,'Data shares'!$C:$FB,67)</f>
        <v>14318400</v>
      </c>
      <c r="F181" s="50">
        <f>VLOOKUP($A181,'Data shares'!$C:$FB,69)*100</f>
        <v>-63.639999999999993</v>
      </c>
      <c r="G181" s="49">
        <f>VLOOKUP($A181,'Data shares'!$C:$FB,42)</f>
        <v>1714400</v>
      </c>
      <c r="H181" s="49">
        <f>VLOOKUP($A181,'Data shares'!$C:$FB,43)</f>
        <v>3983200</v>
      </c>
      <c r="I181" s="50">
        <f>VLOOKUP($A181,'Data shares'!$C:$FB,45)*100</f>
        <v>-56.96</v>
      </c>
      <c r="J181" s="49">
        <f>VLOOKUP($A181,'Data shares'!$C:$FB,58)</f>
        <v>2122400</v>
      </c>
      <c r="K181" s="49">
        <f>VLOOKUP($A181,'Data shares'!$C:$FB,59)</f>
        <v>6726400</v>
      </c>
      <c r="L181" s="50">
        <f>VLOOKUP($A181,'Data shares'!$C:$FB,61)*100</f>
        <v>-68.45</v>
      </c>
      <c r="M181" s="49">
        <f>VLOOKUP($A181,'Data shares'!$C:$FB,62)</f>
        <v>1369600</v>
      </c>
      <c r="N181" s="49">
        <f>VLOOKUP($A181,'Data shares'!$C:$FB,63)</f>
        <v>3608800</v>
      </c>
      <c r="O181" s="140">
        <f>VLOOKUP($A181,'Data shares'!$C:$FB,65)*100</f>
        <v>-62.050000000000004</v>
      </c>
    </row>
    <row r="182" spans="1:15" x14ac:dyDescent="0.25">
      <c r="A182" s="101" t="str">
        <f>'Data shares'!C177</f>
        <v>SBILIFE</v>
      </c>
      <c r="B182" s="50">
        <f>VLOOKUP($A182,'Data shares'!$C:$FB,7)</f>
        <v>2040.4</v>
      </c>
      <c r="C182" s="50">
        <f>VLOOKUP($A182,'Data shares'!$C:$FB,10)*100</f>
        <v>0.27</v>
      </c>
      <c r="D182" s="49">
        <f>VLOOKUP($A182,'Data shares'!$C:$FB,66)</f>
        <v>2350875</v>
      </c>
      <c r="E182" s="49">
        <f>VLOOKUP($A182,'Data shares'!$C:$FB,67)</f>
        <v>5774625</v>
      </c>
      <c r="F182" s="50">
        <f>VLOOKUP($A182,'Data shares'!$C:$FB,69)*100</f>
        <v>-59.29</v>
      </c>
      <c r="G182" s="49">
        <f>VLOOKUP($A182,'Data shares'!$C:$FB,42)</f>
        <v>490125</v>
      </c>
      <c r="H182" s="49">
        <f>VLOOKUP($A182,'Data shares'!$C:$FB,43)</f>
        <v>1018125</v>
      </c>
      <c r="I182" s="50">
        <f>VLOOKUP($A182,'Data shares'!$C:$FB,45)*100</f>
        <v>-51.859999999999992</v>
      </c>
      <c r="J182" s="49">
        <f>VLOOKUP($A182,'Data shares'!$C:$FB,58)</f>
        <v>1191375</v>
      </c>
      <c r="K182" s="49">
        <f>VLOOKUP($A182,'Data shares'!$C:$FB,59)</f>
        <v>3622500</v>
      </c>
      <c r="L182" s="50">
        <f>VLOOKUP($A182,'Data shares'!$C:$FB,61)*100</f>
        <v>-67.11</v>
      </c>
      <c r="M182" s="49">
        <f>VLOOKUP($A182,'Data shares'!$C:$FB,62)</f>
        <v>669375</v>
      </c>
      <c r="N182" s="49">
        <f>VLOOKUP($A182,'Data shares'!$C:$FB,63)</f>
        <v>1134000</v>
      </c>
      <c r="O182" s="140">
        <f>VLOOKUP($A182,'Data shares'!$C:$FB,65)*100</f>
        <v>-40.97</v>
      </c>
    </row>
    <row r="183" spans="1:15" x14ac:dyDescent="0.25">
      <c r="A183" s="101" t="str">
        <f>'Data shares'!C178</f>
        <v>SBIN</v>
      </c>
      <c r="B183" s="50">
        <f>VLOOKUP($A183,'Data shares'!$C:$FB,7)</f>
        <v>984.75</v>
      </c>
      <c r="C183" s="50">
        <f>VLOOKUP($A183,'Data shares'!$C:$FB,10)*100</f>
        <v>0.26</v>
      </c>
      <c r="D183" s="49">
        <f>VLOOKUP($A183,'Data shares'!$C:$FB,66)</f>
        <v>51471000</v>
      </c>
      <c r="E183" s="49">
        <f>VLOOKUP($A183,'Data shares'!$C:$FB,67)</f>
        <v>71644500</v>
      </c>
      <c r="F183" s="50">
        <f>VLOOKUP($A183,'Data shares'!$C:$FB,69)*100</f>
        <v>-28.16</v>
      </c>
      <c r="G183" s="49">
        <f>VLOOKUP($A183,'Data shares'!$C:$FB,42)</f>
        <v>5750250</v>
      </c>
      <c r="H183" s="49">
        <f>VLOOKUP($A183,'Data shares'!$C:$FB,43)</f>
        <v>9342000</v>
      </c>
      <c r="I183" s="50">
        <f>VLOOKUP($A183,'Data shares'!$C:$FB,45)*100</f>
        <v>-38.450000000000003</v>
      </c>
      <c r="J183" s="49">
        <f>VLOOKUP($A183,'Data shares'!$C:$FB,58)</f>
        <v>28752750</v>
      </c>
      <c r="K183" s="49">
        <f>VLOOKUP($A183,'Data shares'!$C:$FB,59)</f>
        <v>37283250</v>
      </c>
      <c r="L183" s="50">
        <f>VLOOKUP($A183,'Data shares'!$C:$FB,61)*100</f>
        <v>-22.88</v>
      </c>
      <c r="M183" s="49">
        <f>VLOOKUP($A183,'Data shares'!$C:$FB,62)</f>
        <v>16968000</v>
      </c>
      <c r="N183" s="49">
        <f>VLOOKUP($A183,'Data shares'!$C:$FB,63)</f>
        <v>25019250</v>
      </c>
      <c r="O183" s="140">
        <f>VLOOKUP($A183,'Data shares'!$C:$FB,65)*100</f>
        <v>-32.18</v>
      </c>
    </row>
    <row r="184" spans="1:15" x14ac:dyDescent="0.25">
      <c r="A184" s="101" t="str">
        <f>'Data shares'!C179</f>
        <v>SHREECEM</v>
      </c>
      <c r="B184" s="50">
        <f>VLOOKUP($A184,'Data shares'!$C:$FB,7)</f>
        <v>26835</v>
      </c>
      <c r="C184" s="50">
        <f>VLOOKUP($A184,'Data shares'!$C:$FB,10)*100</f>
        <v>0.98</v>
      </c>
      <c r="D184" s="49">
        <f>VLOOKUP($A184,'Data shares'!$C:$FB,66)</f>
        <v>103475</v>
      </c>
      <c r="E184" s="49">
        <f>VLOOKUP($A184,'Data shares'!$C:$FB,67)</f>
        <v>74825</v>
      </c>
      <c r="F184" s="50">
        <f>VLOOKUP($A184,'Data shares'!$C:$FB,69)*100</f>
        <v>38.29</v>
      </c>
      <c r="G184" s="49">
        <f>VLOOKUP($A184,'Data shares'!$C:$FB,42)</f>
        <v>28300</v>
      </c>
      <c r="H184" s="49">
        <f>VLOOKUP($A184,'Data shares'!$C:$FB,43)</f>
        <v>36200</v>
      </c>
      <c r="I184" s="50">
        <f>VLOOKUP($A184,'Data shares'!$C:$FB,45)*100</f>
        <v>-21.82</v>
      </c>
      <c r="J184" s="49">
        <f>VLOOKUP($A184,'Data shares'!$C:$FB,58)</f>
        <v>43500</v>
      </c>
      <c r="K184" s="49">
        <f>VLOOKUP($A184,'Data shares'!$C:$FB,59)</f>
        <v>26650</v>
      </c>
      <c r="L184" s="50">
        <f>VLOOKUP($A184,'Data shares'!$C:$FB,61)*100</f>
        <v>63.23</v>
      </c>
      <c r="M184" s="49">
        <f>VLOOKUP($A184,'Data shares'!$C:$FB,62)</f>
        <v>31675</v>
      </c>
      <c r="N184" s="49">
        <f>VLOOKUP($A184,'Data shares'!$C:$FB,63)</f>
        <v>11975</v>
      </c>
      <c r="O184" s="140">
        <f>VLOOKUP($A184,'Data shares'!$C:$FB,65)*100</f>
        <v>164.51</v>
      </c>
    </row>
    <row r="185" spans="1:15" x14ac:dyDescent="0.25">
      <c r="A185" s="101" t="str">
        <f>'Data shares'!C180</f>
        <v>SHRIRAMFIN</v>
      </c>
      <c r="B185" s="50">
        <f>VLOOKUP($A185,'Data shares'!$C:$FB,7)</f>
        <v>1019.7</v>
      </c>
      <c r="C185" s="50">
        <f>VLOOKUP($A185,'Data shares'!$C:$FB,10)*100</f>
        <v>2.36</v>
      </c>
      <c r="D185" s="49">
        <f>VLOOKUP($A185,'Data shares'!$C:$FB,66)</f>
        <v>45926925</v>
      </c>
      <c r="E185" s="49">
        <f>VLOOKUP($A185,'Data shares'!$C:$FB,67)</f>
        <v>55180125</v>
      </c>
      <c r="F185" s="50">
        <f>VLOOKUP($A185,'Data shares'!$C:$FB,69)*100</f>
        <v>-16.77</v>
      </c>
      <c r="G185" s="49">
        <f>VLOOKUP($A185,'Data shares'!$C:$FB,42)</f>
        <v>6416025</v>
      </c>
      <c r="H185" s="49">
        <f>VLOOKUP($A185,'Data shares'!$C:$FB,43)</f>
        <v>10795125</v>
      </c>
      <c r="I185" s="50">
        <f>VLOOKUP($A185,'Data shares'!$C:$FB,45)*100</f>
        <v>-40.57</v>
      </c>
      <c r="J185" s="49">
        <f>VLOOKUP($A185,'Data shares'!$C:$FB,58)</f>
        <v>26079900</v>
      </c>
      <c r="K185" s="49">
        <f>VLOOKUP($A185,'Data shares'!$C:$FB,59)</f>
        <v>29872425</v>
      </c>
      <c r="L185" s="50">
        <f>VLOOKUP($A185,'Data shares'!$C:$FB,61)*100</f>
        <v>-12.7</v>
      </c>
      <c r="M185" s="49">
        <f>VLOOKUP($A185,'Data shares'!$C:$FB,62)</f>
        <v>13431000</v>
      </c>
      <c r="N185" s="49">
        <f>VLOOKUP($A185,'Data shares'!$C:$FB,63)</f>
        <v>14512575</v>
      </c>
      <c r="O185" s="140">
        <f>VLOOKUP($A185,'Data shares'!$C:$FB,65)*100</f>
        <v>-7.4499999999999993</v>
      </c>
    </row>
    <row r="186" spans="1:15" x14ac:dyDescent="0.25">
      <c r="A186" s="101" t="str">
        <f>'Data shares'!C181</f>
        <v>SIEMENS</v>
      </c>
      <c r="B186" s="50">
        <f>VLOOKUP($A186,'Data shares'!$C:$FB,7)</f>
        <v>3091.3</v>
      </c>
      <c r="C186" s="50">
        <f>VLOOKUP($A186,'Data shares'!$C:$FB,10)*100</f>
        <v>0.91</v>
      </c>
      <c r="D186" s="49">
        <f>VLOOKUP($A186,'Data shares'!$C:$FB,66)</f>
        <v>1261925</v>
      </c>
      <c r="E186" s="49">
        <f>VLOOKUP($A186,'Data shares'!$C:$FB,67)</f>
        <v>2646000</v>
      </c>
      <c r="F186" s="50">
        <f>VLOOKUP($A186,'Data shares'!$C:$FB,69)*100</f>
        <v>-52.31</v>
      </c>
      <c r="G186" s="49">
        <f>VLOOKUP($A186,'Data shares'!$C:$FB,42)</f>
        <v>217175</v>
      </c>
      <c r="H186" s="49">
        <f>VLOOKUP($A186,'Data shares'!$C:$FB,43)</f>
        <v>320775</v>
      </c>
      <c r="I186" s="50">
        <f>VLOOKUP($A186,'Data shares'!$C:$FB,45)*100</f>
        <v>-32.300000000000004</v>
      </c>
      <c r="J186" s="49">
        <f>VLOOKUP($A186,'Data shares'!$C:$FB,58)</f>
        <v>757225</v>
      </c>
      <c r="K186" s="49">
        <f>VLOOKUP($A186,'Data shares'!$C:$FB,59)</f>
        <v>1726025</v>
      </c>
      <c r="L186" s="50">
        <f>VLOOKUP($A186,'Data shares'!$C:$FB,61)*100</f>
        <v>-56.13</v>
      </c>
      <c r="M186" s="49">
        <f>VLOOKUP($A186,'Data shares'!$C:$FB,62)</f>
        <v>287525</v>
      </c>
      <c r="N186" s="49">
        <f>VLOOKUP($A186,'Data shares'!$C:$FB,63)</f>
        <v>599200</v>
      </c>
      <c r="O186" s="140">
        <f>VLOOKUP($A186,'Data shares'!$C:$FB,65)*100</f>
        <v>-52.019999999999996</v>
      </c>
    </row>
    <row r="187" spans="1:15" x14ac:dyDescent="0.25">
      <c r="A187" s="101" t="str">
        <f>'Data shares'!C182</f>
        <v>SOLARINDS</v>
      </c>
      <c r="B187" s="50">
        <f>VLOOKUP($A187,'Data shares'!$C:$FB,7)</f>
        <v>12166</v>
      </c>
      <c r="C187" s="50">
        <f>VLOOKUP($A187,'Data shares'!$C:$FB,10)*100</f>
        <v>-0.70000000000000007</v>
      </c>
      <c r="D187" s="49">
        <f>VLOOKUP($A187,'Data shares'!$C:$FB,66)</f>
        <v>529300</v>
      </c>
      <c r="E187" s="49">
        <f>VLOOKUP($A187,'Data shares'!$C:$FB,67)</f>
        <v>1176000</v>
      </c>
      <c r="F187" s="50">
        <f>VLOOKUP($A187,'Data shares'!$C:$FB,69)*100</f>
        <v>-54.990000000000009</v>
      </c>
      <c r="G187" s="49">
        <f>VLOOKUP($A187,'Data shares'!$C:$FB,42)</f>
        <v>64650</v>
      </c>
      <c r="H187" s="49">
        <f>VLOOKUP($A187,'Data shares'!$C:$FB,43)</f>
        <v>172000</v>
      </c>
      <c r="I187" s="50">
        <f>VLOOKUP($A187,'Data shares'!$C:$FB,45)*100</f>
        <v>-62.41</v>
      </c>
      <c r="J187" s="49">
        <f>VLOOKUP($A187,'Data shares'!$C:$FB,58)</f>
        <v>307750</v>
      </c>
      <c r="K187" s="49">
        <f>VLOOKUP($A187,'Data shares'!$C:$FB,59)</f>
        <v>775350</v>
      </c>
      <c r="L187" s="50">
        <f>VLOOKUP($A187,'Data shares'!$C:$FB,61)*100</f>
        <v>-60.309999999999995</v>
      </c>
      <c r="M187" s="49">
        <f>VLOOKUP($A187,'Data shares'!$C:$FB,62)</f>
        <v>156900</v>
      </c>
      <c r="N187" s="49">
        <f>VLOOKUP($A187,'Data shares'!$C:$FB,63)</f>
        <v>228650</v>
      </c>
      <c r="O187" s="140">
        <f>VLOOKUP($A187,'Data shares'!$C:$FB,65)*100</f>
        <v>-31.380000000000003</v>
      </c>
    </row>
    <row r="188" spans="1:15" x14ac:dyDescent="0.25">
      <c r="A188" s="101" t="str">
        <f>'Data shares'!C183</f>
        <v>SONACOMS</v>
      </c>
      <c r="B188" s="50">
        <f>VLOOKUP($A188,'Data shares'!$C:$FB,7)</f>
        <v>474.3</v>
      </c>
      <c r="C188" s="50">
        <f>VLOOKUP($A188,'Data shares'!$C:$FB,10)*100</f>
        <v>-1.06</v>
      </c>
      <c r="D188" s="49">
        <f>VLOOKUP($A188,'Data shares'!$C:$FB,66)</f>
        <v>2005325</v>
      </c>
      <c r="E188" s="49">
        <f>VLOOKUP($A188,'Data shares'!$C:$FB,67)</f>
        <v>3123750</v>
      </c>
      <c r="F188" s="50">
        <f>VLOOKUP($A188,'Data shares'!$C:$FB,69)*100</f>
        <v>-35.799999999999997</v>
      </c>
      <c r="G188" s="49">
        <f>VLOOKUP($A188,'Data shares'!$C:$FB,42)</f>
        <v>785225</v>
      </c>
      <c r="H188" s="49">
        <f>VLOOKUP($A188,'Data shares'!$C:$FB,43)</f>
        <v>1296050</v>
      </c>
      <c r="I188" s="50">
        <f>VLOOKUP($A188,'Data shares'!$C:$FB,45)*100</f>
        <v>-39.410000000000004</v>
      </c>
      <c r="J188" s="49">
        <f>VLOOKUP($A188,'Data shares'!$C:$FB,58)</f>
        <v>900375</v>
      </c>
      <c r="K188" s="49">
        <f>VLOOKUP($A188,'Data shares'!$C:$FB,59)</f>
        <v>1232350</v>
      </c>
      <c r="L188" s="50">
        <f>VLOOKUP($A188,'Data shares'!$C:$FB,61)*100</f>
        <v>-26.939999999999998</v>
      </c>
      <c r="M188" s="49">
        <f>VLOOKUP($A188,'Data shares'!$C:$FB,62)</f>
        <v>319725</v>
      </c>
      <c r="N188" s="49">
        <f>VLOOKUP($A188,'Data shares'!$C:$FB,63)</f>
        <v>595350</v>
      </c>
      <c r="O188" s="140">
        <f>VLOOKUP($A188,'Data shares'!$C:$FB,65)*100</f>
        <v>-46.300000000000004</v>
      </c>
    </row>
    <row r="189" spans="1:15" x14ac:dyDescent="0.25">
      <c r="A189" s="101" t="str">
        <f>'Data shares'!C215</f>
        <v>ZYDUSLIFE</v>
      </c>
      <c r="B189" s="50">
        <f>VLOOKUP($A189,'Data shares'!$C:$FB,7)</f>
        <v>915.05</v>
      </c>
      <c r="C189" s="50">
        <f>VLOOKUP($A189,'Data shares'!$C:$FB,10)*100</f>
        <v>0.08</v>
      </c>
      <c r="D189" s="49">
        <f>VLOOKUP($A189,'Data shares'!$C:$FB,66)</f>
        <v>2878200</v>
      </c>
      <c r="E189" s="49">
        <f>VLOOKUP($A189,'Data shares'!$C:$FB,67)</f>
        <v>4176000</v>
      </c>
      <c r="F189" s="50">
        <f>VLOOKUP($A189,'Data shares'!$C:$FB,69)*100</f>
        <v>-31.080000000000002</v>
      </c>
      <c r="G189" s="49">
        <f>VLOOKUP($A189,'Data shares'!$C:$FB,42)</f>
        <v>659700</v>
      </c>
      <c r="H189" s="49">
        <f>VLOOKUP($A189,'Data shares'!$C:$FB,43)</f>
        <v>1138500</v>
      </c>
      <c r="I189" s="50">
        <f>VLOOKUP($A189,'Data shares'!$C:$FB,45)*100</f>
        <v>-42.059999999999995</v>
      </c>
      <c r="J189" s="49">
        <f>VLOOKUP($A189,'Data shares'!$C:$FB,58)</f>
        <v>1416600</v>
      </c>
      <c r="K189" s="49">
        <f>VLOOKUP($A189,'Data shares'!$C:$FB,59)</f>
        <v>1891800</v>
      </c>
      <c r="L189" s="50">
        <f>VLOOKUP($A189,'Data shares'!$C:$FB,61)*100</f>
        <v>-25.119999999999997</v>
      </c>
      <c r="M189" s="49">
        <f>VLOOKUP($A189,'Data shares'!$C:$FB,62)</f>
        <v>801900</v>
      </c>
      <c r="N189" s="49">
        <f>VLOOKUP($A189,'Data shares'!$C:$FB,63)</f>
        <v>1145700</v>
      </c>
      <c r="O189" s="140">
        <f>VLOOKUP($A189,'Data shares'!$C:$FB,65)*100</f>
        <v>-30.009999999999998</v>
      </c>
    </row>
    <row r="190" spans="1:15" x14ac:dyDescent="0.25">
      <c r="A190" s="101"/>
      <c r="B190" s="50"/>
      <c r="C190" s="50"/>
      <c r="D190" s="49"/>
      <c r="E190" s="49"/>
      <c r="F190" s="50"/>
      <c r="G190" s="49"/>
      <c r="H190" s="49"/>
      <c r="I190" s="50"/>
      <c r="J190" s="49"/>
      <c r="K190" s="49"/>
      <c r="L190" s="50"/>
      <c r="M190" s="49"/>
      <c r="N190" s="49"/>
      <c r="O190" s="140"/>
    </row>
    <row r="191" spans="1:15" x14ac:dyDescent="0.25">
      <c r="A191" s="101"/>
      <c r="B191" s="50"/>
      <c r="C191" s="50"/>
      <c r="D191" s="49"/>
      <c r="E191" s="49"/>
      <c r="F191" s="50"/>
      <c r="G191" s="49"/>
      <c r="H191" s="49"/>
      <c r="I191" s="50"/>
      <c r="J191" s="49"/>
      <c r="K191" s="49"/>
      <c r="L191" s="50"/>
      <c r="M191" s="49"/>
      <c r="N191" s="49"/>
      <c r="O191" s="140"/>
    </row>
    <row r="192" spans="1:15" x14ac:dyDescent="0.25">
      <c r="A192" s="101"/>
      <c r="B192" s="50"/>
      <c r="C192" s="50"/>
      <c r="D192" s="49"/>
      <c r="E192" s="49"/>
      <c r="F192" s="50"/>
      <c r="G192" s="49"/>
      <c r="H192" s="49"/>
      <c r="I192" s="50"/>
      <c r="J192" s="49"/>
      <c r="K192" s="49"/>
      <c r="L192" s="50"/>
      <c r="M192" s="49"/>
      <c r="N192" s="49"/>
      <c r="O192" s="140"/>
    </row>
    <row r="193" spans="1:15" x14ac:dyDescent="0.25">
      <c r="A193" s="101"/>
      <c r="B193" s="50"/>
      <c r="C193" s="50"/>
      <c r="D193" s="49"/>
      <c r="E193" s="49"/>
      <c r="F193" s="50"/>
      <c r="G193" s="49"/>
      <c r="H193" s="49"/>
      <c r="I193" s="50"/>
      <c r="J193" s="49"/>
      <c r="K193" s="49"/>
      <c r="L193" s="50"/>
      <c r="M193" s="49"/>
      <c r="N193" s="49"/>
      <c r="O193" s="140"/>
    </row>
    <row r="194" spans="1:15" x14ac:dyDescent="0.25">
      <c r="A194" s="101"/>
      <c r="B194" s="50"/>
      <c r="C194" s="50"/>
      <c r="D194" s="49"/>
      <c r="E194" s="49"/>
      <c r="F194" s="50"/>
      <c r="G194" s="49"/>
      <c r="H194" s="49"/>
      <c r="I194" s="50"/>
      <c r="J194" s="49"/>
      <c r="K194" s="49"/>
      <c r="L194" s="50"/>
      <c r="M194" s="49"/>
      <c r="N194" s="49"/>
      <c r="O194" s="140"/>
    </row>
    <row r="195" spans="1:15" x14ac:dyDescent="0.25">
      <c r="A195" s="101"/>
      <c r="B195" s="50"/>
      <c r="C195" s="50"/>
      <c r="D195" s="49"/>
      <c r="E195" s="49"/>
      <c r="F195" s="50"/>
      <c r="G195" s="49"/>
      <c r="H195" s="49"/>
      <c r="I195" s="50"/>
      <c r="J195" s="49"/>
      <c r="K195" s="49"/>
      <c r="L195" s="50"/>
      <c r="M195" s="49"/>
      <c r="N195" s="49"/>
      <c r="O195" s="140"/>
    </row>
    <row r="196" spans="1:15" x14ac:dyDescent="0.25">
      <c r="A196" s="101"/>
      <c r="B196" s="50"/>
      <c r="C196" s="50"/>
      <c r="D196" s="49"/>
      <c r="E196" s="49"/>
      <c r="F196" s="50"/>
      <c r="G196" s="49"/>
      <c r="H196" s="49"/>
      <c r="I196" s="50"/>
      <c r="J196" s="49"/>
      <c r="K196" s="49"/>
      <c r="L196" s="50"/>
      <c r="M196" s="49"/>
      <c r="N196" s="49"/>
      <c r="O196" s="140"/>
    </row>
    <row r="197" spans="1:15" x14ac:dyDescent="0.25">
      <c r="A197" s="101"/>
      <c r="B197" s="50"/>
      <c r="C197" s="50"/>
      <c r="D197" s="49"/>
      <c r="E197" s="49"/>
      <c r="F197" s="50"/>
      <c r="G197" s="49"/>
      <c r="H197" s="49"/>
      <c r="I197" s="50"/>
      <c r="J197" s="49"/>
      <c r="K197" s="49"/>
      <c r="L197" s="50"/>
      <c r="M197" s="49"/>
      <c r="N197" s="49"/>
      <c r="O197" s="140"/>
    </row>
    <row r="198" spans="1:15" x14ac:dyDescent="0.25">
      <c r="A198" s="101"/>
      <c r="B198" s="50"/>
      <c r="C198" s="50"/>
      <c r="D198" s="49"/>
      <c r="E198" s="49"/>
      <c r="F198" s="50"/>
      <c r="G198" s="49"/>
      <c r="H198" s="49"/>
      <c r="I198" s="50"/>
      <c r="J198" s="49"/>
      <c r="K198" s="49"/>
      <c r="L198" s="50"/>
      <c r="M198" s="49"/>
      <c r="N198" s="49"/>
      <c r="O198" s="140"/>
    </row>
    <row r="199" spans="1:15" x14ac:dyDescent="0.25">
      <c r="A199" s="101"/>
      <c r="B199" s="50"/>
      <c r="C199" s="50"/>
      <c r="D199" s="49"/>
      <c r="E199" s="49"/>
      <c r="F199" s="50"/>
      <c r="G199" s="49"/>
      <c r="H199" s="49"/>
      <c r="I199" s="50"/>
      <c r="J199" s="49"/>
      <c r="K199" s="49"/>
      <c r="L199" s="50"/>
      <c r="M199" s="49"/>
      <c r="N199" s="49"/>
      <c r="O199" s="140"/>
    </row>
    <row r="200" spans="1:15" x14ac:dyDescent="0.25">
      <c r="A200" s="101"/>
      <c r="B200" s="50"/>
      <c r="C200" s="50"/>
      <c r="D200" s="49"/>
      <c r="E200" s="49"/>
      <c r="F200" s="50"/>
      <c r="G200" s="49"/>
      <c r="H200" s="49"/>
      <c r="I200" s="50"/>
      <c r="J200" s="49"/>
      <c r="K200" s="49"/>
      <c r="L200" s="50"/>
      <c r="M200" s="49"/>
      <c r="N200" s="49"/>
      <c r="O200" s="140"/>
    </row>
    <row r="201" spans="1:15" x14ac:dyDescent="0.25">
      <c r="A201" s="101"/>
      <c r="B201" s="50"/>
      <c r="C201" s="50"/>
      <c r="D201" s="49"/>
      <c r="E201" s="49"/>
      <c r="F201" s="50"/>
      <c r="G201" s="49"/>
      <c r="H201" s="49"/>
      <c r="I201" s="50"/>
      <c r="J201" s="49"/>
      <c r="K201" s="49"/>
      <c r="L201" s="50"/>
      <c r="M201" s="49"/>
      <c r="N201" s="49"/>
      <c r="O201" s="140"/>
    </row>
    <row r="202" spans="1:15" x14ac:dyDescent="0.25">
      <c r="A202" s="101"/>
      <c r="B202" s="50"/>
      <c r="C202" s="50"/>
      <c r="D202" s="49"/>
      <c r="E202" s="49"/>
      <c r="F202" s="50"/>
      <c r="G202" s="49"/>
      <c r="H202" s="49"/>
      <c r="I202" s="50"/>
      <c r="J202" s="49"/>
      <c r="K202" s="49"/>
      <c r="L202" s="50"/>
      <c r="M202" s="49"/>
      <c r="N202" s="49"/>
      <c r="O202" s="140"/>
    </row>
    <row r="203" spans="1:15" x14ac:dyDescent="0.25">
      <c r="A203" s="101"/>
      <c r="B203" s="50"/>
      <c r="C203" s="50"/>
      <c r="D203" s="49"/>
      <c r="E203" s="49"/>
      <c r="F203" s="50"/>
      <c r="G203" s="49"/>
      <c r="H203" s="49"/>
      <c r="I203" s="50"/>
      <c r="J203" s="49"/>
      <c r="K203" s="49"/>
      <c r="L203" s="50"/>
      <c r="M203" s="49"/>
      <c r="N203" s="49"/>
      <c r="O203" s="140"/>
    </row>
    <row r="204" spans="1:15" x14ac:dyDescent="0.25">
      <c r="A204" s="101"/>
      <c r="B204" s="50"/>
      <c r="C204" s="50"/>
      <c r="D204" s="49"/>
      <c r="E204" s="49"/>
      <c r="F204" s="50"/>
      <c r="G204" s="49"/>
      <c r="H204" s="49"/>
      <c r="I204" s="50"/>
      <c r="J204" s="49"/>
      <c r="K204" s="49"/>
      <c r="L204" s="50"/>
      <c r="M204" s="49"/>
      <c r="N204" s="49"/>
      <c r="O204" s="140"/>
    </row>
    <row r="205" spans="1:15" x14ac:dyDescent="0.25">
      <c r="A205" s="101"/>
      <c r="B205" s="50"/>
      <c r="C205" s="50"/>
      <c r="D205" s="49"/>
      <c r="E205" s="49"/>
      <c r="F205" s="50"/>
      <c r="G205" s="49"/>
      <c r="H205" s="49"/>
      <c r="I205" s="50"/>
      <c r="J205" s="49"/>
      <c r="K205" s="49"/>
      <c r="L205" s="50"/>
      <c r="M205" s="49"/>
      <c r="N205" s="49"/>
      <c r="O205" s="140"/>
    </row>
    <row r="206" spans="1:15" x14ac:dyDescent="0.25">
      <c r="A206" s="101"/>
      <c r="B206" s="50"/>
      <c r="C206" s="50"/>
      <c r="D206" s="49"/>
      <c r="E206" s="49"/>
      <c r="F206" s="50"/>
      <c r="G206" s="49"/>
      <c r="H206" s="49"/>
      <c r="I206" s="50"/>
      <c r="J206" s="49"/>
      <c r="K206" s="49"/>
      <c r="L206" s="50"/>
      <c r="M206" s="49"/>
      <c r="N206" s="49"/>
      <c r="O206" s="140"/>
    </row>
    <row r="207" spans="1:15" x14ac:dyDescent="0.25">
      <c r="A207" s="101"/>
      <c r="B207" s="17"/>
      <c r="C207" s="17"/>
      <c r="D207" s="17"/>
      <c r="E207" s="17"/>
      <c r="F207" s="17"/>
      <c r="G207" s="17"/>
      <c r="H207" s="17"/>
      <c r="I207" s="17"/>
      <c r="J207" s="17"/>
      <c r="K207" s="17"/>
      <c r="L207" s="17"/>
      <c r="M207" s="17"/>
      <c r="N207" s="17"/>
      <c r="O207" s="17"/>
    </row>
    <row r="208" spans="1:15" x14ac:dyDescent="0.25">
      <c r="A208" s="102"/>
      <c r="B208" s="17"/>
      <c r="C208" s="17"/>
      <c r="D208" s="17"/>
      <c r="E208" s="17"/>
      <c r="F208" s="17"/>
      <c r="G208" s="17"/>
      <c r="H208" s="17"/>
      <c r="I208" s="17"/>
      <c r="J208" s="17"/>
      <c r="K208" s="17"/>
      <c r="L208" s="17"/>
      <c r="M208" s="17"/>
      <c r="N208" s="17"/>
      <c r="O208" s="17"/>
    </row>
    <row r="209" spans="1:15" x14ac:dyDescent="0.25">
      <c r="A209" s="133" t="s">
        <v>391</v>
      </c>
      <c r="B209" s="133"/>
      <c r="C209" s="133"/>
      <c r="D209" s="133">
        <f>SUM(D7:D172)</f>
        <v>14123668452</v>
      </c>
      <c r="E209" s="133">
        <f>SUM(E7:E172)</f>
        <v>18986291865</v>
      </c>
      <c r="F209" s="134">
        <f>(D209-E209)/E209</f>
        <v>-0.25611232817735891</v>
      </c>
      <c r="G209" s="133">
        <f>SUM(G7:G172)</f>
        <v>2377920663</v>
      </c>
      <c r="H209" s="133">
        <f>SUM(H7:H172)</f>
        <v>4114421059</v>
      </c>
      <c r="I209" s="134">
        <f>(G209-H209)/H209</f>
        <v>-0.42205218452339249</v>
      </c>
      <c r="J209" s="133">
        <f>SUM(J7:J172)</f>
        <v>7228823728</v>
      </c>
      <c r="K209" s="133">
        <f>SUM(K7:K172)</f>
        <v>9321126137</v>
      </c>
      <c r="L209" s="134">
        <f>(J209-K209)/K209</f>
        <v>-0.22446884402675904</v>
      </c>
      <c r="M209" s="133">
        <f>SUM(M7:M172)</f>
        <v>4516924061</v>
      </c>
      <c r="N209" s="133">
        <f>SUM(N7:N172)</f>
        <v>5550744669</v>
      </c>
      <c r="O209" s="134">
        <f>(M209-N209)/N209</f>
        <v>-0.18624899354022151</v>
      </c>
    </row>
    <row r="210" spans="1:15" x14ac:dyDescent="0.25">
      <c r="A210" s="133" t="s">
        <v>398</v>
      </c>
      <c r="B210" s="133"/>
      <c r="C210" s="133"/>
      <c r="D210" s="133">
        <f>D209/10000000</f>
        <v>1412.3668451999999</v>
      </c>
      <c r="E210" s="133">
        <f>E209/10000000</f>
        <v>1898.6291865000001</v>
      </c>
      <c r="F210" s="134">
        <f>(D210-E210)/E210</f>
        <v>-0.25611232817735896</v>
      </c>
      <c r="G210" s="133">
        <f>G209/10000000</f>
        <v>237.79206629999999</v>
      </c>
      <c r="H210" s="133">
        <f>H209/10000000</f>
        <v>411.4421059</v>
      </c>
      <c r="I210" s="134">
        <f>(G210-H210)/H210</f>
        <v>-0.42205218452339255</v>
      </c>
      <c r="J210" s="133">
        <f>J209/10000000</f>
        <v>722.88237279999998</v>
      </c>
      <c r="K210" s="133">
        <f>K209/10000000</f>
        <v>932.1126137</v>
      </c>
      <c r="L210" s="134">
        <f>(J210-K210)/K210</f>
        <v>-0.22446884402675904</v>
      </c>
      <c r="M210" s="133">
        <f>M209/10000000</f>
        <v>451.69240610000003</v>
      </c>
      <c r="N210" s="133">
        <f>N209/10000000</f>
        <v>555.07446689999995</v>
      </c>
      <c r="O210" s="134">
        <f>(M210-N210)/N210</f>
        <v>-0.1862489935402214</v>
      </c>
    </row>
    <row r="211" spans="1:15" x14ac:dyDescent="0.25">
      <c r="A211" s="17"/>
      <c r="B211" s="17"/>
      <c r="C211" s="17"/>
      <c r="D211" s="17"/>
      <c r="E211" s="17"/>
      <c r="F211" s="17"/>
      <c r="G211" s="17"/>
      <c r="H211" s="17"/>
      <c r="I211" s="17"/>
      <c r="J211" s="17"/>
      <c r="K211" s="17"/>
      <c r="L211" s="17"/>
      <c r="M211" s="17"/>
      <c r="N211" s="17"/>
      <c r="O211"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3"/>
  <sheetViews>
    <sheetView workbookViewId="0">
      <pane ySplit="6" topLeftCell="A128" activePane="bottomLeft" state="frozen"/>
      <selection pane="bottomLeft" activeCell="A149" sqref="A149"/>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6" t="s">
        <v>311</v>
      </c>
      <c r="B3" s="307"/>
      <c r="C3" s="307"/>
      <c r="D3" s="307"/>
      <c r="E3" s="307"/>
      <c r="F3" s="307"/>
      <c r="G3" s="307"/>
      <c r="H3" s="307"/>
      <c r="I3" s="307"/>
      <c r="J3" s="307"/>
      <c r="K3" s="307"/>
      <c r="L3" s="266"/>
      <c r="M3" s="266"/>
      <c r="N3" s="266"/>
      <c r="O3" s="308"/>
    </row>
    <row r="4" spans="1:19" s="104" customFormat="1" x14ac:dyDescent="0.25">
      <c r="A4" s="285" t="s">
        <v>330</v>
      </c>
      <c r="B4" s="285" t="s">
        <v>311</v>
      </c>
      <c r="C4" s="285"/>
      <c r="D4" s="285"/>
      <c r="E4" s="285"/>
      <c r="F4" s="285"/>
      <c r="G4" s="285"/>
      <c r="H4" s="285" t="s">
        <v>365</v>
      </c>
      <c r="I4" s="285"/>
      <c r="J4" s="285"/>
      <c r="K4" s="285"/>
      <c r="L4" s="285" t="s">
        <v>309</v>
      </c>
      <c r="M4" s="285"/>
      <c r="N4" s="285"/>
      <c r="O4" s="285"/>
    </row>
    <row r="5" spans="1:19" s="104" customFormat="1" x14ac:dyDescent="0.25">
      <c r="A5" s="304"/>
      <c r="B5" s="304" t="s">
        <v>316</v>
      </c>
      <c r="C5" s="304"/>
      <c r="D5" s="304"/>
      <c r="E5" s="304" t="s">
        <v>317</v>
      </c>
      <c r="F5" s="304"/>
      <c r="G5" s="304"/>
      <c r="H5" s="304" t="s">
        <v>336</v>
      </c>
      <c r="I5" s="304"/>
      <c r="J5" s="304" t="s">
        <v>342</v>
      </c>
      <c r="K5" s="304"/>
      <c r="L5" s="304" t="s">
        <v>336</v>
      </c>
      <c r="M5" s="304"/>
      <c r="N5" s="304" t="s">
        <v>342</v>
      </c>
      <c r="O5" s="305"/>
    </row>
    <row r="6" spans="1:19" s="104" customFormat="1" x14ac:dyDescent="0.25">
      <c r="A6" s="76" t="s">
        <v>318</v>
      </c>
      <c r="B6" s="3">
        <f>'Total Valume'!B6</f>
        <v>46023</v>
      </c>
      <c r="C6" s="76" t="s">
        <v>322</v>
      </c>
      <c r="D6" s="76" t="s">
        <v>328</v>
      </c>
      <c r="E6" s="3">
        <f>B6</f>
        <v>46023</v>
      </c>
      <c r="F6" s="76" t="s">
        <v>322</v>
      </c>
      <c r="G6" s="76" t="s">
        <v>328</v>
      </c>
      <c r="H6" s="3">
        <f>E6</f>
        <v>46023</v>
      </c>
      <c r="I6" s="76" t="s">
        <v>333</v>
      </c>
      <c r="J6" s="3">
        <f>E6</f>
        <v>46023</v>
      </c>
      <c r="K6" s="76" t="s">
        <v>333</v>
      </c>
      <c r="L6" s="3">
        <f>E6</f>
        <v>46023</v>
      </c>
      <c r="M6" s="76" t="s">
        <v>333</v>
      </c>
      <c r="N6" s="3">
        <f>E6</f>
        <v>46023</v>
      </c>
      <c r="O6" s="76" t="s">
        <v>333</v>
      </c>
    </row>
    <row r="7" spans="1:19" x14ac:dyDescent="0.25">
      <c r="A7" s="105" t="str">
        <f>'Data shares'!C2</f>
        <v>360ONE</v>
      </c>
      <c r="B7" s="143">
        <f>VLOOKUP($A7,'Data shares'!$C:$FA,118)</f>
        <v>0.41</v>
      </c>
      <c r="C7" s="143">
        <f>VLOOKUP($A7,'Data shares'!$C:$FA,119)</f>
        <v>0.42</v>
      </c>
      <c r="D7" s="143">
        <f>VLOOKUP($A7,'Data shares'!$C:$FA,121)*100</f>
        <v>-2.3800000000000003</v>
      </c>
      <c r="E7" s="143">
        <f>VLOOKUP($A7,'Data shares'!$C:$FA,124)</f>
        <v>0.17</v>
      </c>
      <c r="F7" s="143">
        <f>VLOOKUP($A7,'Data shares'!$C:$FA,125)</f>
        <v>0.15</v>
      </c>
      <c r="G7" s="143">
        <f>VLOOKUP($A7,'Data shares'!$C:$FA,127)*100</f>
        <v>13.33</v>
      </c>
      <c r="H7" s="103">
        <f>VLOOKUP($A7,'OI(Volume)'!$A$7:$O$427,8)</f>
        <v>451000</v>
      </c>
      <c r="I7" s="103">
        <f>VLOOKUP($A7,'OI(Volume)'!$A$7:$O$427,9)</f>
        <v>27000</v>
      </c>
      <c r="J7" s="103">
        <f>VLOOKUP($A7,'OI(Volume)'!$A$7:$O$427,11)</f>
        <v>185500</v>
      </c>
      <c r="K7" s="103">
        <f>VLOOKUP($A7,'OI(Volume)'!$A$7:$O$427,12)</f>
        <v>5500</v>
      </c>
      <c r="L7" s="103">
        <f>VLOOKUP($A7,'OI(Value)'!$A$7:$O$306,8,0)</f>
        <v>53</v>
      </c>
      <c r="M7" s="103">
        <f>VLOOKUP($A7,'OI(Value)'!$A$7:$O$306,9,0)</f>
        <v>3</v>
      </c>
      <c r="N7" s="103">
        <f>VLOOKUP($A7,'OI(Value)'!$A$7:$O$306,11,0)</f>
        <v>22</v>
      </c>
      <c r="O7" s="103">
        <f>VLOOKUP($A7,'OI(Value)'!$A$7:$O$306,12,0)</f>
        <v>1</v>
      </c>
      <c r="P7" s="179">
        <f>VLOOKUP(A7,'OI(Value)'!A7:O182,8,0)</f>
        <v>53</v>
      </c>
      <c r="Q7" s="179">
        <f>VLOOKUP(A7,'OI(Value)'!A7:O182,9,0)</f>
        <v>3</v>
      </c>
      <c r="R7" s="179">
        <f>VLOOKUP(A7,'OI(Value)'!A7:O182,11,0)</f>
        <v>22</v>
      </c>
      <c r="S7" s="179">
        <f>VLOOKUP(A7,'OI(Value)'!A7:O182,12,0)</f>
        <v>1</v>
      </c>
    </row>
    <row r="8" spans="1:19" x14ac:dyDescent="0.25">
      <c r="A8" s="105" t="str">
        <f>'Data shares'!C3</f>
        <v>ABB</v>
      </c>
      <c r="B8" s="143">
        <f>VLOOKUP($A8,'Data shares'!$C:$FA,118)</f>
        <v>1.06</v>
      </c>
      <c r="C8" s="143">
        <f>VLOOKUP($A8,'Data shares'!$C:$FA,119)</f>
        <v>1.0900000000000001</v>
      </c>
      <c r="D8" s="143">
        <f>VLOOKUP($A8,'Data shares'!$C:$FA,121)*100</f>
        <v>-2.75</v>
      </c>
      <c r="E8" s="143">
        <f>VLOOKUP($A8,'Data shares'!$C:$FA,124)</f>
        <v>0.35</v>
      </c>
      <c r="F8" s="143">
        <f>VLOOKUP($A8,'Data shares'!$C:$FA,125)</f>
        <v>0.54</v>
      </c>
      <c r="G8" s="143">
        <f>VLOOKUP($A8,'Data shares'!$C:$FA,127)*100</f>
        <v>-35.19</v>
      </c>
      <c r="H8" s="103">
        <f>VLOOKUP($A8,'OI(Volume)'!$A$7:$O$427,8)</f>
        <v>390625</v>
      </c>
      <c r="I8" s="103">
        <f>VLOOKUP($A8,'OI(Volume)'!$A$7:$O$427,9)</f>
        <v>30375</v>
      </c>
      <c r="J8" s="103">
        <f>VLOOKUP($A8,'OI(Volume)'!$A$7:$O$427,11)</f>
        <v>415250</v>
      </c>
      <c r="K8" s="103">
        <f>VLOOKUP($A8,'OI(Volume)'!$A$7:$O$427,12)</f>
        <v>24125</v>
      </c>
      <c r="L8" s="103">
        <f>VLOOKUP($A8,'OI(Value)'!$A$7:$O$306,8,0)</f>
        <v>203</v>
      </c>
      <c r="M8" s="103">
        <f>VLOOKUP($A8,'OI(Value)'!$A$7:$O$306,9,0)</f>
        <v>16</v>
      </c>
      <c r="N8" s="103">
        <f>VLOOKUP($A8,'OI(Value)'!$A$7:$O$306,11,0)</f>
        <v>216</v>
      </c>
      <c r="O8" s="103">
        <f>VLOOKUP($A8,'OI(Value)'!$A$7:$O$306,12,0)</f>
        <v>13</v>
      </c>
      <c r="P8" s="179">
        <f>VLOOKUP(A8,'OI(Value)'!A8:O209,8,0)</f>
        <v>203</v>
      </c>
      <c r="Q8" s="179">
        <f>VLOOKUP(A8,'OI(Value)'!A8:O209,9,0)</f>
        <v>16</v>
      </c>
      <c r="R8" s="179">
        <f>VLOOKUP(A8,'OI(Value)'!A8:O209,11,0)</f>
        <v>216</v>
      </c>
      <c r="S8" s="179">
        <f>VLOOKUP(A8,'OI(Value)'!A8:O209,11,0)</f>
        <v>216</v>
      </c>
    </row>
    <row r="9" spans="1:19" x14ac:dyDescent="0.25">
      <c r="A9" s="105" t="str">
        <f>'Data shares'!C4</f>
        <v>ABCAPITAL</v>
      </c>
      <c r="B9" s="143">
        <f>VLOOKUP($A9,'Data shares'!$C:$FA,118)</f>
        <v>0.55000000000000004</v>
      </c>
      <c r="C9" s="143">
        <f>VLOOKUP($A9,'Data shares'!$C:$FA,119)</f>
        <v>0.61</v>
      </c>
      <c r="D9" s="143">
        <f>VLOOKUP($A9,'Data shares'!$C:$FA,121)*100</f>
        <v>-9.84</v>
      </c>
      <c r="E9" s="143">
        <f>VLOOKUP($A9,'Data shares'!$C:$FA,124)</f>
        <v>0.3</v>
      </c>
      <c r="F9" s="143">
        <f>VLOOKUP($A9,'Data shares'!$C:$FA,125)</f>
        <v>0.44</v>
      </c>
      <c r="G9" s="143">
        <f>VLOOKUP($A9,'Data shares'!$C:$FA,127)*100</f>
        <v>-31.819999999999997</v>
      </c>
      <c r="H9" s="103">
        <f>VLOOKUP($A9,'OI(Volume)'!$A$7:$O$427,8)</f>
        <v>18702300</v>
      </c>
      <c r="I9" s="103">
        <f>VLOOKUP($A9,'OI(Volume)'!$A$7:$O$427,9)</f>
        <v>4851500</v>
      </c>
      <c r="J9" s="103">
        <f>VLOOKUP($A9,'OI(Volume)'!$A$7:$O$427,11)</f>
        <v>10326100</v>
      </c>
      <c r="K9" s="103">
        <f>VLOOKUP($A9,'OI(Volume)'!$A$7:$O$427,12)</f>
        <v>1863100</v>
      </c>
      <c r="L9" s="103">
        <f>VLOOKUP($A9,'OI(Value)'!$A$7:$O$306,8,0)</f>
        <v>682</v>
      </c>
      <c r="M9" s="103">
        <f>VLOOKUP($A9,'OI(Value)'!$A$7:$O$306,9,0)</f>
        <v>177</v>
      </c>
      <c r="N9" s="103">
        <f>VLOOKUP($A9,'OI(Value)'!$A$7:$O$306,11,0)</f>
        <v>376</v>
      </c>
      <c r="O9" s="103">
        <f>VLOOKUP($A9,'OI(Value)'!$A$7:$O$306,12,0)</f>
        <v>68</v>
      </c>
      <c r="P9" s="179">
        <f>VLOOKUP(A9,'OI(Value)'!A9:O210,8,0)</f>
        <v>682</v>
      </c>
      <c r="Q9" s="179">
        <f>VLOOKUP(A9,'OI(Value)'!A9:O210,9,0)</f>
        <v>177</v>
      </c>
      <c r="R9" s="179">
        <f>VLOOKUP(A9,'OI(Value)'!A9:O210,11,0)</f>
        <v>376</v>
      </c>
      <c r="S9" s="179">
        <f>VLOOKUP(A9,'OI(Value)'!A9:O210,11,0)</f>
        <v>376</v>
      </c>
    </row>
    <row r="10" spans="1:19" x14ac:dyDescent="0.25">
      <c r="A10" s="105" t="str">
        <f>'Data shares'!C5</f>
        <v>ADANIENSOL</v>
      </c>
      <c r="B10" s="143">
        <f>VLOOKUP($A10,'Data shares'!$C:$FA,118)</f>
        <v>0.54</v>
      </c>
      <c r="C10" s="143">
        <f>VLOOKUP($A10,'Data shares'!$C:$FA,119)</f>
        <v>0.6</v>
      </c>
      <c r="D10" s="143">
        <f>VLOOKUP($A10,'Data shares'!$C:$FA,121)*100</f>
        <v>-10</v>
      </c>
      <c r="E10" s="143">
        <f>VLOOKUP($A10,'Data shares'!$C:$FA,124)</f>
        <v>0.23</v>
      </c>
      <c r="F10" s="143">
        <f>VLOOKUP($A10,'Data shares'!$C:$FA,125)</f>
        <v>0.4</v>
      </c>
      <c r="G10" s="143">
        <f>VLOOKUP($A10,'Data shares'!$C:$FA,127)*100</f>
        <v>-42.5</v>
      </c>
      <c r="H10" s="103">
        <f>VLOOKUP($A10,'OI(Volume)'!$A$7:$O$427,8)</f>
        <v>2853225</v>
      </c>
      <c r="I10" s="103">
        <f>VLOOKUP($A10,'OI(Volume)'!$A$7:$O$427,9)</f>
        <v>1171125</v>
      </c>
      <c r="J10" s="103">
        <f>VLOOKUP($A10,'OI(Volume)'!$A$7:$O$427,11)</f>
        <v>1534950</v>
      </c>
      <c r="K10" s="103">
        <f>VLOOKUP($A10,'OI(Volume)'!$A$7:$O$427,12)</f>
        <v>522450</v>
      </c>
      <c r="L10" s="103">
        <f>VLOOKUP($A10,'OI(Value)'!$A$7:$O$306,8,0)</f>
        <v>301</v>
      </c>
      <c r="M10" s="103">
        <f>VLOOKUP($A10,'OI(Value)'!$A$7:$O$306,9,0)</f>
        <v>123</v>
      </c>
      <c r="N10" s="103">
        <f>VLOOKUP($A10,'OI(Value)'!$A$7:$O$306,11,0)</f>
        <v>162</v>
      </c>
      <c r="O10" s="103">
        <f>VLOOKUP($A10,'OI(Value)'!$A$7:$O$306,12,0)</f>
        <v>55</v>
      </c>
      <c r="P10" s="179">
        <f>VLOOKUP(A10,'OI(Value)'!A10:O211,8,0)</f>
        <v>301</v>
      </c>
      <c r="Q10" s="179">
        <f>VLOOKUP(A10,'OI(Value)'!A10:O211,9,0)</f>
        <v>123</v>
      </c>
      <c r="R10" s="179">
        <f>VLOOKUP(A10,'OI(Value)'!A10:O211,11,0)</f>
        <v>162</v>
      </c>
      <c r="S10" s="179">
        <f>VLOOKUP(A10,'OI(Value)'!A10:O211,11,0)</f>
        <v>162</v>
      </c>
    </row>
    <row r="11" spans="1:19" x14ac:dyDescent="0.25">
      <c r="A11" s="105" t="str">
        <f>'Data shares'!C6</f>
        <v>ADANIENT</v>
      </c>
      <c r="B11" s="143">
        <f>VLOOKUP($A11,'Data shares'!$C:$FA,118)</f>
        <v>0.88</v>
      </c>
      <c r="C11" s="143">
        <f>VLOOKUP($A11,'Data shares'!$C:$FA,119)</f>
        <v>0.95</v>
      </c>
      <c r="D11" s="143">
        <f>VLOOKUP($A11,'Data shares'!$C:$FA,121)*100</f>
        <v>-7.37</v>
      </c>
      <c r="E11" s="143">
        <f>VLOOKUP($A11,'Data shares'!$C:$FA,124)</f>
        <v>0.3</v>
      </c>
      <c r="F11" s="143">
        <f>VLOOKUP($A11,'Data shares'!$C:$FA,125)</f>
        <v>0.52</v>
      </c>
      <c r="G11" s="143">
        <f>VLOOKUP($A11,'Data shares'!$C:$FA,127)*100</f>
        <v>-42.309999999999995</v>
      </c>
      <c r="H11" s="103">
        <f>VLOOKUP($A11,'OI(Volume)'!$A$7:$O$427,8)</f>
        <v>6088845</v>
      </c>
      <c r="I11" s="103">
        <f>VLOOKUP($A11,'OI(Volume)'!$A$7:$O$427,9)</f>
        <v>719970</v>
      </c>
      <c r="J11" s="103">
        <f>VLOOKUP($A11,'OI(Volume)'!$A$7:$O$427,11)</f>
        <v>5346009</v>
      </c>
      <c r="K11" s="103">
        <f>VLOOKUP($A11,'OI(Volume)'!$A$7:$O$427,12)</f>
        <v>249054</v>
      </c>
      <c r="L11" s="103">
        <f>VLOOKUP($A11,'OI(Value)'!$A$7:$O$306,8,0)</f>
        <v>1383</v>
      </c>
      <c r="M11" s="103">
        <f>VLOOKUP($A11,'OI(Value)'!$A$7:$O$306,9,0)</f>
        <v>164</v>
      </c>
      <c r="N11" s="103">
        <f>VLOOKUP($A11,'OI(Value)'!$A$7:$O$306,11,0)</f>
        <v>1215</v>
      </c>
      <c r="O11" s="103">
        <f>VLOOKUP($A11,'OI(Value)'!$A$7:$O$306,12,0)</f>
        <v>57</v>
      </c>
      <c r="P11" s="179">
        <f>VLOOKUP(A11,'OI(Value)'!A11:O212,8,0)</f>
        <v>1383</v>
      </c>
      <c r="Q11" s="179">
        <f>VLOOKUP(A11,'OI(Value)'!A11:O212,9,0)</f>
        <v>164</v>
      </c>
      <c r="R11" s="179">
        <f>VLOOKUP(A11,'OI(Value)'!A11:O212,11,0)</f>
        <v>1215</v>
      </c>
      <c r="S11" s="179">
        <f>VLOOKUP(A11,'OI(Value)'!A11:O212,11,0)</f>
        <v>1215</v>
      </c>
    </row>
    <row r="12" spans="1:19" x14ac:dyDescent="0.25">
      <c r="A12" s="105" t="str">
        <f>'Data shares'!C7</f>
        <v>ADANIGREEN</v>
      </c>
      <c r="B12" s="143">
        <f>VLOOKUP($A12,'Data shares'!$C:$FA,118)</f>
        <v>0.59</v>
      </c>
      <c r="C12" s="143">
        <f>VLOOKUP($A12,'Data shares'!$C:$FA,119)</f>
        <v>0.68</v>
      </c>
      <c r="D12" s="143">
        <f>VLOOKUP($A12,'Data shares'!$C:$FA,121)*100</f>
        <v>-13.239999999999998</v>
      </c>
      <c r="E12" s="143">
        <f>VLOOKUP($A12,'Data shares'!$C:$FA,124)</f>
        <v>0.18</v>
      </c>
      <c r="F12" s="143">
        <f>VLOOKUP($A12,'Data shares'!$C:$FA,125)</f>
        <v>0.43</v>
      </c>
      <c r="G12" s="143">
        <f>VLOOKUP($A12,'Data shares'!$C:$FA,127)*100</f>
        <v>-58.14</v>
      </c>
      <c r="H12" s="103">
        <f>VLOOKUP($A12,'OI(Volume)'!$A$7:$O$427,8)</f>
        <v>6396600</v>
      </c>
      <c r="I12" s="103">
        <f>VLOOKUP($A12,'OI(Volume)'!$A$7:$O$427,9)</f>
        <v>1645200</v>
      </c>
      <c r="J12" s="103">
        <f>VLOOKUP($A12,'OI(Volume)'!$A$7:$O$427,11)</f>
        <v>3801000</v>
      </c>
      <c r="K12" s="103">
        <f>VLOOKUP($A12,'OI(Volume)'!$A$7:$O$427,12)</f>
        <v>585000</v>
      </c>
      <c r="L12" s="103">
        <f>VLOOKUP($A12,'OI(Value)'!$A$7:$O$306,8,0)</f>
        <v>661</v>
      </c>
      <c r="M12" s="103">
        <f>VLOOKUP($A12,'OI(Value)'!$A$7:$O$306,9,0)</f>
        <v>170</v>
      </c>
      <c r="N12" s="103">
        <f>VLOOKUP($A12,'OI(Value)'!$A$7:$O$306,11,0)</f>
        <v>393</v>
      </c>
      <c r="O12" s="103">
        <f>VLOOKUP($A12,'OI(Value)'!$A$7:$O$306,12,0)</f>
        <v>60</v>
      </c>
      <c r="P12" s="179">
        <f>VLOOKUP(A12,'OI(Value)'!A12:O213,8,0)</f>
        <v>661</v>
      </c>
      <c r="Q12" s="179">
        <f>VLOOKUP(A12,'OI(Value)'!A12:O213,9,0)</f>
        <v>170</v>
      </c>
      <c r="R12" s="179">
        <f>VLOOKUP(A12,'OI(Value)'!A12:O213,11,0)</f>
        <v>393</v>
      </c>
      <c r="S12" s="179">
        <f>VLOOKUP(A12,'OI(Value)'!A12:O213,11,0)</f>
        <v>393</v>
      </c>
    </row>
    <row r="13" spans="1:19" x14ac:dyDescent="0.25">
      <c r="A13" s="105" t="str">
        <f>'Data shares'!C8</f>
        <v>ADANIPORTS</v>
      </c>
      <c r="B13" s="143">
        <f>VLOOKUP($A13,'Data shares'!$C:$FA,118)</f>
        <v>0.72</v>
      </c>
      <c r="C13" s="143">
        <f>VLOOKUP($A13,'Data shares'!$C:$FA,119)</f>
        <v>0.73</v>
      </c>
      <c r="D13" s="143">
        <f>VLOOKUP($A13,'Data shares'!$C:$FA,121)*100</f>
        <v>-1.37</v>
      </c>
      <c r="E13" s="143">
        <f>VLOOKUP($A13,'Data shares'!$C:$FA,124)</f>
        <v>0.37</v>
      </c>
      <c r="F13" s="143">
        <f>VLOOKUP($A13,'Data shares'!$C:$FA,125)</f>
        <v>0.52</v>
      </c>
      <c r="G13" s="143">
        <f>VLOOKUP($A13,'Data shares'!$C:$FA,127)*100</f>
        <v>-28.849999999999998</v>
      </c>
      <c r="H13" s="103">
        <f>VLOOKUP($A13,'OI(Volume)'!$A$7:$O$427,8)</f>
        <v>5196025</v>
      </c>
      <c r="I13" s="103">
        <f>VLOOKUP($A13,'OI(Volume)'!$A$7:$O$427,9)</f>
        <v>433200</v>
      </c>
      <c r="J13" s="103">
        <f>VLOOKUP($A13,'OI(Volume)'!$A$7:$O$427,11)</f>
        <v>3762475</v>
      </c>
      <c r="K13" s="103">
        <f>VLOOKUP($A13,'OI(Volume)'!$A$7:$O$427,12)</f>
        <v>265525</v>
      </c>
      <c r="L13" s="103">
        <f>VLOOKUP($A13,'OI(Value)'!$A$7:$O$306,8,0)</f>
        <v>773</v>
      </c>
      <c r="M13" s="103">
        <f>VLOOKUP($A13,'OI(Value)'!$A$7:$O$306,9,0)</f>
        <v>64</v>
      </c>
      <c r="N13" s="103">
        <f>VLOOKUP($A13,'OI(Value)'!$A$7:$O$306,11,0)</f>
        <v>560</v>
      </c>
      <c r="O13" s="103">
        <f>VLOOKUP($A13,'OI(Value)'!$A$7:$O$306,12,0)</f>
        <v>40</v>
      </c>
      <c r="P13" s="179">
        <f>VLOOKUP(A13,'OI(Value)'!A13:O214,8,0)</f>
        <v>773</v>
      </c>
      <c r="Q13" s="179">
        <f>VLOOKUP(A13,'OI(Value)'!A13:O214,9,0)</f>
        <v>64</v>
      </c>
      <c r="R13" s="179">
        <f>VLOOKUP(A13,'OI(Value)'!A13:O214,11,0)</f>
        <v>560</v>
      </c>
      <c r="S13" s="179">
        <f>VLOOKUP(A13,'OI(Value)'!A13:O214,11,0)</f>
        <v>560</v>
      </c>
    </row>
    <row r="14" spans="1:19" x14ac:dyDescent="0.25">
      <c r="A14" s="105" t="str">
        <f>'Data shares'!C9</f>
        <v>ALKEM</v>
      </c>
      <c r="B14" s="143">
        <f>VLOOKUP($A14,'Data shares'!$C:$FA,118)</f>
        <v>1.22</v>
      </c>
      <c r="C14" s="143">
        <f>VLOOKUP($A14,'Data shares'!$C:$FA,119)</f>
        <v>0.84</v>
      </c>
      <c r="D14" s="143">
        <f>VLOOKUP($A14,'Data shares'!$C:$FA,121)*100</f>
        <v>45.24</v>
      </c>
      <c r="E14" s="143">
        <f>VLOOKUP($A14,'Data shares'!$C:$FA,124)</f>
        <v>2.06</v>
      </c>
      <c r="F14" s="143">
        <f>VLOOKUP($A14,'Data shares'!$C:$FA,125)</f>
        <v>0.74</v>
      </c>
      <c r="G14" s="143">
        <f>VLOOKUP($A14,'Data shares'!$C:$FA,127)*100</f>
        <v>178.38</v>
      </c>
      <c r="H14" s="103">
        <f>VLOOKUP($A14,'OI(Volume)'!$A$7:$O$427,8)</f>
        <v>87000</v>
      </c>
      <c r="I14" s="103">
        <f>VLOOKUP($A14,'OI(Volume)'!$A$7:$O$427,9)</f>
        <v>24500</v>
      </c>
      <c r="J14" s="103">
        <f>VLOOKUP($A14,'OI(Volume)'!$A$7:$O$427,11)</f>
        <v>106000</v>
      </c>
      <c r="K14" s="103">
        <f>VLOOKUP($A14,'OI(Volume)'!$A$7:$O$427,12)</f>
        <v>53250</v>
      </c>
      <c r="L14" s="103">
        <f>VLOOKUP($A14,'OI(Value)'!$A$7:$O$306,8,0)</f>
        <v>48</v>
      </c>
      <c r="M14" s="103">
        <f>VLOOKUP($A14,'OI(Value)'!$A$7:$O$306,9,0)</f>
        <v>13</v>
      </c>
      <c r="N14" s="103">
        <f>VLOOKUP($A14,'OI(Value)'!$A$7:$O$306,11,0)</f>
        <v>58</v>
      </c>
      <c r="O14" s="103">
        <f>VLOOKUP($A14,'OI(Value)'!$A$7:$O$306,12,0)</f>
        <v>29</v>
      </c>
      <c r="P14" s="179">
        <f>VLOOKUP(A14,'OI(Value)'!A14:O215,8,0)</f>
        <v>48</v>
      </c>
      <c r="Q14" s="179">
        <f>VLOOKUP(A14,'OI(Value)'!A14:O215,9,0)</f>
        <v>13</v>
      </c>
      <c r="R14" s="179">
        <f>VLOOKUP(A14,'OI(Value)'!A14:O215,11,0)</f>
        <v>58</v>
      </c>
      <c r="S14" s="179">
        <f>VLOOKUP(A14,'OI(Value)'!A14:O215,11,0)</f>
        <v>58</v>
      </c>
    </row>
    <row r="15" spans="1:19" x14ac:dyDescent="0.25">
      <c r="A15" s="105" t="str">
        <f>'Data shares'!C10</f>
        <v>AMBER</v>
      </c>
      <c r="B15" s="143">
        <f>VLOOKUP($A15,'Data shares'!$C:$FA,118)</f>
        <v>0.74</v>
      </c>
      <c r="C15" s="143">
        <f>VLOOKUP($A15,'Data shares'!$C:$FA,119)</f>
        <v>0.72</v>
      </c>
      <c r="D15" s="143">
        <f>VLOOKUP($A15,'Data shares'!$C:$FA,121)*100</f>
        <v>2.78</v>
      </c>
      <c r="E15" s="143">
        <f>VLOOKUP($A15,'Data shares'!$C:$FA,124)</f>
        <v>0.48</v>
      </c>
      <c r="F15" s="143">
        <f>VLOOKUP($A15,'Data shares'!$C:$FA,125)</f>
        <v>0.64</v>
      </c>
      <c r="G15" s="143">
        <f>VLOOKUP($A15,'Data shares'!$C:$FA,127)*100</f>
        <v>-25</v>
      </c>
      <c r="H15" s="103">
        <f>VLOOKUP($A15,'OI(Volume)'!$A$7:$O$427,8)</f>
        <v>335500</v>
      </c>
      <c r="I15" s="103">
        <f>VLOOKUP($A15,'OI(Volume)'!$A$7:$O$427,9)</f>
        <v>17700</v>
      </c>
      <c r="J15" s="103">
        <f>VLOOKUP($A15,'OI(Volume)'!$A$7:$O$427,11)</f>
        <v>246900</v>
      </c>
      <c r="K15" s="103">
        <f>VLOOKUP($A15,'OI(Volume)'!$A$7:$O$427,12)</f>
        <v>17000</v>
      </c>
      <c r="L15" s="103">
        <f>VLOOKUP($A15,'OI(Value)'!$A$7:$O$306,8,0)</f>
        <v>216</v>
      </c>
      <c r="M15" s="103">
        <f>VLOOKUP($A15,'OI(Value)'!$A$7:$O$306,9,0)</f>
        <v>11</v>
      </c>
      <c r="N15" s="103">
        <f>VLOOKUP($A15,'OI(Value)'!$A$7:$O$306,11,0)</f>
        <v>159</v>
      </c>
      <c r="O15" s="103">
        <f>VLOOKUP($A15,'OI(Value)'!$A$7:$O$306,12,0)</f>
        <v>11</v>
      </c>
      <c r="P15" s="179">
        <f>VLOOKUP(A15,'OI(Value)'!A15:O216,8,0)</f>
        <v>216</v>
      </c>
      <c r="Q15" s="179">
        <f>VLOOKUP(A15,'OI(Value)'!A15:O216,9,0)</f>
        <v>11</v>
      </c>
      <c r="R15" s="179">
        <f>VLOOKUP(A15,'OI(Value)'!A15:O216,11,0)</f>
        <v>159</v>
      </c>
      <c r="S15" s="179">
        <f>VLOOKUP(A15,'OI(Value)'!A15:O216,11,0)</f>
        <v>159</v>
      </c>
    </row>
    <row r="16" spans="1:19" x14ac:dyDescent="0.25">
      <c r="A16" s="105" t="str">
        <f>'Data shares'!C11</f>
        <v>AMBUJACEM</v>
      </c>
      <c r="B16" s="143">
        <f>VLOOKUP($A16,'Data shares'!$C:$FA,118)</f>
        <v>0.97</v>
      </c>
      <c r="C16" s="143">
        <f>VLOOKUP($A16,'Data shares'!$C:$FA,119)</f>
        <v>0.97</v>
      </c>
      <c r="D16" s="143">
        <f>VLOOKUP($A16,'Data shares'!$C:$FA,121)*100</f>
        <v>0</v>
      </c>
      <c r="E16" s="143">
        <f>VLOOKUP($A16,'Data shares'!$C:$FA,124)</f>
        <v>0.32</v>
      </c>
      <c r="F16" s="143">
        <f>VLOOKUP($A16,'Data shares'!$C:$FA,125)</f>
        <v>0.6</v>
      </c>
      <c r="G16" s="143">
        <f>VLOOKUP($A16,'Data shares'!$C:$FA,127)*100</f>
        <v>-46.67</v>
      </c>
      <c r="H16" s="103">
        <f>VLOOKUP($A16,'OI(Volume)'!$A$7:$O$427,8)</f>
        <v>9871050</v>
      </c>
      <c r="I16" s="103">
        <f>VLOOKUP($A16,'OI(Volume)'!$A$7:$O$427,9)</f>
        <v>577500</v>
      </c>
      <c r="J16" s="103">
        <f>VLOOKUP($A16,'OI(Volume)'!$A$7:$O$427,11)</f>
        <v>9557100</v>
      </c>
      <c r="K16" s="103">
        <f>VLOOKUP($A16,'OI(Volume)'!$A$7:$O$427,12)</f>
        <v>531300</v>
      </c>
      <c r="L16" s="103">
        <f>VLOOKUP($A16,'OI(Value)'!$A$7:$O$306,8,0)</f>
        <v>556</v>
      </c>
      <c r="M16" s="103">
        <f>VLOOKUP($A16,'OI(Value)'!$A$7:$O$306,9,0)</f>
        <v>33</v>
      </c>
      <c r="N16" s="103">
        <f>VLOOKUP($A16,'OI(Value)'!$A$7:$O$306,11,0)</f>
        <v>538</v>
      </c>
      <c r="O16" s="103">
        <f>VLOOKUP($A16,'OI(Value)'!$A$7:$O$306,12,0)</f>
        <v>30</v>
      </c>
      <c r="P16" s="179">
        <f>VLOOKUP(A16,'OI(Value)'!A16:O217,8,0)</f>
        <v>556</v>
      </c>
      <c r="Q16" s="179">
        <f>VLOOKUP(A16,'OI(Value)'!A16:O217,9,0)</f>
        <v>33</v>
      </c>
      <c r="R16" s="179">
        <f>VLOOKUP(A16,'OI(Value)'!A16:O217,11,0)</f>
        <v>538</v>
      </c>
      <c r="S16" s="179">
        <f>VLOOKUP(A16,'OI(Value)'!A16:O217,11,0)</f>
        <v>538</v>
      </c>
    </row>
    <row r="17" spans="1:19" x14ac:dyDescent="0.25">
      <c r="A17" s="105" t="str">
        <f>'Data shares'!C12</f>
        <v>ANGELONE</v>
      </c>
      <c r="B17" s="143">
        <f>VLOOKUP($A17,'Data shares'!$C:$FA,118)</f>
        <v>0.88</v>
      </c>
      <c r="C17" s="143">
        <f>VLOOKUP($A17,'Data shares'!$C:$FA,119)</f>
        <v>0.89</v>
      </c>
      <c r="D17" s="143">
        <f>VLOOKUP($A17,'Data shares'!$C:$FA,121)*100</f>
        <v>-1.1199999999999999</v>
      </c>
      <c r="E17" s="143">
        <f>VLOOKUP($A17,'Data shares'!$C:$FA,124)</f>
        <v>0.53</v>
      </c>
      <c r="F17" s="143">
        <f>VLOOKUP($A17,'Data shares'!$C:$FA,125)</f>
        <v>0.4</v>
      </c>
      <c r="G17" s="143">
        <f>VLOOKUP($A17,'Data shares'!$C:$FA,127)*100</f>
        <v>32.5</v>
      </c>
      <c r="H17" s="103">
        <f>VLOOKUP($A17,'OI(Volume)'!$A$7:$O$427,8)</f>
        <v>1993250</v>
      </c>
      <c r="I17" s="103">
        <f>VLOOKUP($A17,'OI(Volume)'!$A$7:$O$427,9)</f>
        <v>123750</v>
      </c>
      <c r="J17" s="103">
        <f>VLOOKUP($A17,'OI(Volume)'!$A$7:$O$427,11)</f>
        <v>1749000</v>
      </c>
      <c r="K17" s="103">
        <f>VLOOKUP($A17,'OI(Volume)'!$A$7:$O$427,12)</f>
        <v>88000</v>
      </c>
      <c r="L17" s="103">
        <f>VLOOKUP($A17,'OI(Value)'!$A$7:$O$306,8,0)</f>
        <v>472</v>
      </c>
      <c r="M17" s="103">
        <f>VLOOKUP($A17,'OI(Value)'!$A$7:$O$306,9,0)</f>
        <v>29</v>
      </c>
      <c r="N17" s="103">
        <f>VLOOKUP($A17,'OI(Value)'!$A$7:$O$306,11,0)</f>
        <v>414</v>
      </c>
      <c r="O17" s="103">
        <f>VLOOKUP($A17,'OI(Value)'!$A$7:$O$306,12,0)</f>
        <v>21</v>
      </c>
      <c r="P17" s="179">
        <f>VLOOKUP(A17,'OI(Value)'!A17:O218,8,0)</f>
        <v>472</v>
      </c>
      <c r="Q17" s="179">
        <f>VLOOKUP(A17,'OI(Value)'!A17:O218,9,0)</f>
        <v>29</v>
      </c>
      <c r="R17" s="179">
        <f>VLOOKUP(A17,'OI(Value)'!A17:O218,11,0)</f>
        <v>414</v>
      </c>
      <c r="S17" s="179">
        <f>VLOOKUP(A17,'OI(Value)'!A17:O218,11,0)</f>
        <v>414</v>
      </c>
    </row>
    <row r="18" spans="1:19" x14ac:dyDescent="0.25">
      <c r="A18" s="105" t="str">
        <f>'Data shares'!C13</f>
        <v>APLAPOLLO</v>
      </c>
      <c r="B18" s="143">
        <f>VLOOKUP($A18,'Data shares'!$C:$FA,118)</f>
        <v>0.54</v>
      </c>
      <c r="C18" s="143">
        <f>VLOOKUP($A18,'Data shares'!$C:$FA,119)</f>
        <v>0.55000000000000004</v>
      </c>
      <c r="D18" s="143">
        <f>VLOOKUP($A18,'Data shares'!$C:$FA,121)*100</f>
        <v>-1.82</v>
      </c>
      <c r="E18" s="143">
        <f>VLOOKUP($A18,'Data shares'!$C:$FA,124)</f>
        <v>0.3</v>
      </c>
      <c r="F18" s="143">
        <f>VLOOKUP($A18,'Data shares'!$C:$FA,125)</f>
        <v>0.33</v>
      </c>
      <c r="G18" s="143">
        <f>VLOOKUP($A18,'Data shares'!$C:$FA,127)*100</f>
        <v>-9.09</v>
      </c>
      <c r="H18" s="103">
        <f>VLOOKUP($A18,'OI(Volume)'!$A$7:$O$427,8)</f>
        <v>1018500</v>
      </c>
      <c r="I18" s="103">
        <f>VLOOKUP($A18,'OI(Volume)'!$A$7:$O$427,9)</f>
        <v>416850</v>
      </c>
      <c r="J18" s="103">
        <f>VLOOKUP($A18,'OI(Volume)'!$A$7:$O$427,11)</f>
        <v>550900</v>
      </c>
      <c r="K18" s="103">
        <f>VLOOKUP($A18,'OI(Volume)'!$A$7:$O$427,12)</f>
        <v>219800</v>
      </c>
      <c r="L18" s="103">
        <f>VLOOKUP($A18,'OI(Value)'!$A$7:$O$306,8,0)</f>
        <v>202</v>
      </c>
      <c r="M18" s="103">
        <f>VLOOKUP($A18,'OI(Value)'!$A$7:$O$306,9,0)</f>
        <v>83</v>
      </c>
      <c r="N18" s="103">
        <f>VLOOKUP($A18,'OI(Value)'!$A$7:$O$306,11,0)</f>
        <v>109</v>
      </c>
      <c r="O18" s="103">
        <f>VLOOKUP($A18,'OI(Value)'!$A$7:$O$306,12,0)</f>
        <v>44</v>
      </c>
      <c r="P18" s="179">
        <f>VLOOKUP(A18,'OI(Value)'!A18:O219,8,0)</f>
        <v>202</v>
      </c>
      <c r="Q18" s="179">
        <f>VLOOKUP(A18,'OI(Value)'!A18:O219,9,0)</f>
        <v>83</v>
      </c>
      <c r="R18" s="179">
        <f>VLOOKUP(A18,'OI(Value)'!A18:O219,11,0)</f>
        <v>109</v>
      </c>
      <c r="S18" s="179">
        <f>VLOOKUP(A18,'OI(Value)'!A18:O219,11,0)</f>
        <v>109</v>
      </c>
    </row>
    <row r="19" spans="1:19" x14ac:dyDescent="0.25">
      <c r="A19" s="105" t="str">
        <f>'Data shares'!C14</f>
        <v>APOLLOHOSP</v>
      </c>
      <c r="B19" s="143">
        <f>VLOOKUP($A19,'Data shares'!$C:$FA,118)</f>
        <v>0.73</v>
      </c>
      <c r="C19" s="143">
        <f>VLOOKUP($A19,'Data shares'!$C:$FA,119)</f>
        <v>0.59</v>
      </c>
      <c r="D19" s="143">
        <f>VLOOKUP($A19,'Data shares'!$C:$FA,121)*100</f>
        <v>23.73</v>
      </c>
      <c r="E19" s="143">
        <f>VLOOKUP($A19,'Data shares'!$C:$FA,124)</f>
        <v>0.56000000000000005</v>
      </c>
      <c r="F19" s="143">
        <f>VLOOKUP($A19,'Data shares'!$C:$FA,125)</f>
        <v>0.35</v>
      </c>
      <c r="G19" s="143">
        <f>VLOOKUP($A19,'Data shares'!$C:$FA,127)*100</f>
        <v>60</v>
      </c>
      <c r="H19" s="103">
        <f>VLOOKUP($A19,'OI(Volume)'!$A$7:$O$427,8)</f>
        <v>929625</v>
      </c>
      <c r="I19" s="103">
        <f>VLOOKUP($A19,'OI(Volume)'!$A$7:$O$427,9)</f>
        <v>-15625</v>
      </c>
      <c r="J19" s="103">
        <f>VLOOKUP($A19,'OI(Volume)'!$A$7:$O$427,11)</f>
        <v>676625</v>
      </c>
      <c r="K19" s="103">
        <f>VLOOKUP($A19,'OI(Volume)'!$A$7:$O$427,12)</f>
        <v>119875</v>
      </c>
      <c r="L19" s="103">
        <f>VLOOKUP($A19,'OI(Value)'!$A$7:$O$306,8,0)</f>
        <v>664</v>
      </c>
      <c r="M19" s="103">
        <f>VLOOKUP($A19,'OI(Value)'!$A$7:$O$306,9,0)</f>
        <v>-11</v>
      </c>
      <c r="N19" s="103">
        <f>VLOOKUP($A19,'OI(Value)'!$A$7:$O$306,11,0)</f>
        <v>483</v>
      </c>
      <c r="O19" s="103">
        <f>VLOOKUP($A19,'OI(Value)'!$A$7:$O$306,12,0)</f>
        <v>86</v>
      </c>
      <c r="P19" s="179">
        <f>VLOOKUP(A19,'OI(Value)'!A19:O220,8,0)</f>
        <v>664</v>
      </c>
      <c r="Q19" s="179">
        <f>VLOOKUP(A19,'OI(Value)'!A19:O220,9,0)</f>
        <v>-11</v>
      </c>
      <c r="R19" s="179">
        <f>VLOOKUP(A19,'OI(Value)'!A19:O220,11,0)</f>
        <v>483</v>
      </c>
      <c r="S19" s="179">
        <f>VLOOKUP(A19,'OI(Value)'!A19:O220,11,0)</f>
        <v>483</v>
      </c>
    </row>
    <row r="20" spans="1:19" x14ac:dyDescent="0.25">
      <c r="A20" s="105" t="str">
        <f>'Data shares'!C15</f>
        <v>ASHOKLEY</v>
      </c>
      <c r="B20" s="143">
        <f>VLOOKUP($A20,'Data shares'!$C:$FA,118)</f>
        <v>0.59</v>
      </c>
      <c r="C20" s="143">
        <f>VLOOKUP($A20,'Data shares'!$C:$FA,119)</f>
        <v>0.6</v>
      </c>
      <c r="D20" s="143">
        <f>VLOOKUP($A20,'Data shares'!$C:$FA,121)*100</f>
        <v>-1.67</v>
      </c>
      <c r="E20" s="143">
        <f>VLOOKUP($A20,'Data shares'!$C:$FA,124)</f>
        <v>0.24</v>
      </c>
      <c r="F20" s="143">
        <f>VLOOKUP($A20,'Data shares'!$C:$FA,125)</f>
        <v>0.33</v>
      </c>
      <c r="G20" s="143">
        <f>VLOOKUP($A20,'Data shares'!$C:$FA,127)*100</f>
        <v>-27.27</v>
      </c>
      <c r="H20" s="103">
        <f>VLOOKUP($A20,'OI(Volume)'!$A$7:$O$427,8)</f>
        <v>57360000</v>
      </c>
      <c r="I20" s="103">
        <f>VLOOKUP($A20,'OI(Volume)'!$A$7:$O$427,9)</f>
        <v>19440000</v>
      </c>
      <c r="J20" s="103">
        <f>VLOOKUP($A20,'OI(Volume)'!$A$7:$O$427,11)</f>
        <v>33790000</v>
      </c>
      <c r="K20" s="103">
        <f>VLOOKUP($A20,'OI(Volume)'!$A$7:$O$427,12)</f>
        <v>10855000</v>
      </c>
      <c r="L20" s="103">
        <f>VLOOKUP($A20,'OI(Value)'!$A$7:$O$306,8,0)</f>
        <v>1044</v>
      </c>
      <c r="M20" s="103">
        <f>VLOOKUP($A20,'OI(Value)'!$A$7:$O$306,9,0)</f>
        <v>354</v>
      </c>
      <c r="N20" s="103">
        <f>VLOOKUP($A20,'OI(Value)'!$A$7:$O$306,11,0)</f>
        <v>615</v>
      </c>
      <c r="O20" s="103">
        <f>VLOOKUP($A20,'OI(Value)'!$A$7:$O$306,12,0)</f>
        <v>198</v>
      </c>
      <c r="P20" s="179">
        <f>VLOOKUP(A20,'OI(Value)'!A20:O221,8,0)</f>
        <v>1044</v>
      </c>
      <c r="Q20" s="179">
        <f>VLOOKUP(A20,'OI(Value)'!A20:O221,9,0)</f>
        <v>354</v>
      </c>
      <c r="R20" s="179">
        <f>VLOOKUP(A20,'OI(Value)'!A20:O221,11,0)</f>
        <v>615</v>
      </c>
      <c r="S20" s="179">
        <f>VLOOKUP(A20,'OI(Value)'!A20:O221,11,0)</f>
        <v>615</v>
      </c>
    </row>
    <row r="21" spans="1:19" x14ac:dyDescent="0.25">
      <c r="A21" s="105" t="str">
        <f>'Data shares'!C16</f>
        <v>ASIANPAINT</v>
      </c>
      <c r="B21" s="143">
        <f>VLOOKUP($A21,'Data shares'!$C:$FA,118)</f>
        <v>0.71</v>
      </c>
      <c r="C21" s="143">
        <f>VLOOKUP($A21,'Data shares'!$C:$FA,119)</f>
        <v>0.69</v>
      </c>
      <c r="D21" s="143">
        <f>VLOOKUP($A21,'Data shares'!$C:$FA,121)*100</f>
        <v>2.9000000000000004</v>
      </c>
      <c r="E21" s="143">
        <f>VLOOKUP($A21,'Data shares'!$C:$FA,124)</f>
        <v>0.62</v>
      </c>
      <c r="F21" s="143">
        <f>VLOOKUP($A21,'Data shares'!$C:$FA,125)</f>
        <v>0.61</v>
      </c>
      <c r="G21" s="143">
        <f>VLOOKUP($A21,'Data shares'!$C:$FA,127)*100</f>
        <v>1.6400000000000001</v>
      </c>
      <c r="H21" s="103">
        <f>VLOOKUP($A21,'OI(Volume)'!$A$7:$O$427,8)</f>
        <v>3309750</v>
      </c>
      <c r="I21" s="103">
        <f>VLOOKUP($A21,'OI(Volume)'!$A$7:$O$427,9)</f>
        <v>384250</v>
      </c>
      <c r="J21" s="103">
        <f>VLOOKUP($A21,'OI(Volume)'!$A$7:$O$427,11)</f>
        <v>2353250</v>
      </c>
      <c r="K21" s="103">
        <f>VLOOKUP($A21,'OI(Volume)'!$A$7:$O$427,12)</f>
        <v>332250</v>
      </c>
      <c r="L21" s="103">
        <f>VLOOKUP($A21,'OI(Value)'!$A$7:$O$306,8,0)</f>
        <v>916</v>
      </c>
      <c r="M21" s="103">
        <f>VLOOKUP($A21,'OI(Value)'!$A$7:$O$306,9,0)</f>
        <v>106</v>
      </c>
      <c r="N21" s="103">
        <f>VLOOKUP($A21,'OI(Value)'!$A$7:$O$306,11,0)</f>
        <v>651</v>
      </c>
      <c r="O21" s="103">
        <f>VLOOKUP($A21,'OI(Value)'!$A$7:$O$306,12,0)</f>
        <v>92</v>
      </c>
      <c r="P21" s="179">
        <f>VLOOKUP(A21,'OI(Value)'!A21:O222,8,0)</f>
        <v>916</v>
      </c>
      <c r="Q21" s="179">
        <f>VLOOKUP(A21,'OI(Value)'!A21:O222,9,0)</f>
        <v>106</v>
      </c>
      <c r="R21" s="179">
        <f>VLOOKUP(A21,'OI(Value)'!A21:O222,11,0)</f>
        <v>651</v>
      </c>
      <c r="S21" s="179">
        <f>VLOOKUP(A21,'OI(Value)'!A21:O222,11,0)</f>
        <v>651</v>
      </c>
    </row>
    <row r="22" spans="1:19" x14ac:dyDescent="0.25">
      <c r="A22" s="105" t="str">
        <f>'Data shares'!C17</f>
        <v>ASTRAL</v>
      </c>
      <c r="B22" s="143">
        <f>VLOOKUP($A22,'Data shares'!$C:$FA,118)</f>
        <v>0.69</v>
      </c>
      <c r="C22" s="143">
        <f>VLOOKUP($A22,'Data shares'!$C:$FA,119)</f>
        <v>0.81</v>
      </c>
      <c r="D22" s="143">
        <f>VLOOKUP($A22,'Data shares'!$C:$FA,121)*100</f>
        <v>-14.81</v>
      </c>
      <c r="E22" s="143">
        <f>VLOOKUP($A22,'Data shares'!$C:$FA,124)</f>
        <v>0.41</v>
      </c>
      <c r="F22" s="143">
        <f>VLOOKUP($A22,'Data shares'!$C:$FA,125)</f>
        <v>0.42</v>
      </c>
      <c r="G22" s="143">
        <f>VLOOKUP($A22,'Data shares'!$C:$FA,127)*100</f>
        <v>-2.3800000000000003</v>
      </c>
      <c r="H22" s="103">
        <f>VLOOKUP($A22,'OI(Volume)'!$A$7:$O$427,8)</f>
        <v>2184500</v>
      </c>
      <c r="I22" s="103">
        <f>VLOOKUP($A22,'OI(Volume)'!$A$7:$O$427,9)</f>
        <v>209100</v>
      </c>
      <c r="J22" s="103">
        <f>VLOOKUP($A22,'OI(Volume)'!$A$7:$O$427,11)</f>
        <v>1515125</v>
      </c>
      <c r="K22" s="103">
        <f>VLOOKUP($A22,'OI(Volume)'!$A$7:$O$427,12)</f>
        <v>-82450</v>
      </c>
      <c r="L22" s="103">
        <f>VLOOKUP($A22,'OI(Value)'!$A$7:$O$306,8,0)</f>
        <v>315</v>
      </c>
      <c r="M22" s="103">
        <f>VLOOKUP($A22,'OI(Value)'!$A$7:$O$306,9,0)</f>
        <v>30</v>
      </c>
      <c r="N22" s="103">
        <f>VLOOKUP($A22,'OI(Value)'!$A$7:$O$306,11,0)</f>
        <v>219</v>
      </c>
      <c r="O22" s="103">
        <f>VLOOKUP($A22,'OI(Value)'!$A$7:$O$306,12,0)</f>
        <v>-12</v>
      </c>
      <c r="P22" s="179">
        <f>VLOOKUP(A22,'OI(Value)'!A22:O223,8,0)</f>
        <v>315</v>
      </c>
      <c r="Q22" s="179">
        <f>VLOOKUP(A22,'OI(Value)'!A22:O223,9,0)</f>
        <v>30</v>
      </c>
      <c r="R22" s="179">
        <f>VLOOKUP(A22,'OI(Value)'!A22:O223,11,0)</f>
        <v>219</v>
      </c>
      <c r="S22" s="179">
        <f>VLOOKUP(A22,'OI(Value)'!A22:O223,11,0)</f>
        <v>219</v>
      </c>
    </row>
    <row r="23" spans="1:19" x14ac:dyDescent="0.25">
      <c r="A23" s="105" t="str">
        <f>'Data shares'!C18</f>
        <v>AUBANK</v>
      </c>
      <c r="B23" s="143">
        <f>VLOOKUP($A23,'Data shares'!$C:$FA,118)</f>
        <v>0.78</v>
      </c>
      <c r="C23" s="143">
        <f>VLOOKUP($A23,'Data shares'!$C:$FA,119)</f>
        <v>0.82</v>
      </c>
      <c r="D23" s="143">
        <f>VLOOKUP($A23,'Data shares'!$C:$FA,121)*100</f>
        <v>-4.88</v>
      </c>
      <c r="E23" s="143">
        <f>VLOOKUP($A23,'Data shares'!$C:$FA,124)</f>
        <v>0.48</v>
      </c>
      <c r="F23" s="143">
        <f>VLOOKUP($A23,'Data shares'!$C:$FA,125)</f>
        <v>0.55000000000000004</v>
      </c>
      <c r="G23" s="143">
        <f>VLOOKUP($A23,'Data shares'!$C:$FA,127)*100</f>
        <v>-12.73</v>
      </c>
      <c r="H23" s="103">
        <f>VLOOKUP($A23,'OI(Volume)'!$A$7:$O$427,8)</f>
        <v>4030000</v>
      </c>
      <c r="I23" s="103">
        <f>VLOOKUP($A23,'OI(Volume)'!$A$7:$O$427,9)</f>
        <v>479000</v>
      </c>
      <c r="J23" s="103">
        <f>VLOOKUP($A23,'OI(Volume)'!$A$7:$O$427,11)</f>
        <v>3133000</v>
      </c>
      <c r="K23" s="103">
        <f>VLOOKUP($A23,'OI(Volume)'!$A$7:$O$427,12)</f>
        <v>224000</v>
      </c>
      <c r="L23" s="103">
        <f>VLOOKUP($A23,'OI(Value)'!$A$7:$O$306,8,0)</f>
        <v>404</v>
      </c>
      <c r="M23" s="103">
        <f>VLOOKUP($A23,'OI(Value)'!$A$7:$O$306,9,0)</f>
        <v>48</v>
      </c>
      <c r="N23" s="103">
        <f>VLOOKUP($A23,'OI(Value)'!$A$7:$O$306,11,0)</f>
        <v>314</v>
      </c>
      <c r="O23" s="103">
        <f>VLOOKUP($A23,'OI(Value)'!$A$7:$O$306,12,0)</f>
        <v>22</v>
      </c>
      <c r="P23" s="179">
        <f>VLOOKUP(A23,'OI(Value)'!A23:O224,8,0)</f>
        <v>404</v>
      </c>
      <c r="Q23" s="179">
        <f>VLOOKUP(A23,'OI(Value)'!A23:O224,9,0)</f>
        <v>48</v>
      </c>
      <c r="R23" s="179">
        <f>VLOOKUP(A23,'OI(Value)'!A23:O224,11,0)</f>
        <v>314</v>
      </c>
      <c r="S23" s="179">
        <f>VLOOKUP(A23,'OI(Value)'!A23:O224,11,0)</f>
        <v>314</v>
      </c>
    </row>
    <row r="24" spans="1:19" x14ac:dyDescent="0.25">
      <c r="A24" s="105" t="str">
        <f>'Data shares'!C19</f>
        <v>AUROPHARMA</v>
      </c>
      <c r="B24" s="143">
        <f>VLOOKUP($A24,'Data shares'!$C:$FA,118)</f>
        <v>0.57999999999999996</v>
      </c>
      <c r="C24" s="143">
        <f>VLOOKUP($A24,'Data shares'!$C:$FA,119)</f>
        <v>0.57999999999999996</v>
      </c>
      <c r="D24" s="143">
        <f>VLOOKUP($A24,'Data shares'!$C:$FA,121)*100</f>
        <v>0</v>
      </c>
      <c r="E24" s="143">
        <f>VLOOKUP($A24,'Data shares'!$C:$FA,124)</f>
        <v>0.38</v>
      </c>
      <c r="F24" s="143">
        <f>VLOOKUP($A24,'Data shares'!$C:$FA,125)</f>
        <v>0.56000000000000005</v>
      </c>
      <c r="G24" s="143">
        <f>VLOOKUP($A24,'Data shares'!$C:$FA,127)*100</f>
        <v>-32.14</v>
      </c>
      <c r="H24" s="103">
        <f>VLOOKUP($A24,'OI(Volume)'!$A$7:$O$427,8)</f>
        <v>3020600</v>
      </c>
      <c r="I24" s="103">
        <f>VLOOKUP($A24,'OI(Volume)'!$A$7:$O$427,9)</f>
        <v>322300</v>
      </c>
      <c r="J24" s="103">
        <f>VLOOKUP($A24,'OI(Volume)'!$A$7:$O$427,11)</f>
        <v>1744600</v>
      </c>
      <c r="K24" s="103">
        <f>VLOOKUP($A24,'OI(Volume)'!$A$7:$O$427,12)</f>
        <v>184250</v>
      </c>
      <c r="L24" s="103">
        <f>VLOOKUP($A24,'OI(Value)'!$A$7:$O$306,8,0)</f>
        <v>362</v>
      </c>
      <c r="M24" s="103">
        <f>VLOOKUP($A24,'OI(Value)'!$A$7:$O$306,9,0)</f>
        <v>39</v>
      </c>
      <c r="N24" s="103">
        <f>VLOOKUP($A24,'OI(Value)'!$A$7:$O$306,11,0)</f>
        <v>209</v>
      </c>
      <c r="O24" s="103">
        <f>VLOOKUP($A24,'OI(Value)'!$A$7:$O$306,12,0)</f>
        <v>22</v>
      </c>
      <c r="P24" s="179">
        <f>VLOOKUP(A24,'OI(Value)'!A24:O225,8,0)</f>
        <v>362</v>
      </c>
      <c r="Q24" s="179">
        <f>VLOOKUP(A24,'OI(Value)'!A24:O225,9,0)</f>
        <v>39</v>
      </c>
      <c r="R24" s="179">
        <f>VLOOKUP(A24,'OI(Value)'!A24:O225,11,0)</f>
        <v>209</v>
      </c>
      <c r="S24" s="179">
        <f>VLOOKUP(A24,'OI(Value)'!A24:O225,11,0)</f>
        <v>209</v>
      </c>
    </row>
    <row r="25" spans="1:19" x14ac:dyDescent="0.25">
      <c r="A25" s="105" t="str">
        <f>'Data shares'!C20</f>
        <v>AXISBANK</v>
      </c>
      <c r="B25" s="143">
        <f>VLOOKUP($A25,'Data shares'!$C:$FA,118)</f>
        <v>0.88</v>
      </c>
      <c r="C25" s="143">
        <f>VLOOKUP($A25,'Data shares'!$C:$FA,119)</f>
        <v>0.86</v>
      </c>
      <c r="D25" s="143">
        <f>VLOOKUP($A25,'Data shares'!$C:$FA,121)*100</f>
        <v>2.33</v>
      </c>
      <c r="E25" s="143">
        <f>VLOOKUP($A25,'Data shares'!$C:$FA,124)</f>
        <v>0.81</v>
      </c>
      <c r="F25" s="143">
        <f>VLOOKUP($A25,'Data shares'!$C:$FA,125)</f>
        <v>0.62</v>
      </c>
      <c r="G25" s="143">
        <f>VLOOKUP($A25,'Data shares'!$C:$FA,127)*100</f>
        <v>30.65</v>
      </c>
      <c r="H25" s="103">
        <f>VLOOKUP($A25,'OI(Volume)'!$A$7:$O$427,8)</f>
        <v>10882500</v>
      </c>
      <c r="I25" s="103">
        <f>VLOOKUP($A25,'OI(Volume)'!$A$7:$O$427,9)</f>
        <v>1011875</v>
      </c>
      <c r="J25" s="103">
        <f>VLOOKUP($A25,'OI(Volume)'!$A$7:$O$427,11)</f>
        <v>9603750</v>
      </c>
      <c r="K25" s="103">
        <f>VLOOKUP($A25,'OI(Volume)'!$A$7:$O$427,12)</f>
        <v>1091250</v>
      </c>
      <c r="L25" s="103">
        <f>VLOOKUP($A25,'OI(Value)'!$A$7:$O$306,8,0)</f>
        <v>1392</v>
      </c>
      <c r="M25" s="103">
        <f>VLOOKUP($A25,'OI(Value)'!$A$7:$O$306,9,0)</f>
        <v>129</v>
      </c>
      <c r="N25" s="103">
        <f>VLOOKUP($A25,'OI(Value)'!$A$7:$O$306,11,0)</f>
        <v>1228</v>
      </c>
      <c r="O25" s="103">
        <f>VLOOKUP($A25,'OI(Value)'!$A$7:$O$306,12,0)</f>
        <v>140</v>
      </c>
      <c r="P25" s="179">
        <f>VLOOKUP(A25,'OI(Value)'!A25:O226,8,0)</f>
        <v>1392</v>
      </c>
      <c r="Q25" s="179">
        <f>VLOOKUP(A25,'OI(Value)'!A25:O226,9,0)</f>
        <v>129</v>
      </c>
      <c r="R25" s="179">
        <f>VLOOKUP(A25,'OI(Value)'!A25:O226,11,0)</f>
        <v>1228</v>
      </c>
      <c r="S25" s="179">
        <f>VLOOKUP(A25,'OI(Value)'!A25:O226,11,0)</f>
        <v>1228</v>
      </c>
    </row>
    <row r="26" spans="1:19" x14ac:dyDescent="0.25">
      <c r="A26" s="105" t="str">
        <f>'Data shares'!C21</f>
        <v>BAJAJ-AUTO</v>
      </c>
      <c r="B26" s="143">
        <f>VLOOKUP($A26,'Data shares'!$C:$FA,118)</f>
        <v>0.82</v>
      </c>
      <c r="C26" s="143">
        <f>VLOOKUP($A26,'Data shares'!$C:$FA,119)</f>
        <v>0.74</v>
      </c>
      <c r="D26" s="143">
        <f>VLOOKUP($A26,'Data shares'!$C:$FA,121)*100</f>
        <v>10.81</v>
      </c>
      <c r="E26" s="143">
        <f>VLOOKUP($A26,'Data shares'!$C:$FA,124)</f>
        <v>0.37</v>
      </c>
      <c r="F26" s="143">
        <f>VLOOKUP($A26,'Data shares'!$C:$FA,125)</f>
        <v>0.35</v>
      </c>
      <c r="G26" s="143">
        <f>VLOOKUP($A26,'Data shares'!$C:$FA,127)*100</f>
        <v>5.71</v>
      </c>
      <c r="H26" s="103">
        <f>VLOOKUP($A26,'OI(Volume)'!$A$7:$O$427,8)</f>
        <v>1080750</v>
      </c>
      <c r="I26" s="103">
        <f>VLOOKUP($A26,'OI(Volume)'!$A$7:$O$427,9)</f>
        <v>189300</v>
      </c>
      <c r="J26" s="103">
        <f>VLOOKUP($A26,'OI(Volume)'!$A$7:$O$427,11)</f>
        <v>886650</v>
      </c>
      <c r="K26" s="103">
        <f>VLOOKUP($A26,'OI(Volume)'!$A$7:$O$427,12)</f>
        <v>225525</v>
      </c>
      <c r="L26" s="103">
        <f>VLOOKUP($A26,'OI(Value)'!$A$7:$O$306,8,0)</f>
        <v>1039</v>
      </c>
      <c r="M26" s="103">
        <f>VLOOKUP($A26,'OI(Value)'!$A$7:$O$306,9,0)</f>
        <v>182</v>
      </c>
      <c r="N26" s="103">
        <f>VLOOKUP($A26,'OI(Value)'!$A$7:$O$306,11,0)</f>
        <v>852</v>
      </c>
      <c r="O26" s="103">
        <f>VLOOKUP($A26,'OI(Value)'!$A$7:$O$306,12,0)</f>
        <v>217</v>
      </c>
      <c r="P26" s="179">
        <f>VLOOKUP(A26,'OI(Value)'!A26:O227,8,0)</f>
        <v>1039</v>
      </c>
      <c r="Q26" s="179">
        <f>VLOOKUP(A26,'OI(Value)'!A26:O227,9,0)</f>
        <v>182</v>
      </c>
      <c r="R26" s="179">
        <f>VLOOKUP(A26,'OI(Value)'!A26:O227,11,0)</f>
        <v>852</v>
      </c>
      <c r="S26" s="179">
        <f>VLOOKUP(A26,'OI(Value)'!A26:O227,11,0)</f>
        <v>852</v>
      </c>
    </row>
    <row r="27" spans="1:19" x14ac:dyDescent="0.25">
      <c r="A27" s="105" t="str">
        <f>'Data shares'!C22</f>
        <v>BAJAJFINSV</v>
      </c>
      <c r="B27" s="143">
        <f>VLOOKUP($A27,'Data shares'!$C:$FA,118)</f>
        <v>0.87</v>
      </c>
      <c r="C27" s="143">
        <f>VLOOKUP($A27,'Data shares'!$C:$FA,119)</f>
        <v>0.92</v>
      </c>
      <c r="D27" s="143">
        <f>VLOOKUP($A27,'Data shares'!$C:$FA,121)*100</f>
        <v>-5.43</v>
      </c>
      <c r="E27" s="143">
        <f>VLOOKUP($A27,'Data shares'!$C:$FA,124)</f>
        <v>0.56999999999999995</v>
      </c>
      <c r="F27" s="143">
        <f>VLOOKUP($A27,'Data shares'!$C:$FA,125)</f>
        <v>0.5</v>
      </c>
      <c r="G27" s="143">
        <f>VLOOKUP($A27,'Data shares'!$C:$FA,127)*100</f>
        <v>14.000000000000002</v>
      </c>
      <c r="H27" s="103">
        <f>VLOOKUP($A27,'OI(Volume)'!$A$7:$O$427,8)</f>
        <v>2937750</v>
      </c>
      <c r="I27" s="103">
        <f>VLOOKUP($A27,'OI(Volume)'!$A$7:$O$427,9)</f>
        <v>410500</v>
      </c>
      <c r="J27" s="103">
        <f>VLOOKUP($A27,'OI(Volume)'!$A$7:$O$427,11)</f>
        <v>2543750</v>
      </c>
      <c r="K27" s="103">
        <f>VLOOKUP($A27,'OI(Volume)'!$A$7:$O$427,12)</f>
        <v>212000</v>
      </c>
      <c r="L27" s="103">
        <f>VLOOKUP($A27,'OI(Value)'!$A$7:$O$306,8,0)</f>
        <v>601</v>
      </c>
      <c r="M27" s="103">
        <f>VLOOKUP($A27,'OI(Value)'!$A$7:$O$306,9,0)</f>
        <v>84</v>
      </c>
      <c r="N27" s="103">
        <f>VLOOKUP($A27,'OI(Value)'!$A$7:$O$306,11,0)</f>
        <v>520</v>
      </c>
      <c r="O27" s="103">
        <f>VLOOKUP($A27,'OI(Value)'!$A$7:$O$306,12,0)</f>
        <v>43</v>
      </c>
      <c r="P27" s="179">
        <f>VLOOKUP(A27,'OI(Value)'!A27:O228,8,0)</f>
        <v>601</v>
      </c>
      <c r="Q27" s="179">
        <f>VLOOKUP(A27,'OI(Value)'!A27:O228,9,0)</f>
        <v>84</v>
      </c>
      <c r="R27" s="179">
        <f>VLOOKUP(A27,'OI(Value)'!A27:O228,11,0)</f>
        <v>520</v>
      </c>
      <c r="S27" s="179">
        <f>VLOOKUP(A27,'OI(Value)'!A27:O228,11,0)</f>
        <v>520</v>
      </c>
    </row>
    <row r="28" spans="1:19" x14ac:dyDescent="0.25">
      <c r="A28" s="105" t="str">
        <f>'Data shares'!C23</f>
        <v>BAJAJHLDNG</v>
      </c>
      <c r="B28" s="143">
        <f>VLOOKUP($A28,'Data shares'!$C:$FA,118)</f>
        <v>0.25</v>
      </c>
      <c r="C28" s="143">
        <f>VLOOKUP($A28,'Data shares'!$C:$FA,119)</f>
        <v>0.15</v>
      </c>
      <c r="D28" s="143">
        <f>VLOOKUP($A28,'Data shares'!$C:$FA,121)*100</f>
        <v>66.67</v>
      </c>
      <c r="E28" s="143">
        <f>VLOOKUP($A28,'Data shares'!$C:$FA,124)</f>
        <v>0.19</v>
      </c>
      <c r="F28" s="143">
        <f>VLOOKUP($A28,'Data shares'!$C:$FA,125)</f>
        <v>0.06</v>
      </c>
      <c r="G28" s="143">
        <f>VLOOKUP($A28,'Data shares'!$C:$FA,127)*100</f>
        <v>216.67000000000002</v>
      </c>
      <c r="H28" s="103">
        <f>VLOOKUP($A28,'OI(Volume)'!$A$7:$O$427,8)</f>
        <v>39750</v>
      </c>
      <c r="I28" s="103">
        <f>VLOOKUP($A28,'OI(Volume)'!$A$7:$O$427,9)</f>
        <v>10400</v>
      </c>
      <c r="J28" s="103">
        <f>VLOOKUP($A28,'OI(Volume)'!$A$7:$O$427,11)</f>
        <v>9750</v>
      </c>
      <c r="K28" s="103">
        <f>VLOOKUP($A28,'OI(Volume)'!$A$7:$O$427,12)</f>
        <v>5450</v>
      </c>
      <c r="L28" s="103">
        <f>VLOOKUP($A28,'OI(Value)'!$A$7:$O$306,8,0)</f>
        <v>45</v>
      </c>
      <c r="M28" s="103">
        <f>VLOOKUP($A28,'OI(Value)'!$A$7:$O$306,9,0)</f>
        <v>12</v>
      </c>
      <c r="N28" s="103">
        <f>VLOOKUP($A28,'OI(Value)'!$A$7:$O$306,11,0)</f>
        <v>11</v>
      </c>
      <c r="O28" s="103">
        <f>VLOOKUP($A28,'OI(Value)'!$A$7:$O$306,12,0)</f>
        <v>6</v>
      </c>
      <c r="P28" s="179">
        <f>VLOOKUP(A28,'OI(Value)'!A28:O229,8,0)</f>
        <v>45</v>
      </c>
      <c r="Q28" s="179">
        <f>VLOOKUP(A28,'OI(Value)'!A28:O229,9,0)</f>
        <v>12</v>
      </c>
      <c r="R28" s="179">
        <f>VLOOKUP(A28,'OI(Value)'!A28:O229,11,0)</f>
        <v>11</v>
      </c>
      <c r="S28" s="179">
        <f>VLOOKUP(A28,'OI(Value)'!A28:O229,11,0)</f>
        <v>11</v>
      </c>
    </row>
    <row r="29" spans="1:19" x14ac:dyDescent="0.25">
      <c r="A29" s="105" t="str">
        <f>'Data shares'!C24</f>
        <v>BAJFINANCE</v>
      </c>
      <c r="B29" s="143">
        <f>VLOOKUP($A29,'Data shares'!$C:$FA,118)</f>
        <v>0.71</v>
      </c>
      <c r="C29" s="143">
        <f>VLOOKUP($A29,'Data shares'!$C:$FA,119)</f>
        <v>0.74</v>
      </c>
      <c r="D29" s="143">
        <f>VLOOKUP($A29,'Data shares'!$C:$FA,121)*100</f>
        <v>-4.05</v>
      </c>
      <c r="E29" s="143">
        <f>VLOOKUP($A29,'Data shares'!$C:$FA,124)</f>
        <v>0.56999999999999995</v>
      </c>
      <c r="F29" s="143">
        <f>VLOOKUP($A29,'Data shares'!$C:$FA,125)</f>
        <v>0.48</v>
      </c>
      <c r="G29" s="143">
        <f>VLOOKUP($A29,'Data shares'!$C:$FA,127)*100</f>
        <v>18.75</v>
      </c>
      <c r="H29" s="103">
        <f>VLOOKUP($A29,'OI(Volume)'!$A$7:$O$427,8)</f>
        <v>23362500</v>
      </c>
      <c r="I29" s="103">
        <f>VLOOKUP($A29,'OI(Volume)'!$A$7:$O$427,9)</f>
        <v>4199250</v>
      </c>
      <c r="J29" s="103">
        <f>VLOOKUP($A29,'OI(Volume)'!$A$7:$O$427,11)</f>
        <v>16544250</v>
      </c>
      <c r="K29" s="103">
        <f>VLOOKUP($A29,'OI(Volume)'!$A$7:$O$427,12)</f>
        <v>2382750</v>
      </c>
      <c r="L29" s="103">
        <f>VLOOKUP($A29,'OI(Value)'!$A$7:$O$306,8,0)</f>
        <v>2289</v>
      </c>
      <c r="M29" s="103">
        <f>VLOOKUP($A29,'OI(Value)'!$A$7:$O$306,9,0)</f>
        <v>411</v>
      </c>
      <c r="N29" s="103">
        <f>VLOOKUP($A29,'OI(Value)'!$A$7:$O$306,11,0)</f>
        <v>1621</v>
      </c>
      <c r="O29" s="103">
        <f>VLOOKUP($A29,'OI(Value)'!$A$7:$O$306,12,0)</f>
        <v>233</v>
      </c>
      <c r="P29" s="179">
        <f>VLOOKUP(A29,'OI(Value)'!A29:O230,8,0)</f>
        <v>2289</v>
      </c>
      <c r="Q29" s="179">
        <f>VLOOKUP(A29,'OI(Value)'!A29:O230,9,0)</f>
        <v>411</v>
      </c>
      <c r="R29" s="179">
        <f>VLOOKUP(A29,'OI(Value)'!A29:O230,11,0)</f>
        <v>1621</v>
      </c>
      <c r="S29" s="179">
        <f>VLOOKUP(A29,'OI(Value)'!A29:O230,11,0)</f>
        <v>1621</v>
      </c>
    </row>
    <row r="30" spans="1:19" x14ac:dyDescent="0.25">
      <c r="A30" s="105" t="str">
        <f>'Data shares'!C25</f>
        <v>BANDHANBNK</v>
      </c>
      <c r="B30" s="143">
        <f>VLOOKUP($A30,'Data shares'!$C:$FA,118)</f>
        <v>1.07</v>
      </c>
      <c r="C30" s="143">
        <f>VLOOKUP($A30,'Data shares'!$C:$FA,119)</f>
        <v>1.08</v>
      </c>
      <c r="D30" s="143">
        <f>VLOOKUP($A30,'Data shares'!$C:$FA,121)*100</f>
        <v>-0.92999999999999994</v>
      </c>
      <c r="E30" s="143">
        <f>VLOOKUP($A30,'Data shares'!$C:$FA,124)</f>
        <v>0.42</v>
      </c>
      <c r="F30" s="143">
        <f>VLOOKUP($A30,'Data shares'!$C:$FA,125)</f>
        <v>0.49</v>
      </c>
      <c r="G30" s="143">
        <f>VLOOKUP($A30,'Data shares'!$C:$FA,127)*100</f>
        <v>-14.29</v>
      </c>
      <c r="H30" s="103">
        <f>VLOOKUP($A30,'OI(Volume)'!$A$7:$O$427,8)</f>
        <v>23248800</v>
      </c>
      <c r="I30" s="103">
        <f>VLOOKUP($A30,'OI(Volume)'!$A$7:$O$427,9)</f>
        <v>1890000</v>
      </c>
      <c r="J30" s="103">
        <f>VLOOKUP($A30,'OI(Volume)'!$A$7:$O$427,11)</f>
        <v>24811200</v>
      </c>
      <c r="K30" s="103">
        <f>VLOOKUP($A30,'OI(Volume)'!$A$7:$O$427,12)</f>
        <v>1652400</v>
      </c>
      <c r="L30" s="103">
        <f>VLOOKUP($A30,'OI(Value)'!$A$7:$O$306,8,0)</f>
        <v>337</v>
      </c>
      <c r="M30" s="103">
        <f>VLOOKUP($A30,'OI(Value)'!$A$7:$O$306,9,0)</f>
        <v>27</v>
      </c>
      <c r="N30" s="103">
        <f>VLOOKUP($A30,'OI(Value)'!$A$7:$O$306,11,0)</f>
        <v>360</v>
      </c>
      <c r="O30" s="103">
        <f>VLOOKUP($A30,'OI(Value)'!$A$7:$O$306,12,0)</f>
        <v>24</v>
      </c>
      <c r="P30" s="179">
        <f>VLOOKUP(A30,'OI(Value)'!A30:O231,8,0)</f>
        <v>337</v>
      </c>
      <c r="Q30" s="179">
        <f>VLOOKUP(A30,'OI(Value)'!A30:O231,9,0)</f>
        <v>27</v>
      </c>
      <c r="R30" s="179">
        <f>VLOOKUP(A30,'OI(Value)'!A30:O231,11,0)</f>
        <v>360</v>
      </c>
      <c r="S30" s="179">
        <f>VLOOKUP(A30,'OI(Value)'!A30:O231,11,0)</f>
        <v>360</v>
      </c>
    </row>
    <row r="31" spans="1:19" x14ac:dyDescent="0.25">
      <c r="A31" s="105" t="str">
        <f>'Data shares'!C26</f>
        <v>BANKBARODA</v>
      </c>
      <c r="B31" s="143">
        <f>VLOOKUP($A31,'Data shares'!$C:$FA,118)</f>
        <v>0.91</v>
      </c>
      <c r="C31" s="143">
        <f>VLOOKUP($A31,'Data shares'!$C:$FA,119)</f>
        <v>1.0900000000000001</v>
      </c>
      <c r="D31" s="143">
        <f>VLOOKUP($A31,'Data shares'!$C:$FA,121)*100</f>
        <v>-16.509999999999998</v>
      </c>
      <c r="E31" s="143">
        <f>VLOOKUP($A31,'Data shares'!$C:$FA,124)</f>
        <v>0.49</v>
      </c>
      <c r="F31" s="143">
        <f>VLOOKUP($A31,'Data shares'!$C:$FA,125)</f>
        <v>0.6</v>
      </c>
      <c r="G31" s="143">
        <f>VLOOKUP($A31,'Data shares'!$C:$FA,127)*100</f>
        <v>-18.329999999999998</v>
      </c>
      <c r="H31" s="103">
        <f>VLOOKUP($A31,'OI(Volume)'!$A$7:$O$427,8)</f>
        <v>26980200</v>
      </c>
      <c r="I31" s="103">
        <f>VLOOKUP($A31,'OI(Volume)'!$A$7:$O$427,9)</f>
        <v>7189650</v>
      </c>
      <c r="J31" s="103">
        <f>VLOOKUP($A31,'OI(Volume)'!$A$7:$O$427,11)</f>
        <v>24502725</v>
      </c>
      <c r="K31" s="103">
        <f>VLOOKUP($A31,'OI(Volume)'!$A$7:$O$427,12)</f>
        <v>2939625</v>
      </c>
      <c r="L31" s="103">
        <f>VLOOKUP($A31,'OI(Value)'!$A$7:$O$306,8,0)</f>
        <v>817</v>
      </c>
      <c r="M31" s="103">
        <f>VLOOKUP($A31,'OI(Value)'!$A$7:$O$306,9,0)</f>
        <v>218</v>
      </c>
      <c r="N31" s="103">
        <f>VLOOKUP($A31,'OI(Value)'!$A$7:$O$306,11,0)</f>
        <v>742</v>
      </c>
      <c r="O31" s="103">
        <f>VLOOKUP($A31,'OI(Value)'!$A$7:$O$306,12,0)</f>
        <v>89</v>
      </c>
      <c r="P31" s="179">
        <f>VLOOKUP(A31,'OI(Value)'!A31:O232,8,0)</f>
        <v>817</v>
      </c>
      <c r="Q31" s="179">
        <f>VLOOKUP(A31,'OI(Value)'!A31:O232,9,0)</f>
        <v>218</v>
      </c>
      <c r="R31" s="179">
        <f>VLOOKUP(A31,'OI(Value)'!A31:O232,11,0)</f>
        <v>742</v>
      </c>
      <c r="S31" s="179">
        <f>VLOOKUP(A31,'OI(Value)'!A31:O232,11,0)</f>
        <v>742</v>
      </c>
    </row>
    <row r="32" spans="1:19" x14ac:dyDescent="0.25">
      <c r="A32" s="105" t="str">
        <f>'Data shares'!C27</f>
        <v>BANKINDIA</v>
      </c>
      <c r="B32" s="143">
        <f>VLOOKUP($A32,'Data shares'!$C:$FA,118)</f>
        <v>1.22</v>
      </c>
      <c r="C32" s="143">
        <f>VLOOKUP($A32,'Data shares'!$C:$FA,119)</f>
        <v>1.06</v>
      </c>
      <c r="D32" s="143">
        <f>VLOOKUP($A32,'Data shares'!$C:$FA,121)*100</f>
        <v>15.09</v>
      </c>
      <c r="E32" s="143">
        <f>VLOOKUP($A32,'Data shares'!$C:$FA,124)</f>
        <v>0.55000000000000004</v>
      </c>
      <c r="F32" s="143">
        <f>VLOOKUP($A32,'Data shares'!$C:$FA,125)</f>
        <v>0.49</v>
      </c>
      <c r="G32" s="143">
        <f>VLOOKUP($A32,'Data shares'!$C:$FA,127)*100</f>
        <v>12.24</v>
      </c>
      <c r="H32" s="103">
        <f>VLOOKUP($A32,'OI(Volume)'!$A$7:$O$427,8)</f>
        <v>8918000</v>
      </c>
      <c r="I32" s="103">
        <f>VLOOKUP($A32,'OI(Volume)'!$A$7:$O$427,9)</f>
        <v>41600</v>
      </c>
      <c r="J32" s="103">
        <f>VLOOKUP($A32,'OI(Volume)'!$A$7:$O$427,11)</f>
        <v>10836800</v>
      </c>
      <c r="K32" s="103">
        <f>VLOOKUP($A32,'OI(Volume)'!$A$7:$O$427,12)</f>
        <v>1466400</v>
      </c>
      <c r="L32" s="103">
        <f>VLOOKUP($A32,'OI(Value)'!$A$7:$O$306,8,0)</f>
        <v>132</v>
      </c>
      <c r="M32" s="103">
        <f>VLOOKUP($A32,'OI(Value)'!$A$7:$O$306,9,0)</f>
        <v>1</v>
      </c>
      <c r="N32" s="103">
        <f>VLOOKUP($A32,'OI(Value)'!$A$7:$O$306,11,0)</f>
        <v>160</v>
      </c>
      <c r="O32" s="103">
        <f>VLOOKUP($A32,'OI(Value)'!$A$7:$O$306,12,0)</f>
        <v>22</v>
      </c>
      <c r="P32" s="179">
        <f>VLOOKUP(A32,'OI(Value)'!A32:O233,8,0)</f>
        <v>132</v>
      </c>
      <c r="Q32" s="179">
        <f>VLOOKUP(A32,'OI(Value)'!A32:O233,9,0)</f>
        <v>1</v>
      </c>
      <c r="R32" s="179">
        <f>VLOOKUP(A32,'OI(Value)'!A32:O233,11,0)</f>
        <v>160</v>
      </c>
      <c r="S32" s="179">
        <f>VLOOKUP(A32,'OI(Value)'!A32:O233,11,0)</f>
        <v>160</v>
      </c>
    </row>
    <row r="33" spans="1:19" x14ac:dyDescent="0.25">
      <c r="A33" s="105" t="str">
        <f>'Data shares'!C28</f>
        <v>BANKNIFTY</v>
      </c>
      <c r="B33" s="143">
        <f>VLOOKUP($A33,'Data shares'!$C:$FA,118)</f>
        <v>1.1399999999999999</v>
      </c>
      <c r="C33" s="143">
        <f>VLOOKUP($A33,'Data shares'!$C:$FA,119)</f>
        <v>1.1299999999999999</v>
      </c>
      <c r="D33" s="143">
        <f>VLOOKUP($A33,'Data shares'!$C:$FA,121)*100</f>
        <v>0.88</v>
      </c>
      <c r="E33" s="143">
        <f>VLOOKUP($A33,'Data shares'!$C:$FA,124)</f>
        <v>0.91</v>
      </c>
      <c r="F33" s="143">
        <f>VLOOKUP($A33,'Data shares'!$C:$FA,125)</f>
        <v>0.88</v>
      </c>
      <c r="G33" s="143">
        <f>VLOOKUP($A33,'Data shares'!$C:$FA,127)*100</f>
        <v>3.4099999999999997</v>
      </c>
      <c r="H33" s="103">
        <f>VLOOKUP($A33,'OI(Volume)'!$A$7:$O$427,8)</f>
        <v>10119080</v>
      </c>
      <c r="I33" s="103">
        <f>VLOOKUP($A33,'OI(Volume)'!$A$7:$O$427,9)</f>
        <v>753110</v>
      </c>
      <c r="J33" s="103">
        <f>VLOOKUP($A33,'OI(Volume)'!$A$7:$O$427,11)</f>
        <v>11505575</v>
      </c>
      <c r="K33" s="103">
        <f>VLOOKUP($A33,'OI(Volume)'!$A$7:$O$427,12)</f>
        <v>901660</v>
      </c>
      <c r="L33" s="103">
        <f>VLOOKUP($A33,'OI(Value)'!$A$7:$O$306,8,0)</f>
        <v>60670</v>
      </c>
      <c r="M33" s="103">
        <f>VLOOKUP($A33,'OI(Value)'!$A$7:$O$306,9,0)</f>
        <v>4515</v>
      </c>
      <c r="N33" s="103">
        <f>VLOOKUP($A33,'OI(Value)'!$A$7:$O$306,11,0)</f>
        <v>68982</v>
      </c>
      <c r="O33" s="103">
        <f>VLOOKUP($A33,'OI(Value)'!$A$7:$O$306,12,0)</f>
        <v>5406</v>
      </c>
      <c r="P33" s="179">
        <f>VLOOKUP(A33,'OI(Value)'!A33:O234,8,0)</f>
        <v>60670</v>
      </c>
      <c r="Q33" s="179">
        <f>VLOOKUP(A33,'OI(Value)'!A33:O234,9,0)</f>
        <v>4515</v>
      </c>
      <c r="R33" s="179">
        <f>VLOOKUP(A33,'OI(Value)'!A33:O234,11,0)</f>
        <v>68982</v>
      </c>
      <c r="S33" s="179">
        <f>VLOOKUP(A33,'OI(Value)'!A33:O234,11,0)</f>
        <v>68982</v>
      </c>
    </row>
    <row r="34" spans="1:19" x14ac:dyDescent="0.25">
      <c r="A34" s="105" t="str">
        <f>'Data shares'!C29</f>
        <v>BDL</v>
      </c>
      <c r="B34" s="143">
        <f>VLOOKUP($A34,'Data shares'!$C:$FA,118)</f>
        <v>0.9</v>
      </c>
      <c r="C34" s="143">
        <f>VLOOKUP($A34,'Data shares'!$C:$FA,119)</f>
        <v>0.91</v>
      </c>
      <c r="D34" s="143">
        <f>VLOOKUP($A34,'Data shares'!$C:$FA,121)*100</f>
        <v>-1.0999999999999999</v>
      </c>
      <c r="E34" s="143">
        <f>VLOOKUP($A34,'Data shares'!$C:$FA,124)</f>
        <v>0.56999999999999995</v>
      </c>
      <c r="F34" s="143">
        <f>VLOOKUP($A34,'Data shares'!$C:$FA,125)</f>
        <v>0.47</v>
      </c>
      <c r="G34" s="143">
        <f>VLOOKUP($A34,'Data shares'!$C:$FA,127)*100</f>
        <v>21.279999999999998</v>
      </c>
      <c r="H34" s="103">
        <f>VLOOKUP($A34,'OI(Volume)'!$A$7:$O$427,8)</f>
        <v>2696750</v>
      </c>
      <c r="I34" s="103">
        <f>VLOOKUP($A34,'OI(Volume)'!$A$7:$O$427,9)</f>
        <v>107800</v>
      </c>
      <c r="J34" s="103">
        <f>VLOOKUP($A34,'OI(Volume)'!$A$7:$O$427,11)</f>
        <v>2425150</v>
      </c>
      <c r="K34" s="103">
        <f>VLOOKUP($A34,'OI(Volume)'!$A$7:$O$427,12)</f>
        <v>57750</v>
      </c>
      <c r="L34" s="103">
        <f>VLOOKUP($A34,'OI(Value)'!$A$7:$O$306,8,0)</f>
        <v>401</v>
      </c>
      <c r="M34" s="103">
        <f>VLOOKUP($A34,'OI(Value)'!$A$7:$O$306,9,0)</f>
        <v>16</v>
      </c>
      <c r="N34" s="103">
        <f>VLOOKUP($A34,'OI(Value)'!$A$7:$O$306,11,0)</f>
        <v>361</v>
      </c>
      <c r="O34" s="103">
        <f>VLOOKUP($A34,'OI(Value)'!$A$7:$O$306,12,0)</f>
        <v>9</v>
      </c>
      <c r="P34" s="179">
        <f>VLOOKUP(A34,'OI(Value)'!A34:O235,8,0)</f>
        <v>401</v>
      </c>
      <c r="Q34" s="179">
        <f>VLOOKUP(A34,'OI(Value)'!A34:O235,9,0)</f>
        <v>16</v>
      </c>
      <c r="R34" s="179">
        <f>VLOOKUP(A34,'OI(Value)'!A34:O235,11,0)</f>
        <v>361</v>
      </c>
      <c r="S34" s="179">
        <f>VLOOKUP(A34,'OI(Value)'!A34:O235,11,0)</f>
        <v>361</v>
      </c>
    </row>
    <row r="35" spans="1:19" x14ac:dyDescent="0.25">
      <c r="A35" s="105" t="str">
        <f>'Data shares'!C30</f>
        <v>BEL</v>
      </c>
      <c r="B35" s="143">
        <f>VLOOKUP($A35,'Data shares'!$C:$FA,118)</f>
        <v>0.68</v>
      </c>
      <c r="C35" s="143">
        <f>VLOOKUP($A35,'Data shares'!$C:$FA,119)</f>
        <v>0.7</v>
      </c>
      <c r="D35" s="143">
        <f>VLOOKUP($A35,'Data shares'!$C:$FA,121)*100</f>
        <v>-2.86</v>
      </c>
      <c r="E35" s="143">
        <f>VLOOKUP($A35,'Data shares'!$C:$FA,124)</f>
        <v>0.43</v>
      </c>
      <c r="F35" s="143">
        <f>VLOOKUP($A35,'Data shares'!$C:$FA,125)</f>
        <v>0.42</v>
      </c>
      <c r="G35" s="143">
        <f>VLOOKUP($A35,'Data shares'!$C:$FA,127)*100</f>
        <v>2.3800000000000003</v>
      </c>
      <c r="H35" s="103">
        <f>VLOOKUP($A35,'OI(Volume)'!$A$7:$O$427,8)</f>
        <v>41759625</v>
      </c>
      <c r="I35" s="103">
        <f>VLOOKUP($A35,'OI(Volume)'!$A$7:$O$427,9)</f>
        <v>1553250</v>
      </c>
      <c r="J35" s="103">
        <f>VLOOKUP($A35,'OI(Volume)'!$A$7:$O$427,11)</f>
        <v>28539900</v>
      </c>
      <c r="K35" s="103">
        <f>VLOOKUP($A35,'OI(Volume)'!$A$7:$O$427,12)</f>
        <v>443175</v>
      </c>
      <c r="L35" s="103">
        <f>VLOOKUP($A35,'OI(Value)'!$A$7:$O$306,8,0)</f>
        <v>1672</v>
      </c>
      <c r="M35" s="103">
        <f>VLOOKUP($A35,'OI(Value)'!$A$7:$O$306,9,0)</f>
        <v>62</v>
      </c>
      <c r="N35" s="103">
        <f>VLOOKUP($A35,'OI(Value)'!$A$7:$O$306,11,0)</f>
        <v>1142</v>
      </c>
      <c r="O35" s="103">
        <f>VLOOKUP($A35,'OI(Value)'!$A$7:$O$306,12,0)</f>
        <v>18</v>
      </c>
      <c r="P35" s="179">
        <f>VLOOKUP(A35,'OI(Value)'!A35:O236,8,0)</f>
        <v>1672</v>
      </c>
      <c r="Q35" s="179">
        <f>VLOOKUP(A35,'OI(Value)'!A35:O236,9,0)</f>
        <v>62</v>
      </c>
      <c r="R35" s="179">
        <f>VLOOKUP(A35,'OI(Value)'!A35:O236,11,0)</f>
        <v>1142</v>
      </c>
      <c r="S35" s="179">
        <f>VLOOKUP(A35,'OI(Value)'!A35:O236,11,0)</f>
        <v>1142</v>
      </c>
    </row>
    <row r="36" spans="1:19" x14ac:dyDescent="0.25">
      <c r="A36" s="105" t="str">
        <f>'Data shares'!C31</f>
        <v>BHARATFORG</v>
      </c>
      <c r="B36" s="143">
        <f>VLOOKUP($A36,'Data shares'!$C:$FA,118)</f>
        <v>0.57999999999999996</v>
      </c>
      <c r="C36" s="143">
        <f>VLOOKUP($A36,'Data shares'!$C:$FA,119)</f>
        <v>0.56000000000000005</v>
      </c>
      <c r="D36" s="143">
        <f>VLOOKUP($A36,'Data shares'!$C:$FA,121)*100</f>
        <v>3.5700000000000003</v>
      </c>
      <c r="E36" s="143">
        <f>VLOOKUP($A36,'Data shares'!$C:$FA,124)</f>
        <v>0.48</v>
      </c>
      <c r="F36" s="143">
        <f>VLOOKUP($A36,'Data shares'!$C:$FA,125)</f>
        <v>0.24</v>
      </c>
      <c r="G36" s="143">
        <f>VLOOKUP($A36,'Data shares'!$C:$FA,127)*100</f>
        <v>100</v>
      </c>
      <c r="H36" s="103">
        <f>VLOOKUP($A36,'OI(Volume)'!$A$7:$O$427,8)</f>
        <v>2725000</v>
      </c>
      <c r="I36" s="103">
        <f>VLOOKUP($A36,'OI(Volume)'!$A$7:$O$427,9)</f>
        <v>40000</v>
      </c>
      <c r="J36" s="103">
        <f>VLOOKUP($A36,'OI(Volume)'!$A$7:$O$427,11)</f>
        <v>1591000</v>
      </c>
      <c r="K36" s="103">
        <f>VLOOKUP($A36,'OI(Volume)'!$A$7:$O$427,12)</f>
        <v>90500</v>
      </c>
      <c r="L36" s="103">
        <f>VLOOKUP($A36,'OI(Value)'!$A$7:$O$306,8,0)</f>
        <v>402</v>
      </c>
      <c r="M36" s="103">
        <f>VLOOKUP($A36,'OI(Value)'!$A$7:$O$306,9,0)</f>
        <v>6</v>
      </c>
      <c r="N36" s="103">
        <f>VLOOKUP($A36,'OI(Value)'!$A$7:$O$306,11,0)</f>
        <v>234</v>
      </c>
      <c r="O36" s="103">
        <f>VLOOKUP($A36,'OI(Value)'!$A$7:$O$306,12,0)</f>
        <v>13</v>
      </c>
      <c r="P36" s="179">
        <f>VLOOKUP(A36,'OI(Value)'!A36:O237,8,0)</f>
        <v>402</v>
      </c>
      <c r="Q36" s="179">
        <f>VLOOKUP(A36,'OI(Value)'!A36:O237,9,0)</f>
        <v>6</v>
      </c>
      <c r="R36" s="179">
        <f>VLOOKUP(A36,'OI(Value)'!A36:O237,11,0)</f>
        <v>234</v>
      </c>
      <c r="S36" s="179">
        <f>VLOOKUP(A36,'OI(Value)'!A36:O237,11,0)</f>
        <v>234</v>
      </c>
    </row>
    <row r="37" spans="1:19" x14ac:dyDescent="0.25">
      <c r="A37" s="105" t="str">
        <f>'Data shares'!C32</f>
        <v>BHARTIARTL</v>
      </c>
      <c r="B37" s="143">
        <f>VLOOKUP($A37,'Data shares'!$C:$FA,118)</f>
        <v>0.66</v>
      </c>
      <c r="C37" s="143">
        <f>VLOOKUP($A37,'Data shares'!$C:$FA,119)</f>
        <v>0.65</v>
      </c>
      <c r="D37" s="143">
        <f>VLOOKUP($A37,'Data shares'!$C:$FA,121)*100</f>
        <v>1.54</v>
      </c>
      <c r="E37" s="143">
        <f>VLOOKUP($A37,'Data shares'!$C:$FA,124)</f>
        <v>0.47</v>
      </c>
      <c r="F37" s="143">
        <f>VLOOKUP($A37,'Data shares'!$C:$FA,125)</f>
        <v>0.5</v>
      </c>
      <c r="G37" s="143">
        <f>VLOOKUP($A37,'Data shares'!$C:$FA,127)*100</f>
        <v>-6</v>
      </c>
      <c r="H37" s="103">
        <f>VLOOKUP($A37,'OI(Volume)'!$A$7:$O$427,8)</f>
        <v>6517475</v>
      </c>
      <c r="I37" s="103">
        <f>VLOOKUP($A37,'OI(Volume)'!$A$7:$O$427,9)</f>
        <v>661675</v>
      </c>
      <c r="J37" s="103">
        <f>VLOOKUP($A37,'OI(Volume)'!$A$7:$O$427,11)</f>
        <v>4285450</v>
      </c>
      <c r="K37" s="103">
        <f>VLOOKUP($A37,'OI(Volume)'!$A$7:$O$427,12)</f>
        <v>457900</v>
      </c>
      <c r="L37" s="103">
        <f>VLOOKUP($A37,'OI(Value)'!$A$7:$O$306,8,0)</f>
        <v>1384</v>
      </c>
      <c r="M37" s="103">
        <f>VLOOKUP($A37,'OI(Value)'!$A$7:$O$306,9,0)</f>
        <v>141</v>
      </c>
      <c r="N37" s="103">
        <f>VLOOKUP($A37,'OI(Value)'!$A$7:$O$306,11,0)</f>
        <v>910</v>
      </c>
      <c r="O37" s="103">
        <f>VLOOKUP($A37,'OI(Value)'!$A$7:$O$306,12,0)</f>
        <v>97</v>
      </c>
      <c r="P37" s="179">
        <f>VLOOKUP(A37,'OI(Value)'!A37:O238,8,0)</f>
        <v>1384</v>
      </c>
      <c r="Q37" s="179">
        <f>VLOOKUP(A37,'OI(Value)'!A37:O238,9,0)</f>
        <v>141</v>
      </c>
      <c r="R37" s="179">
        <f>VLOOKUP(A37,'OI(Value)'!A37:O238,11,0)</f>
        <v>910</v>
      </c>
      <c r="S37" s="179">
        <f>VLOOKUP(A37,'OI(Value)'!A37:O238,11,0)</f>
        <v>910</v>
      </c>
    </row>
    <row r="38" spans="1:19" x14ac:dyDescent="0.25">
      <c r="A38" s="105" t="str">
        <f>'Data shares'!C33</f>
        <v>BHEL</v>
      </c>
      <c r="B38" s="143">
        <f>VLOOKUP($A38,'Data shares'!$C:$FA,118)</f>
        <v>0.57999999999999996</v>
      </c>
      <c r="C38" s="143">
        <f>VLOOKUP($A38,'Data shares'!$C:$FA,119)</f>
        <v>0.54</v>
      </c>
      <c r="D38" s="143">
        <f>VLOOKUP($A38,'Data shares'!$C:$FA,121)*100</f>
        <v>7.41</v>
      </c>
      <c r="E38" s="143">
        <f>VLOOKUP($A38,'Data shares'!$C:$FA,124)</f>
        <v>0.3</v>
      </c>
      <c r="F38" s="143">
        <f>VLOOKUP($A38,'Data shares'!$C:$FA,125)</f>
        <v>0.36</v>
      </c>
      <c r="G38" s="143">
        <f>VLOOKUP($A38,'Data shares'!$C:$FA,127)*100</f>
        <v>-16.669999999999998</v>
      </c>
      <c r="H38" s="103">
        <f>VLOOKUP($A38,'OI(Volume)'!$A$7:$O$427,8)</f>
        <v>29904000</v>
      </c>
      <c r="I38" s="103">
        <f>VLOOKUP($A38,'OI(Volume)'!$A$7:$O$427,9)</f>
        <v>2021250</v>
      </c>
      <c r="J38" s="103">
        <f>VLOOKUP($A38,'OI(Volume)'!$A$7:$O$427,11)</f>
        <v>17448375</v>
      </c>
      <c r="K38" s="103">
        <f>VLOOKUP($A38,'OI(Volume)'!$A$7:$O$427,12)</f>
        <v>2430750</v>
      </c>
      <c r="L38" s="103">
        <f>VLOOKUP($A38,'OI(Value)'!$A$7:$O$306,8,0)</f>
        <v>877</v>
      </c>
      <c r="M38" s="103">
        <f>VLOOKUP($A38,'OI(Value)'!$A$7:$O$306,9,0)</f>
        <v>59</v>
      </c>
      <c r="N38" s="103">
        <f>VLOOKUP($A38,'OI(Value)'!$A$7:$O$306,11,0)</f>
        <v>512</v>
      </c>
      <c r="O38" s="103">
        <f>VLOOKUP($A38,'OI(Value)'!$A$7:$O$306,12,0)</f>
        <v>71</v>
      </c>
      <c r="P38" s="179">
        <f>VLOOKUP(A38,'OI(Value)'!A38:O239,8,0)</f>
        <v>877</v>
      </c>
      <c r="Q38" s="179">
        <f>VLOOKUP(A38,'OI(Value)'!A38:O239,9,0)</f>
        <v>59</v>
      </c>
      <c r="R38" s="179">
        <f>VLOOKUP(A38,'OI(Value)'!A38:O239,11,0)</f>
        <v>512</v>
      </c>
      <c r="S38" s="179">
        <f>VLOOKUP(A38,'OI(Value)'!A38:O239,11,0)</f>
        <v>512</v>
      </c>
    </row>
    <row r="39" spans="1:19" x14ac:dyDescent="0.25">
      <c r="A39" s="105" t="str">
        <f>'Data shares'!C34</f>
        <v>BIOCON</v>
      </c>
      <c r="B39" s="143">
        <f>VLOOKUP($A39,'Data shares'!$C:$FA,118)</f>
        <v>0.65</v>
      </c>
      <c r="C39" s="143">
        <f>VLOOKUP($A39,'Data shares'!$C:$FA,119)</f>
        <v>0.65</v>
      </c>
      <c r="D39" s="143">
        <f>VLOOKUP($A39,'Data shares'!$C:$FA,121)*100</f>
        <v>0</v>
      </c>
      <c r="E39" s="143">
        <f>VLOOKUP($A39,'Data shares'!$C:$FA,124)</f>
        <v>0.54</v>
      </c>
      <c r="F39" s="143">
        <f>VLOOKUP($A39,'Data shares'!$C:$FA,125)</f>
        <v>0.48</v>
      </c>
      <c r="G39" s="143">
        <f>VLOOKUP($A39,'Data shares'!$C:$FA,127)*100</f>
        <v>12.5</v>
      </c>
      <c r="H39" s="103">
        <f>VLOOKUP($A39,'OI(Volume)'!$A$7:$O$427,8)</f>
        <v>12312500</v>
      </c>
      <c r="I39" s="103">
        <f>VLOOKUP($A39,'OI(Volume)'!$A$7:$O$427,9)</f>
        <v>1077500</v>
      </c>
      <c r="J39" s="103">
        <f>VLOOKUP($A39,'OI(Volume)'!$A$7:$O$427,11)</f>
        <v>7985000</v>
      </c>
      <c r="K39" s="103">
        <f>VLOOKUP($A39,'OI(Volume)'!$A$7:$O$427,12)</f>
        <v>702500</v>
      </c>
      <c r="L39" s="103">
        <f>VLOOKUP($A39,'OI(Value)'!$A$7:$O$306,8,0)</f>
        <v>481</v>
      </c>
      <c r="M39" s="103">
        <f>VLOOKUP($A39,'OI(Value)'!$A$7:$O$306,9,0)</f>
        <v>42</v>
      </c>
      <c r="N39" s="103">
        <f>VLOOKUP($A39,'OI(Value)'!$A$7:$O$306,11,0)</f>
        <v>312</v>
      </c>
      <c r="O39" s="103">
        <f>VLOOKUP($A39,'OI(Value)'!$A$7:$O$306,12,0)</f>
        <v>27</v>
      </c>
      <c r="P39" s="179">
        <f>VLOOKUP(A39,'OI(Value)'!A39:O240,8,0)</f>
        <v>481</v>
      </c>
      <c r="Q39" s="179">
        <f>VLOOKUP(A39,'OI(Value)'!A39:O240,9,0)</f>
        <v>42</v>
      </c>
      <c r="R39" s="179">
        <f>VLOOKUP(A39,'OI(Value)'!A39:O240,11,0)</f>
        <v>312</v>
      </c>
      <c r="S39" s="179">
        <f>VLOOKUP(A39,'OI(Value)'!A39:O240,11,0)</f>
        <v>312</v>
      </c>
    </row>
    <row r="40" spans="1:19" x14ac:dyDescent="0.25">
      <c r="A40" s="105" t="str">
        <f>'Data shares'!C35</f>
        <v>BLUESTARCO</v>
      </c>
      <c r="B40" s="143">
        <f>VLOOKUP($A40,'Data shares'!$C:$FA,118)</f>
        <v>0.98</v>
      </c>
      <c r="C40" s="143">
        <f>VLOOKUP($A40,'Data shares'!$C:$FA,119)</f>
        <v>0.86</v>
      </c>
      <c r="D40" s="143">
        <f>VLOOKUP($A40,'Data shares'!$C:$FA,121)*100</f>
        <v>13.950000000000001</v>
      </c>
      <c r="E40" s="143">
        <f>VLOOKUP($A40,'Data shares'!$C:$FA,124)</f>
        <v>0.34</v>
      </c>
      <c r="F40" s="143">
        <f>VLOOKUP($A40,'Data shares'!$C:$FA,125)</f>
        <v>0.4</v>
      </c>
      <c r="G40" s="143">
        <f>VLOOKUP($A40,'Data shares'!$C:$FA,127)*100</f>
        <v>-15</v>
      </c>
      <c r="H40" s="103">
        <f>VLOOKUP($A40,'OI(Volume)'!$A$7:$O$427,8)</f>
        <v>204100</v>
      </c>
      <c r="I40" s="103">
        <f>VLOOKUP($A40,'OI(Volume)'!$A$7:$O$427,9)</f>
        <v>41925</v>
      </c>
      <c r="J40" s="103">
        <f>VLOOKUP($A40,'OI(Volume)'!$A$7:$O$427,11)</f>
        <v>199550</v>
      </c>
      <c r="K40" s="103">
        <f>VLOOKUP($A40,'OI(Volume)'!$A$7:$O$427,12)</f>
        <v>59800</v>
      </c>
      <c r="L40" s="103">
        <f>VLOOKUP($A40,'OI(Value)'!$A$7:$O$306,8,0)</f>
        <v>36</v>
      </c>
      <c r="M40" s="103">
        <f>VLOOKUP($A40,'OI(Value)'!$A$7:$O$306,9,0)</f>
        <v>7</v>
      </c>
      <c r="N40" s="103">
        <f>VLOOKUP($A40,'OI(Value)'!$A$7:$O$306,11,0)</f>
        <v>36</v>
      </c>
      <c r="O40" s="103">
        <f>VLOOKUP($A40,'OI(Value)'!$A$7:$O$306,12,0)</f>
        <v>11</v>
      </c>
      <c r="P40" s="179">
        <f>VLOOKUP(A40,'OI(Value)'!A40:O241,8,0)</f>
        <v>36</v>
      </c>
      <c r="Q40" s="179">
        <f>VLOOKUP(A40,'OI(Value)'!A40:O241,9,0)</f>
        <v>7</v>
      </c>
      <c r="R40" s="179">
        <f>VLOOKUP(A40,'OI(Value)'!A40:O241,11,0)</f>
        <v>36</v>
      </c>
      <c r="S40" s="179">
        <f>VLOOKUP(A40,'OI(Value)'!A40:O241,11,0)</f>
        <v>36</v>
      </c>
    </row>
    <row r="41" spans="1:19" x14ac:dyDescent="0.25">
      <c r="A41" s="105" t="str">
        <f>'Data shares'!C36</f>
        <v>BOSCHLTD</v>
      </c>
      <c r="B41" s="143">
        <f>VLOOKUP($A41,'Data shares'!$C:$FA,118)</f>
        <v>1.1000000000000001</v>
      </c>
      <c r="C41" s="143">
        <f>VLOOKUP($A41,'Data shares'!$C:$FA,119)</f>
        <v>0.96</v>
      </c>
      <c r="D41" s="143">
        <f>VLOOKUP($A41,'Data shares'!$C:$FA,121)*100</f>
        <v>14.580000000000002</v>
      </c>
      <c r="E41" s="143">
        <f>VLOOKUP($A41,'Data shares'!$C:$FA,124)</f>
        <v>1.57</v>
      </c>
      <c r="F41" s="143">
        <f>VLOOKUP($A41,'Data shares'!$C:$FA,125)</f>
        <v>0.47</v>
      </c>
      <c r="G41" s="143">
        <f>VLOOKUP($A41,'Data shares'!$C:$FA,127)*100</f>
        <v>234.04</v>
      </c>
      <c r="H41" s="103">
        <f>VLOOKUP($A41,'OI(Volume)'!$A$7:$O$427,8)</f>
        <v>31100</v>
      </c>
      <c r="I41" s="103">
        <f>VLOOKUP($A41,'OI(Volume)'!$A$7:$O$427,9)</f>
        <v>4775</v>
      </c>
      <c r="J41" s="103">
        <f>VLOOKUP($A41,'OI(Volume)'!$A$7:$O$427,11)</f>
        <v>34150</v>
      </c>
      <c r="K41" s="103">
        <f>VLOOKUP($A41,'OI(Volume)'!$A$7:$O$427,12)</f>
        <v>8925</v>
      </c>
      <c r="L41" s="103">
        <f>VLOOKUP($A41,'OI(Value)'!$A$7:$O$306,8,0)</f>
        <v>113</v>
      </c>
      <c r="M41" s="103">
        <f>VLOOKUP($A41,'OI(Value)'!$A$7:$O$306,9,0)</f>
        <v>17</v>
      </c>
      <c r="N41" s="103">
        <f>VLOOKUP($A41,'OI(Value)'!$A$7:$O$306,11,0)</f>
        <v>124</v>
      </c>
      <c r="O41" s="103">
        <f>VLOOKUP($A41,'OI(Value)'!$A$7:$O$306,12,0)</f>
        <v>32</v>
      </c>
      <c r="P41" s="179">
        <f>VLOOKUP(A41,'OI(Value)'!A41:O242,8,0)</f>
        <v>113</v>
      </c>
      <c r="Q41" s="179">
        <f>VLOOKUP(A41,'OI(Value)'!A41:O242,9,0)</f>
        <v>17</v>
      </c>
      <c r="R41" s="179">
        <f>VLOOKUP(A41,'OI(Value)'!A41:O242,11,0)</f>
        <v>124</v>
      </c>
      <c r="S41" s="179">
        <f>VLOOKUP(A41,'OI(Value)'!A41:O242,11,0)</f>
        <v>124</v>
      </c>
    </row>
    <row r="42" spans="1:19" x14ac:dyDescent="0.25">
      <c r="A42" s="105" t="str">
        <f>'Data shares'!C37</f>
        <v>BPCL</v>
      </c>
      <c r="B42" s="143">
        <f>VLOOKUP($A42,'Data shares'!$C:$FA,118)</f>
        <v>0.66</v>
      </c>
      <c r="C42" s="143">
        <f>VLOOKUP($A42,'Data shares'!$C:$FA,119)</f>
        <v>0.8</v>
      </c>
      <c r="D42" s="143">
        <f>VLOOKUP($A42,'Data shares'!$C:$FA,121)*100</f>
        <v>-17.5</v>
      </c>
      <c r="E42" s="143">
        <f>VLOOKUP($A42,'Data shares'!$C:$FA,124)</f>
        <v>0.49</v>
      </c>
      <c r="F42" s="143">
        <f>VLOOKUP($A42,'Data shares'!$C:$FA,125)</f>
        <v>0.35</v>
      </c>
      <c r="G42" s="143">
        <f>VLOOKUP($A42,'Data shares'!$C:$FA,127)*100</f>
        <v>40</v>
      </c>
      <c r="H42" s="103">
        <f>VLOOKUP($A42,'OI(Volume)'!$A$7:$O$427,8)</f>
        <v>10552425</v>
      </c>
      <c r="I42" s="103">
        <f>VLOOKUP($A42,'OI(Volume)'!$A$7:$O$427,9)</f>
        <v>1631350</v>
      </c>
      <c r="J42" s="103">
        <f>VLOOKUP($A42,'OI(Volume)'!$A$7:$O$427,11)</f>
        <v>6946075</v>
      </c>
      <c r="K42" s="103">
        <f>VLOOKUP($A42,'OI(Volume)'!$A$7:$O$427,12)</f>
        <v>-154050</v>
      </c>
      <c r="L42" s="103">
        <f>VLOOKUP($A42,'OI(Value)'!$A$7:$O$306,8,0)</f>
        <v>405</v>
      </c>
      <c r="M42" s="103">
        <f>VLOOKUP($A42,'OI(Value)'!$A$7:$O$306,9,0)</f>
        <v>63</v>
      </c>
      <c r="N42" s="103">
        <f>VLOOKUP($A42,'OI(Value)'!$A$7:$O$306,11,0)</f>
        <v>266</v>
      </c>
      <c r="O42" s="103">
        <f>VLOOKUP($A42,'OI(Value)'!$A$7:$O$306,12,0)</f>
        <v>-6</v>
      </c>
      <c r="P42" s="179">
        <f>VLOOKUP(A42,'OI(Value)'!A42:O243,8,0)</f>
        <v>405</v>
      </c>
      <c r="Q42" s="179">
        <f>VLOOKUP(A42,'OI(Value)'!A42:O243,9,0)</f>
        <v>63</v>
      </c>
      <c r="R42" s="179">
        <f>VLOOKUP(A42,'OI(Value)'!A42:O243,11,0)</f>
        <v>266</v>
      </c>
      <c r="S42" s="179">
        <f>VLOOKUP(A42,'OI(Value)'!A42:O243,11,0)</f>
        <v>266</v>
      </c>
    </row>
    <row r="43" spans="1:19" x14ac:dyDescent="0.25">
      <c r="A43" s="105" t="str">
        <f>'Data shares'!C38</f>
        <v>BRITANNIA</v>
      </c>
      <c r="B43" s="143">
        <f>VLOOKUP($A43,'Data shares'!$C:$FA,118)</f>
        <v>0.44</v>
      </c>
      <c r="C43" s="143">
        <f>VLOOKUP($A43,'Data shares'!$C:$FA,119)</f>
        <v>0.51</v>
      </c>
      <c r="D43" s="143">
        <f>VLOOKUP($A43,'Data shares'!$C:$FA,121)*100</f>
        <v>-13.73</v>
      </c>
      <c r="E43" s="143">
        <f>VLOOKUP($A43,'Data shares'!$C:$FA,124)</f>
        <v>0.45</v>
      </c>
      <c r="F43" s="143">
        <f>VLOOKUP($A43,'Data shares'!$C:$FA,125)</f>
        <v>0.38</v>
      </c>
      <c r="G43" s="143">
        <f>VLOOKUP($A43,'Data shares'!$C:$FA,127)*100</f>
        <v>18.420000000000002</v>
      </c>
      <c r="H43" s="103">
        <f>VLOOKUP($A43,'OI(Volume)'!$A$7:$O$427,8)</f>
        <v>443750</v>
      </c>
      <c r="I43" s="103">
        <f>VLOOKUP($A43,'OI(Volume)'!$A$7:$O$427,9)</f>
        <v>155125</v>
      </c>
      <c r="J43" s="103">
        <f>VLOOKUP($A43,'OI(Volume)'!$A$7:$O$427,11)</f>
        <v>193500</v>
      </c>
      <c r="K43" s="103">
        <f>VLOOKUP($A43,'OI(Volume)'!$A$7:$O$427,12)</f>
        <v>46500</v>
      </c>
      <c r="L43" s="103">
        <f>VLOOKUP($A43,'OI(Value)'!$A$7:$O$306,8,0)</f>
        <v>268</v>
      </c>
      <c r="M43" s="103">
        <f>VLOOKUP($A43,'OI(Value)'!$A$7:$O$306,9,0)</f>
        <v>94</v>
      </c>
      <c r="N43" s="103">
        <f>VLOOKUP($A43,'OI(Value)'!$A$7:$O$306,11,0)</f>
        <v>117</v>
      </c>
      <c r="O43" s="103">
        <f>VLOOKUP($A43,'OI(Value)'!$A$7:$O$306,12,0)</f>
        <v>28</v>
      </c>
      <c r="P43" s="179">
        <f>VLOOKUP(A43,'OI(Value)'!A43:O244,8,0)</f>
        <v>268</v>
      </c>
      <c r="Q43" s="179">
        <f>VLOOKUP(A43,'OI(Value)'!A43:O244,9,0)</f>
        <v>94</v>
      </c>
      <c r="R43" s="179">
        <f>VLOOKUP(A43,'OI(Value)'!A43:O244,11,0)</f>
        <v>117</v>
      </c>
      <c r="S43" s="179">
        <f>VLOOKUP(A43,'OI(Value)'!A43:O244,11,0)</f>
        <v>117</v>
      </c>
    </row>
    <row r="44" spans="1:19" x14ac:dyDescent="0.25">
      <c r="A44" s="105" t="str">
        <f>'Data shares'!C39</f>
        <v>BSE</v>
      </c>
      <c r="B44" s="143">
        <f>VLOOKUP($A44,'Data shares'!$C:$FA,118)</f>
        <v>0.66</v>
      </c>
      <c r="C44" s="143">
        <f>VLOOKUP($A44,'Data shares'!$C:$FA,119)</f>
        <v>0.68</v>
      </c>
      <c r="D44" s="143">
        <f>VLOOKUP($A44,'Data shares'!$C:$FA,121)*100</f>
        <v>-2.94</v>
      </c>
      <c r="E44" s="143">
        <f>VLOOKUP($A44,'Data shares'!$C:$FA,124)</f>
        <v>0.65</v>
      </c>
      <c r="F44" s="143">
        <f>VLOOKUP($A44,'Data shares'!$C:$FA,125)</f>
        <v>0.47</v>
      </c>
      <c r="G44" s="143">
        <f>VLOOKUP($A44,'Data shares'!$C:$FA,127)*100</f>
        <v>38.299999999999997</v>
      </c>
      <c r="H44" s="103">
        <f>VLOOKUP($A44,'OI(Volume)'!$A$7:$O$427,8)</f>
        <v>6651750</v>
      </c>
      <c r="I44" s="103">
        <f>VLOOKUP($A44,'OI(Volume)'!$A$7:$O$427,9)</f>
        <v>479250</v>
      </c>
      <c r="J44" s="103">
        <f>VLOOKUP($A44,'OI(Volume)'!$A$7:$O$427,11)</f>
        <v>4364250</v>
      </c>
      <c r="K44" s="103">
        <f>VLOOKUP($A44,'OI(Volume)'!$A$7:$O$427,12)</f>
        <v>148125</v>
      </c>
      <c r="L44" s="103">
        <f>VLOOKUP($A44,'OI(Value)'!$A$7:$O$306,8,0)</f>
        <v>1759</v>
      </c>
      <c r="M44" s="103">
        <f>VLOOKUP($A44,'OI(Value)'!$A$7:$O$306,9,0)</f>
        <v>127</v>
      </c>
      <c r="N44" s="103">
        <f>VLOOKUP($A44,'OI(Value)'!$A$7:$O$306,11,0)</f>
        <v>1154</v>
      </c>
      <c r="O44" s="103">
        <f>VLOOKUP($A44,'OI(Value)'!$A$7:$O$306,12,0)</f>
        <v>39</v>
      </c>
      <c r="P44" s="179">
        <f>VLOOKUP(A44,'OI(Value)'!A44:O245,8,0)</f>
        <v>1759</v>
      </c>
      <c r="Q44" s="179">
        <f>VLOOKUP(A44,'OI(Value)'!A44:O245,9,0)</f>
        <v>127</v>
      </c>
      <c r="R44" s="179">
        <f>VLOOKUP(A44,'OI(Value)'!A44:O245,11,0)</f>
        <v>1154</v>
      </c>
      <c r="S44" s="179">
        <f>VLOOKUP(A44,'OI(Value)'!A44:O245,11,0)</f>
        <v>1154</v>
      </c>
    </row>
    <row r="45" spans="1:19" x14ac:dyDescent="0.25">
      <c r="A45" s="105" t="str">
        <f>'Data shares'!C40</f>
        <v>CAMS</v>
      </c>
      <c r="B45" s="143">
        <f>VLOOKUP($A45,'Data shares'!$C:$FA,118)</f>
        <v>0.98</v>
      </c>
      <c r="C45" s="143">
        <f>VLOOKUP($A45,'Data shares'!$C:$FA,119)</f>
        <v>0.99</v>
      </c>
      <c r="D45" s="143">
        <f>VLOOKUP($A45,'Data shares'!$C:$FA,121)*100</f>
        <v>-1.01</v>
      </c>
      <c r="E45" s="143">
        <f>VLOOKUP($A45,'Data shares'!$C:$FA,124)</f>
        <v>0.49</v>
      </c>
      <c r="F45" s="143">
        <f>VLOOKUP($A45,'Data shares'!$C:$FA,125)</f>
        <v>0.51</v>
      </c>
      <c r="G45" s="143">
        <f>VLOOKUP($A45,'Data shares'!$C:$FA,127)*100</f>
        <v>-3.92</v>
      </c>
      <c r="H45" s="103">
        <f>VLOOKUP($A45,'OI(Volume)'!$A$7:$O$427,8)</f>
        <v>2170500</v>
      </c>
      <c r="I45" s="103">
        <f>VLOOKUP($A45,'OI(Volume)'!$A$7:$O$427,9)</f>
        <v>120750</v>
      </c>
      <c r="J45" s="103">
        <f>VLOOKUP($A45,'OI(Volume)'!$A$7:$O$427,11)</f>
        <v>2120250</v>
      </c>
      <c r="K45" s="103">
        <f>VLOOKUP($A45,'OI(Volume)'!$A$7:$O$427,12)</f>
        <v>81000</v>
      </c>
      <c r="L45" s="103">
        <f>VLOOKUP($A45,'OI(Value)'!$A$7:$O$306,8,0)</f>
        <v>161</v>
      </c>
      <c r="M45" s="103">
        <f>VLOOKUP($A45,'OI(Value)'!$A$7:$O$306,9,0)</f>
        <v>9</v>
      </c>
      <c r="N45" s="103">
        <f>VLOOKUP($A45,'OI(Value)'!$A$7:$O$306,11,0)</f>
        <v>157</v>
      </c>
      <c r="O45" s="103">
        <f>VLOOKUP($A45,'OI(Value)'!$A$7:$O$306,12,0)</f>
        <v>6</v>
      </c>
      <c r="P45" s="179">
        <f>VLOOKUP(A45,'OI(Value)'!A45:O246,8,0)</f>
        <v>161</v>
      </c>
      <c r="Q45" s="179">
        <f>VLOOKUP(A45,'OI(Value)'!A45:O246,9,0)</f>
        <v>9</v>
      </c>
      <c r="R45" s="179">
        <f>VLOOKUP(A45,'OI(Value)'!A45:O246,11,0)</f>
        <v>157</v>
      </c>
      <c r="S45" s="179">
        <f>VLOOKUP(A45,'OI(Value)'!A45:O246,11,0)</f>
        <v>157</v>
      </c>
    </row>
    <row r="46" spans="1:19" x14ac:dyDescent="0.25">
      <c r="A46" s="105" t="str">
        <f>'Data shares'!C41</f>
        <v>CANBK</v>
      </c>
      <c r="B46" s="143">
        <f>VLOOKUP($A46,'Data shares'!$C:$FA,118)</f>
        <v>0.9</v>
      </c>
      <c r="C46" s="143">
        <f>VLOOKUP($A46,'Data shares'!$C:$FA,119)</f>
        <v>0.95</v>
      </c>
      <c r="D46" s="143">
        <f>VLOOKUP($A46,'Data shares'!$C:$FA,121)*100</f>
        <v>-5.26</v>
      </c>
      <c r="E46" s="143">
        <f>VLOOKUP($A46,'Data shares'!$C:$FA,124)</f>
        <v>0.55000000000000004</v>
      </c>
      <c r="F46" s="143">
        <f>VLOOKUP($A46,'Data shares'!$C:$FA,125)</f>
        <v>0.53</v>
      </c>
      <c r="G46" s="143">
        <f>VLOOKUP($A46,'Data shares'!$C:$FA,127)*100</f>
        <v>3.7699999999999996</v>
      </c>
      <c r="H46" s="103">
        <f>VLOOKUP($A46,'OI(Volume)'!$A$7:$O$427,8)</f>
        <v>67014000</v>
      </c>
      <c r="I46" s="103">
        <f>VLOOKUP($A46,'OI(Volume)'!$A$7:$O$427,9)</f>
        <v>6540750</v>
      </c>
      <c r="J46" s="103">
        <f>VLOOKUP($A46,'OI(Volume)'!$A$7:$O$427,11)</f>
        <v>60608250</v>
      </c>
      <c r="K46" s="103">
        <f>VLOOKUP($A46,'OI(Volume)'!$A$7:$O$427,12)</f>
        <v>3111750</v>
      </c>
      <c r="L46" s="103">
        <f>VLOOKUP($A46,'OI(Value)'!$A$7:$O$306,8,0)</f>
        <v>1039</v>
      </c>
      <c r="M46" s="103">
        <f>VLOOKUP($A46,'OI(Value)'!$A$7:$O$306,9,0)</f>
        <v>101</v>
      </c>
      <c r="N46" s="103">
        <f>VLOOKUP($A46,'OI(Value)'!$A$7:$O$306,11,0)</f>
        <v>940</v>
      </c>
      <c r="O46" s="103">
        <f>VLOOKUP($A46,'OI(Value)'!$A$7:$O$306,12,0)</f>
        <v>48</v>
      </c>
      <c r="P46" s="179">
        <f>VLOOKUP(A46,'OI(Value)'!A46:O247,8,0)</f>
        <v>1039</v>
      </c>
      <c r="Q46" s="179">
        <f>VLOOKUP(A46,'OI(Value)'!A46:O247,9,0)</f>
        <v>101</v>
      </c>
      <c r="R46" s="179">
        <f>VLOOKUP(A46,'OI(Value)'!A46:O247,11,0)</f>
        <v>940</v>
      </c>
      <c r="S46" s="179">
        <f>VLOOKUP(A46,'OI(Value)'!A46:O247,11,0)</f>
        <v>940</v>
      </c>
    </row>
    <row r="47" spans="1:19" x14ac:dyDescent="0.25">
      <c r="A47" s="105" t="str">
        <f>'Data shares'!C42</f>
        <v>CDSL</v>
      </c>
      <c r="B47" s="143">
        <f>VLOOKUP($A47,'Data shares'!$C:$FA,118)</f>
        <v>0.76</v>
      </c>
      <c r="C47" s="143">
        <f>VLOOKUP($A47,'Data shares'!$C:$FA,119)</f>
        <v>0.78</v>
      </c>
      <c r="D47" s="143">
        <f>VLOOKUP($A47,'Data shares'!$C:$FA,121)*100</f>
        <v>-2.56</v>
      </c>
      <c r="E47" s="143">
        <f>VLOOKUP($A47,'Data shares'!$C:$FA,124)</f>
        <v>0.28999999999999998</v>
      </c>
      <c r="F47" s="143">
        <f>VLOOKUP($A47,'Data shares'!$C:$FA,125)</f>
        <v>0.46</v>
      </c>
      <c r="G47" s="143">
        <f>VLOOKUP($A47,'Data shares'!$C:$FA,127)*100</f>
        <v>-36.96</v>
      </c>
      <c r="H47" s="103">
        <f>VLOOKUP($A47,'OI(Volume)'!$A$7:$O$427,8)</f>
        <v>5184150</v>
      </c>
      <c r="I47" s="103">
        <f>VLOOKUP($A47,'OI(Volume)'!$A$7:$O$427,9)</f>
        <v>273600</v>
      </c>
      <c r="J47" s="103">
        <f>VLOOKUP($A47,'OI(Volume)'!$A$7:$O$427,11)</f>
        <v>3933000</v>
      </c>
      <c r="K47" s="103">
        <f>VLOOKUP($A47,'OI(Volume)'!$A$7:$O$427,12)</f>
        <v>81700</v>
      </c>
      <c r="L47" s="103">
        <f>VLOOKUP($A47,'OI(Value)'!$A$7:$O$306,8,0)</f>
        <v>754</v>
      </c>
      <c r="M47" s="103">
        <f>VLOOKUP($A47,'OI(Value)'!$A$7:$O$306,9,0)</f>
        <v>40</v>
      </c>
      <c r="N47" s="103">
        <f>VLOOKUP($A47,'OI(Value)'!$A$7:$O$306,11,0)</f>
        <v>572</v>
      </c>
      <c r="O47" s="103">
        <f>VLOOKUP($A47,'OI(Value)'!$A$7:$O$306,12,0)</f>
        <v>12</v>
      </c>
      <c r="P47" s="179">
        <f>VLOOKUP(A47,'OI(Value)'!A47:O248,8,0)</f>
        <v>754</v>
      </c>
      <c r="Q47" s="179">
        <f>VLOOKUP(A47,'OI(Value)'!A47:O248,9,0)</f>
        <v>40</v>
      </c>
      <c r="R47" s="179">
        <f>VLOOKUP(A47,'OI(Value)'!A47:O248,11,0)</f>
        <v>572</v>
      </c>
      <c r="S47" s="179">
        <f>VLOOKUP(A47,'OI(Value)'!A47:O248,11,0)</f>
        <v>572</v>
      </c>
    </row>
    <row r="48" spans="1:19" x14ac:dyDescent="0.25">
      <c r="A48" s="105" t="str">
        <f>'Data shares'!C43</f>
        <v>CGPOWER</v>
      </c>
      <c r="B48" s="143">
        <f>VLOOKUP($A48,'Data shares'!$C:$FA,118)</f>
        <v>0.69</v>
      </c>
      <c r="C48" s="143">
        <f>VLOOKUP($A48,'Data shares'!$C:$FA,119)</f>
        <v>0.75</v>
      </c>
      <c r="D48" s="143">
        <f>VLOOKUP($A48,'Data shares'!$C:$FA,121)*100</f>
        <v>-8</v>
      </c>
      <c r="E48" s="143">
        <f>VLOOKUP($A48,'Data shares'!$C:$FA,124)</f>
        <v>0.39</v>
      </c>
      <c r="F48" s="143">
        <f>VLOOKUP($A48,'Data shares'!$C:$FA,125)</f>
        <v>0.42</v>
      </c>
      <c r="G48" s="143">
        <f>VLOOKUP($A48,'Data shares'!$C:$FA,127)*100</f>
        <v>-7.1400000000000006</v>
      </c>
      <c r="H48" s="103">
        <f>VLOOKUP($A48,'OI(Volume)'!$A$7:$O$427,8)</f>
        <v>3587850</v>
      </c>
      <c r="I48" s="103">
        <f>VLOOKUP($A48,'OI(Volume)'!$A$7:$O$427,9)</f>
        <v>558450</v>
      </c>
      <c r="J48" s="103">
        <f>VLOOKUP($A48,'OI(Volume)'!$A$7:$O$427,11)</f>
        <v>2479450</v>
      </c>
      <c r="K48" s="103">
        <f>VLOOKUP($A48,'OI(Volume)'!$A$7:$O$427,12)</f>
        <v>201450</v>
      </c>
      <c r="L48" s="103">
        <f>VLOOKUP($A48,'OI(Value)'!$A$7:$O$306,8,0)</f>
        <v>230</v>
      </c>
      <c r="M48" s="103">
        <f>VLOOKUP($A48,'OI(Value)'!$A$7:$O$306,9,0)</f>
        <v>36</v>
      </c>
      <c r="N48" s="103">
        <f>VLOOKUP($A48,'OI(Value)'!$A$7:$O$306,11,0)</f>
        <v>159</v>
      </c>
      <c r="O48" s="103">
        <f>VLOOKUP($A48,'OI(Value)'!$A$7:$O$306,12,0)</f>
        <v>13</v>
      </c>
      <c r="P48" s="179">
        <f>VLOOKUP(A48,'OI(Value)'!A48:O249,8,0)</f>
        <v>230</v>
      </c>
      <c r="Q48" s="179">
        <f>VLOOKUP(A48,'OI(Value)'!A48:O249,9,0)</f>
        <v>36</v>
      </c>
      <c r="R48" s="179">
        <f>VLOOKUP(A48,'OI(Value)'!A48:O249,11,0)</f>
        <v>159</v>
      </c>
      <c r="S48" s="179">
        <f>VLOOKUP(A48,'OI(Value)'!A48:O249,11,0)</f>
        <v>159</v>
      </c>
    </row>
    <row r="49" spans="1:19" x14ac:dyDescent="0.25">
      <c r="A49" s="105" t="str">
        <f>'Data shares'!C44</f>
        <v>CHOLAFIN</v>
      </c>
      <c r="B49" s="143">
        <f>VLOOKUP($A49,'Data shares'!$C:$FA,118)</f>
        <v>1.02</v>
      </c>
      <c r="C49" s="143">
        <f>VLOOKUP($A49,'Data shares'!$C:$FA,119)</f>
        <v>0.98</v>
      </c>
      <c r="D49" s="143">
        <f>VLOOKUP($A49,'Data shares'!$C:$FA,121)*100</f>
        <v>4.08</v>
      </c>
      <c r="E49" s="143">
        <f>VLOOKUP($A49,'Data shares'!$C:$FA,124)</f>
        <v>0.49</v>
      </c>
      <c r="F49" s="143">
        <f>VLOOKUP($A49,'Data shares'!$C:$FA,125)</f>
        <v>0.67</v>
      </c>
      <c r="G49" s="143">
        <f>VLOOKUP($A49,'Data shares'!$C:$FA,127)*100</f>
        <v>-26.87</v>
      </c>
      <c r="H49" s="103">
        <f>VLOOKUP($A49,'OI(Volume)'!$A$7:$O$427,8)</f>
        <v>3416875</v>
      </c>
      <c r="I49" s="103">
        <f>VLOOKUP($A49,'OI(Volume)'!$A$7:$O$427,9)</f>
        <v>90000</v>
      </c>
      <c r="J49" s="103">
        <f>VLOOKUP($A49,'OI(Volume)'!$A$7:$O$427,11)</f>
        <v>3489375</v>
      </c>
      <c r="K49" s="103">
        <f>VLOOKUP($A49,'OI(Volume)'!$A$7:$O$427,12)</f>
        <v>226250</v>
      </c>
      <c r="L49" s="103">
        <f>VLOOKUP($A49,'OI(Value)'!$A$7:$O$306,8,0)</f>
        <v>593</v>
      </c>
      <c r="M49" s="103">
        <f>VLOOKUP($A49,'OI(Value)'!$A$7:$O$306,9,0)</f>
        <v>16</v>
      </c>
      <c r="N49" s="103">
        <f>VLOOKUP($A49,'OI(Value)'!$A$7:$O$306,11,0)</f>
        <v>605</v>
      </c>
      <c r="O49" s="103">
        <f>VLOOKUP($A49,'OI(Value)'!$A$7:$O$306,12,0)</f>
        <v>39</v>
      </c>
      <c r="P49" s="179">
        <f>VLOOKUP(A49,'OI(Value)'!A49:O250,8,0)</f>
        <v>593</v>
      </c>
      <c r="Q49" s="179">
        <f>VLOOKUP(A49,'OI(Value)'!A49:O250,9,0)</f>
        <v>16</v>
      </c>
      <c r="R49" s="179">
        <f>VLOOKUP(A49,'OI(Value)'!A49:O250,11,0)</f>
        <v>605</v>
      </c>
      <c r="S49" s="179">
        <f>VLOOKUP(A49,'OI(Value)'!A49:O250,11,0)</f>
        <v>605</v>
      </c>
    </row>
    <row r="50" spans="1:19" x14ac:dyDescent="0.25">
      <c r="A50" s="105" t="str">
        <f>'Data shares'!C45</f>
        <v>CIPLA</v>
      </c>
      <c r="B50" s="143">
        <f>VLOOKUP($A50,'Data shares'!$C:$FA,118)</f>
        <v>0.85</v>
      </c>
      <c r="C50" s="143">
        <f>VLOOKUP($A50,'Data shares'!$C:$FA,119)</f>
        <v>0.82</v>
      </c>
      <c r="D50" s="143">
        <f>VLOOKUP($A50,'Data shares'!$C:$FA,121)*100</f>
        <v>3.66</v>
      </c>
      <c r="E50" s="143">
        <f>VLOOKUP($A50,'Data shares'!$C:$FA,124)</f>
        <v>0.73</v>
      </c>
      <c r="F50" s="143">
        <f>VLOOKUP($A50,'Data shares'!$C:$FA,125)</f>
        <v>0.52</v>
      </c>
      <c r="G50" s="143">
        <f>VLOOKUP($A50,'Data shares'!$C:$FA,127)*100</f>
        <v>40.380000000000003</v>
      </c>
      <c r="H50" s="103">
        <f>VLOOKUP($A50,'OI(Volume)'!$A$7:$O$427,8)</f>
        <v>2703750</v>
      </c>
      <c r="I50" s="103">
        <f>VLOOKUP($A50,'OI(Volume)'!$A$7:$O$427,9)</f>
        <v>227625</v>
      </c>
      <c r="J50" s="103">
        <f>VLOOKUP($A50,'OI(Volume)'!$A$7:$O$427,11)</f>
        <v>2302125</v>
      </c>
      <c r="K50" s="103">
        <f>VLOOKUP($A50,'OI(Volume)'!$A$7:$O$427,12)</f>
        <v>263250</v>
      </c>
      <c r="L50" s="103">
        <f>VLOOKUP($A50,'OI(Value)'!$A$7:$O$306,8,0)</f>
        <v>408</v>
      </c>
      <c r="M50" s="103">
        <f>VLOOKUP($A50,'OI(Value)'!$A$7:$O$306,9,0)</f>
        <v>34</v>
      </c>
      <c r="N50" s="103">
        <f>VLOOKUP($A50,'OI(Value)'!$A$7:$O$306,11,0)</f>
        <v>348</v>
      </c>
      <c r="O50" s="103">
        <f>VLOOKUP($A50,'OI(Value)'!$A$7:$O$306,12,0)</f>
        <v>40</v>
      </c>
      <c r="P50" s="179">
        <f>VLOOKUP(A50,'OI(Value)'!A50:O251,8,0)</f>
        <v>408</v>
      </c>
      <c r="Q50" s="179">
        <f>VLOOKUP(A50,'OI(Value)'!A50:O251,9,0)</f>
        <v>34</v>
      </c>
      <c r="R50" s="179">
        <f>VLOOKUP(A50,'OI(Value)'!A50:O251,11,0)</f>
        <v>348</v>
      </c>
      <c r="S50" s="179">
        <f>VLOOKUP(A50,'OI(Value)'!A50:O251,11,0)</f>
        <v>348</v>
      </c>
    </row>
    <row r="51" spans="1:19" x14ac:dyDescent="0.25">
      <c r="A51" s="105" t="str">
        <f>'Data shares'!C46</f>
        <v>COALINDIA</v>
      </c>
      <c r="B51" s="143">
        <f>VLOOKUP($A51,'Data shares'!$C:$FA,118)</f>
        <v>0.56000000000000005</v>
      </c>
      <c r="C51" s="143">
        <f>VLOOKUP($A51,'Data shares'!$C:$FA,119)</f>
        <v>0.54</v>
      </c>
      <c r="D51" s="143">
        <f>VLOOKUP($A51,'Data shares'!$C:$FA,121)*100</f>
        <v>3.6999999999999997</v>
      </c>
      <c r="E51" s="143">
        <f>VLOOKUP($A51,'Data shares'!$C:$FA,124)</f>
        <v>0.36</v>
      </c>
      <c r="F51" s="143">
        <f>VLOOKUP($A51,'Data shares'!$C:$FA,125)</f>
        <v>0.36</v>
      </c>
      <c r="G51" s="143">
        <f>VLOOKUP($A51,'Data shares'!$C:$FA,127)*100</f>
        <v>0</v>
      </c>
      <c r="H51" s="103">
        <f>VLOOKUP($A51,'OI(Volume)'!$A$7:$O$427,8)</f>
        <v>32269050</v>
      </c>
      <c r="I51" s="103">
        <f>VLOOKUP($A51,'OI(Volume)'!$A$7:$O$427,9)</f>
        <v>1044900</v>
      </c>
      <c r="J51" s="103">
        <f>VLOOKUP($A51,'OI(Volume)'!$A$7:$O$427,11)</f>
        <v>18065700</v>
      </c>
      <c r="K51" s="103">
        <f>VLOOKUP($A51,'OI(Volume)'!$A$7:$O$427,12)</f>
        <v>1296000</v>
      </c>
      <c r="L51" s="103">
        <f>VLOOKUP($A51,'OI(Value)'!$A$7:$O$306,8,0)</f>
        <v>1299</v>
      </c>
      <c r="M51" s="103">
        <f>VLOOKUP($A51,'OI(Value)'!$A$7:$O$306,9,0)</f>
        <v>42</v>
      </c>
      <c r="N51" s="103">
        <f>VLOOKUP($A51,'OI(Value)'!$A$7:$O$306,11,0)</f>
        <v>727</v>
      </c>
      <c r="O51" s="103">
        <f>VLOOKUP($A51,'OI(Value)'!$A$7:$O$306,12,0)</f>
        <v>52</v>
      </c>
      <c r="P51" s="179">
        <f>VLOOKUP(A51,'OI(Value)'!A51:O252,8,0)</f>
        <v>1299</v>
      </c>
      <c r="Q51" s="179">
        <f>VLOOKUP(A51,'OI(Value)'!A51:O252,9,0)</f>
        <v>42</v>
      </c>
      <c r="R51" s="179">
        <f>VLOOKUP(A51,'OI(Value)'!A51:O252,11,0)</f>
        <v>727</v>
      </c>
      <c r="S51" s="179">
        <f>VLOOKUP(A51,'OI(Value)'!A51:O252,11,0)</f>
        <v>727</v>
      </c>
    </row>
    <row r="52" spans="1:19" x14ac:dyDescent="0.25">
      <c r="A52" s="105" t="str">
        <f>'Data shares'!C47</f>
        <v>COFORGE</v>
      </c>
      <c r="B52" s="143">
        <f>VLOOKUP($A52,'Data shares'!$C:$FA,118)</f>
        <v>0.5</v>
      </c>
      <c r="C52" s="143">
        <f>VLOOKUP($A52,'Data shares'!$C:$FA,119)</f>
        <v>0.51</v>
      </c>
      <c r="D52" s="143">
        <f>VLOOKUP($A52,'Data shares'!$C:$FA,121)*100</f>
        <v>-1.96</v>
      </c>
      <c r="E52" s="143">
        <f>VLOOKUP($A52,'Data shares'!$C:$FA,124)</f>
        <v>0.39</v>
      </c>
      <c r="F52" s="143">
        <f>VLOOKUP($A52,'Data shares'!$C:$FA,125)</f>
        <v>0.44</v>
      </c>
      <c r="G52" s="143">
        <f>VLOOKUP($A52,'Data shares'!$C:$FA,127)*100</f>
        <v>-11.360000000000001</v>
      </c>
      <c r="H52" s="103">
        <f>VLOOKUP($A52,'OI(Volume)'!$A$7:$O$427,8)</f>
        <v>9793500</v>
      </c>
      <c r="I52" s="103">
        <f>VLOOKUP($A52,'OI(Volume)'!$A$7:$O$427,9)</f>
        <v>331125</v>
      </c>
      <c r="J52" s="103">
        <f>VLOOKUP($A52,'OI(Volume)'!$A$7:$O$427,11)</f>
        <v>4868625</v>
      </c>
      <c r="K52" s="103">
        <f>VLOOKUP($A52,'OI(Volume)'!$A$7:$O$427,12)</f>
        <v>44625</v>
      </c>
      <c r="L52" s="103">
        <f>VLOOKUP($A52,'OI(Value)'!$A$7:$O$306,8,0)</f>
        <v>1633</v>
      </c>
      <c r="M52" s="103">
        <f>VLOOKUP($A52,'OI(Value)'!$A$7:$O$306,9,0)</f>
        <v>55</v>
      </c>
      <c r="N52" s="103">
        <f>VLOOKUP($A52,'OI(Value)'!$A$7:$O$306,11,0)</f>
        <v>812</v>
      </c>
      <c r="O52" s="103">
        <f>VLOOKUP($A52,'OI(Value)'!$A$7:$O$306,12,0)</f>
        <v>7</v>
      </c>
      <c r="P52" s="179">
        <f>VLOOKUP(A52,'OI(Value)'!A52:O253,8,0)</f>
        <v>1633</v>
      </c>
      <c r="Q52" s="179">
        <f>VLOOKUP(A52,'OI(Value)'!A52:O253,9,0)</f>
        <v>55</v>
      </c>
      <c r="R52" s="179">
        <f>VLOOKUP(A52,'OI(Value)'!A52:O253,11,0)</f>
        <v>812</v>
      </c>
      <c r="S52" s="179">
        <f>VLOOKUP(A52,'OI(Value)'!A52:O253,11,0)</f>
        <v>812</v>
      </c>
    </row>
    <row r="53" spans="1:19" x14ac:dyDescent="0.25">
      <c r="A53" s="105" t="str">
        <f>'Data shares'!C48</f>
        <v>COLPAL</v>
      </c>
      <c r="B53" s="143">
        <f>VLOOKUP($A53,'Data shares'!$C:$FA,118)</f>
        <v>1.02</v>
      </c>
      <c r="C53" s="143">
        <f>VLOOKUP($A53,'Data shares'!$C:$FA,119)</f>
        <v>1.08</v>
      </c>
      <c r="D53" s="143">
        <f>VLOOKUP($A53,'Data shares'!$C:$FA,121)*100</f>
        <v>-5.56</v>
      </c>
      <c r="E53" s="143">
        <f>VLOOKUP($A53,'Data shares'!$C:$FA,124)</f>
        <v>0.45</v>
      </c>
      <c r="F53" s="143">
        <f>VLOOKUP($A53,'Data shares'!$C:$FA,125)</f>
        <v>0.45</v>
      </c>
      <c r="G53" s="143">
        <f>VLOOKUP($A53,'Data shares'!$C:$FA,127)*100</f>
        <v>0</v>
      </c>
      <c r="H53" s="103">
        <f>VLOOKUP($A53,'OI(Volume)'!$A$7:$O$427,8)</f>
        <v>1347300</v>
      </c>
      <c r="I53" s="103">
        <f>VLOOKUP($A53,'OI(Volume)'!$A$7:$O$427,9)</f>
        <v>105075</v>
      </c>
      <c r="J53" s="103">
        <f>VLOOKUP($A53,'OI(Volume)'!$A$7:$O$427,11)</f>
        <v>1374300</v>
      </c>
      <c r="K53" s="103">
        <f>VLOOKUP($A53,'OI(Volume)'!$A$7:$O$427,12)</f>
        <v>35775</v>
      </c>
      <c r="L53" s="103">
        <f>VLOOKUP($A53,'OI(Value)'!$A$7:$O$306,8,0)</f>
        <v>283</v>
      </c>
      <c r="M53" s="103">
        <f>VLOOKUP($A53,'OI(Value)'!$A$7:$O$306,9,0)</f>
        <v>22</v>
      </c>
      <c r="N53" s="103">
        <f>VLOOKUP($A53,'OI(Value)'!$A$7:$O$306,11,0)</f>
        <v>288</v>
      </c>
      <c r="O53" s="103">
        <f>VLOOKUP($A53,'OI(Value)'!$A$7:$O$306,12,0)</f>
        <v>8</v>
      </c>
      <c r="P53" s="179">
        <f>VLOOKUP(A53,'OI(Value)'!A53:O254,8,0)</f>
        <v>283</v>
      </c>
      <c r="Q53" s="179">
        <f>VLOOKUP(A53,'OI(Value)'!A53:O254,9,0)</f>
        <v>22</v>
      </c>
      <c r="R53" s="179">
        <f>VLOOKUP(A53,'OI(Value)'!A53:O254,11,0)</f>
        <v>288</v>
      </c>
      <c r="S53" s="179">
        <f>VLOOKUP(A53,'OI(Value)'!A53:O254,11,0)</f>
        <v>288</v>
      </c>
    </row>
    <row r="54" spans="1:19" x14ac:dyDescent="0.25">
      <c r="A54" s="105" t="str">
        <f>'Data shares'!C49</f>
        <v>CONCOR</v>
      </c>
      <c r="B54" s="143">
        <f>VLOOKUP($A54,'Data shares'!$C:$FA,118)</f>
        <v>0.7</v>
      </c>
      <c r="C54" s="143">
        <f>VLOOKUP($A54,'Data shares'!$C:$FA,119)</f>
        <v>0.7</v>
      </c>
      <c r="D54" s="143">
        <f>VLOOKUP($A54,'Data shares'!$C:$FA,121)*100</f>
        <v>0</v>
      </c>
      <c r="E54" s="143">
        <f>VLOOKUP($A54,'Data shares'!$C:$FA,124)</f>
        <v>0.25</v>
      </c>
      <c r="F54" s="143">
        <f>VLOOKUP($A54,'Data shares'!$C:$FA,125)</f>
        <v>0.24</v>
      </c>
      <c r="G54" s="143">
        <f>VLOOKUP($A54,'Data shares'!$C:$FA,127)*100</f>
        <v>4.17</v>
      </c>
      <c r="H54" s="103">
        <f>VLOOKUP($A54,'OI(Volume)'!$A$7:$O$427,8)</f>
        <v>11392500</v>
      </c>
      <c r="I54" s="103">
        <f>VLOOKUP($A54,'OI(Volume)'!$A$7:$O$427,9)</f>
        <v>295000</v>
      </c>
      <c r="J54" s="103">
        <f>VLOOKUP($A54,'OI(Volume)'!$A$7:$O$427,11)</f>
        <v>7986250</v>
      </c>
      <c r="K54" s="103">
        <f>VLOOKUP($A54,'OI(Volume)'!$A$7:$O$427,12)</f>
        <v>196250</v>
      </c>
      <c r="L54" s="103">
        <f>VLOOKUP($A54,'OI(Value)'!$A$7:$O$306,8,0)</f>
        <v>600</v>
      </c>
      <c r="M54" s="103">
        <f>VLOOKUP($A54,'OI(Value)'!$A$7:$O$306,9,0)</f>
        <v>16</v>
      </c>
      <c r="N54" s="103">
        <f>VLOOKUP($A54,'OI(Value)'!$A$7:$O$306,11,0)</f>
        <v>421</v>
      </c>
      <c r="O54" s="103">
        <f>VLOOKUP($A54,'OI(Value)'!$A$7:$O$306,12,0)</f>
        <v>10</v>
      </c>
      <c r="P54" s="179">
        <f>VLOOKUP(A54,'OI(Value)'!A54:O255,8,0)</f>
        <v>600</v>
      </c>
      <c r="Q54" s="179">
        <f>VLOOKUP(A54,'OI(Value)'!A54:O255,9,0)</f>
        <v>16</v>
      </c>
      <c r="R54" s="179">
        <f>VLOOKUP(A54,'OI(Value)'!A54:O255,11,0)</f>
        <v>421</v>
      </c>
      <c r="S54" s="179">
        <f>VLOOKUP(A54,'OI(Value)'!A54:O255,11,0)</f>
        <v>421</v>
      </c>
    </row>
    <row r="55" spans="1:19" x14ac:dyDescent="0.25">
      <c r="A55" s="105" t="str">
        <f>'Data shares'!C50</f>
        <v>CROMPTON</v>
      </c>
      <c r="B55" s="143">
        <f>VLOOKUP($A55,'Data shares'!$C:$FA,118)</f>
        <v>0.67</v>
      </c>
      <c r="C55" s="143">
        <f>VLOOKUP($A55,'Data shares'!$C:$FA,119)</f>
        <v>0.72</v>
      </c>
      <c r="D55" s="143">
        <f>VLOOKUP($A55,'Data shares'!$C:$FA,121)*100</f>
        <v>-6.94</v>
      </c>
      <c r="E55" s="143">
        <f>VLOOKUP($A55,'Data shares'!$C:$FA,124)</f>
        <v>0.28999999999999998</v>
      </c>
      <c r="F55" s="143">
        <f>VLOOKUP($A55,'Data shares'!$C:$FA,125)</f>
        <v>0.48</v>
      </c>
      <c r="G55" s="143">
        <f>VLOOKUP($A55,'Data shares'!$C:$FA,127)*100</f>
        <v>-39.58</v>
      </c>
      <c r="H55" s="103">
        <f>VLOOKUP($A55,'OI(Volume)'!$A$7:$O$427,8)</f>
        <v>13516200</v>
      </c>
      <c r="I55" s="103">
        <f>VLOOKUP($A55,'OI(Volume)'!$A$7:$O$427,9)</f>
        <v>786600</v>
      </c>
      <c r="J55" s="103">
        <f>VLOOKUP($A55,'OI(Volume)'!$A$7:$O$427,11)</f>
        <v>9068400</v>
      </c>
      <c r="K55" s="103">
        <f>VLOOKUP($A55,'OI(Volume)'!$A$7:$O$427,12)</f>
        <v>-79200</v>
      </c>
      <c r="L55" s="103">
        <f>VLOOKUP($A55,'OI(Value)'!$A$7:$O$306,8,0)</f>
        <v>339</v>
      </c>
      <c r="M55" s="103">
        <f>VLOOKUP($A55,'OI(Value)'!$A$7:$O$306,9,0)</f>
        <v>20</v>
      </c>
      <c r="N55" s="103">
        <f>VLOOKUP($A55,'OI(Value)'!$A$7:$O$306,11,0)</f>
        <v>227</v>
      </c>
      <c r="O55" s="103">
        <f>VLOOKUP($A55,'OI(Value)'!$A$7:$O$306,12,0)</f>
        <v>-2</v>
      </c>
      <c r="P55" s="179">
        <f>VLOOKUP(A55,'OI(Value)'!A55:O256,8,0)</f>
        <v>339</v>
      </c>
      <c r="Q55" s="179">
        <f>VLOOKUP(A55,'OI(Value)'!A55:O256,9,0)</f>
        <v>20</v>
      </c>
      <c r="R55" s="179">
        <f>VLOOKUP(A55,'OI(Value)'!A55:O256,11,0)</f>
        <v>227</v>
      </c>
      <c r="S55" s="179">
        <f>VLOOKUP(A55,'OI(Value)'!A55:O256,11,0)</f>
        <v>227</v>
      </c>
    </row>
    <row r="56" spans="1:19" x14ac:dyDescent="0.25">
      <c r="A56" s="105" t="str">
        <f>'Data shares'!C51</f>
        <v>CUMMINSIND</v>
      </c>
      <c r="B56" s="143">
        <f>VLOOKUP($A56,'Data shares'!$C:$FA,118)</f>
        <v>0.78</v>
      </c>
      <c r="C56" s="143">
        <f>VLOOKUP($A56,'Data shares'!$C:$FA,119)</f>
        <v>0.82</v>
      </c>
      <c r="D56" s="143">
        <f>VLOOKUP($A56,'Data shares'!$C:$FA,121)*100</f>
        <v>-4.88</v>
      </c>
      <c r="E56" s="143">
        <f>VLOOKUP($A56,'Data shares'!$C:$FA,124)</f>
        <v>0.37</v>
      </c>
      <c r="F56" s="143">
        <f>VLOOKUP($A56,'Data shares'!$C:$FA,125)</f>
        <v>0.69</v>
      </c>
      <c r="G56" s="143">
        <f>VLOOKUP($A56,'Data shares'!$C:$FA,127)*100</f>
        <v>-46.379999999999995</v>
      </c>
      <c r="H56" s="103">
        <f>VLOOKUP($A56,'OI(Volume)'!$A$7:$O$427,8)</f>
        <v>560600</v>
      </c>
      <c r="I56" s="103">
        <f>VLOOKUP($A56,'OI(Volume)'!$A$7:$O$427,9)</f>
        <v>90200</v>
      </c>
      <c r="J56" s="103">
        <f>VLOOKUP($A56,'OI(Volume)'!$A$7:$O$427,11)</f>
        <v>439200</v>
      </c>
      <c r="K56" s="103">
        <f>VLOOKUP($A56,'OI(Volume)'!$A$7:$O$427,12)</f>
        <v>55600</v>
      </c>
      <c r="L56" s="103">
        <f>VLOOKUP($A56,'OI(Value)'!$A$7:$O$306,8,0)</f>
        <v>252</v>
      </c>
      <c r="M56" s="103">
        <f>VLOOKUP($A56,'OI(Value)'!$A$7:$O$306,9,0)</f>
        <v>41</v>
      </c>
      <c r="N56" s="103">
        <f>VLOOKUP($A56,'OI(Value)'!$A$7:$O$306,11,0)</f>
        <v>197</v>
      </c>
      <c r="O56" s="103">
        <f>VLOOKUP($A56,'OI(Value)'!$A$7:$O$306,12,0)</f>
        <v>25</v>
      </c>
      <c r="P56" s="179">
        <f>VLOOKUP(A56,'OI(Value)'!A56:O257,8,0)</f>
        <v>252</v>
      </c>
      <c r="Q56" s="179">
        <f>VLOOKUP(A56,'OI(Value)'!A56:O257,9,0)</f>
        <v>41</v>
      </c>
      <c r="R56" s="179">
        <f>VLOOKUP(A56,'OI(Value)'!A56:O257,11,0)</f>
        <v>197</v>
      </c>
      <c r="S56" s="179">
        <f>VLOOKUP(A56,'OI(Value)'!A56:O257,11,0)</f>
        <v>197</v>
      </c>
    </row>
    <row r="57" spans="1:19" x14ac:dyDescent="0.25">
      <c r="A57" s="105" t="str">
        <f>'Data shares'!C52</f>
        <v>DABUR</v>
      </c>
      <c r="B57" s="143">
        <f>VLOOKUP($A57,'Data shares'!$C:$FA,118)</f>
        <v>0.64</v>
      </c>
      <c r="C57" s="143">
        <f>VLOOKUP($A57,'Data shares'!$C:$FA,119)</f>
        <v>0.66</v>
      </c>
      <c r="D57" s="143">
        <f>VLOOKUP($A57,'Data shares'!$C:$FA,121)*100</f>
        <v>-3.0300000000000002</v>
      </c>
      <c r="E57" s="143">
        <f>VLOOKUP($A57,'Data shares'!$C:$FA,124)</f>
        <v>0.53</v>
      </c>
      <c r="F57" s="143">
        <f>VLOOKUP($A57,'Data shares'!$C:$FA,125)</f>
        <v>0.45</v>
      </c>
      <c r="G57" s="143">
        <f>VLOOKUP($A57,'Data shares'!$C:$FA,127)*100</f>
        <v>17.78</v>
      </c>
      <c r="H57" s="103">
        <f>VLOOKUP($A57,'OI(Volume)'!$A$7:$O$427,8)</f>
        <v>9543750</v>
      </c>
      <c r="I57" s="103">
        <f>VLOOKUP($A57,'OI(Volume)'!$A$7:$O$427,9)</f>
        <v>877500</v>
      </c>
      <c r="J57" s="103">
        <f>VLOOKUP($A57,'OI(Volume)'!$A$7:$O$427,11)</f>
        <v>6147500</v>
      </c>
      <c r="K57" s="103">
        <f>VLOOKUP($A57,'OI(Volume)'!$A$7:$O$427,12)</f>
        <v>468750</v>
      </c>
      <c r="L57" s="103">
        <f>VLOOKUP($A57,'OI(Value)'!$A$7:$O$306,8,0)</f>
        <v>480</v>
      </c>
      <c r="M57" s="103">
        <f>VLOOKUP($A57,'OI(Value)'!$A$7:$O$306,9,0)</f>
        <v>44</v>
      </c>
      <c r="N57" s="103">
        <f>VLOOKUP($A57,'OI(Value)'!$A$7:$O$306,11,0)</f>
        <v>309</v>
      </c>
      <c r="O57" s="103">
        <f>VLOOKUP($A57,'OI(Value)'!$A$7:$O$306,12,0)</f>
        <v>24</v>
      </c>
      <c r="P57" s="179">
        <f>VLOOKUP(A57,'OI(Value)'!A57:O258,8,0)</f>
        <v>480</v>
      </c>
      <c r="Q57" s="179">
        <f>VLOOKUP(A57,'OI(Value)'!A57:O258,9,0)</f>
        <v>44</v>
      </c>
      <c r="R57" s="179">
        <f>VLOOKUP(A57,'OI(Value)'!A57:O258,11,0)</f>
        <v>309</v>
      </c>
      <c r="S57" s="179">
        <f>VLOOKUP(A57,'OI(Value)'!A57:O258,11,0)</f>
        <v>309</v>
      </c>
    </row>
    <row r="58" spans="1:19" x14ac:dyDescent="0.25">
      <c r="A58" s="105" t="str">
        <f>'Data shares'!C53</f>
        <v>DALBHARAT</v>
      </c>
      <c r="B58" s="143">
        <f>VLOOKUP($A58,'Data shares'!$C:$FA,118)</f>
        <v>0.59</v>
      </c>
      <c r="C58" s="143">
        <f>VLOOKUP($A58,'Data shares'!$C:$FA,119)</f>
        <v>0.61</v>
      </c>
      <c r="D58" s="143">
        <f>VLOOKUP($A58,'Data shares'!$C:$FA,121)*100</f>
        <v>-3.2800000000000002</v>
      </c>
      <c r="E58" s="143">
        <f>VLOOKUP($A58,'Data shares'!$C:$FA,124)</f>
        <v>0.26</v>
      </c>
      <c r="F58" s="143">
        <f>VLOOKUP($A58,'Data shares'!$C:$FA,125)</f>
        <v>0.56000000000000005</v>
      </c>
      <c r="G58" s="143">
        <f>VLOOKUP($A58,'Data shares'!$C:$FA,127)*100</f>
        <v>-53.569999999999993</v>
      </c>
      <c r="H58" s="103">
        <f>VLOOKUP($A58,'OI(Volume)'!$A$7:$O$427,8)</f>
        <v>684450</v>
      </c>
      <c r="I58" s="103">
        <f>VLOOKUP($A58,'OI(Volume)'!$A$7:$O$427,9)</f>
        <v>51025</v>
      </c>
      <c r="J58" s="103">
        <f>VLOOKUP($A58,'OI(Volume)'!$A$7:$O$427,11)</f>
        <v>402675</v>
      </c>
      <c r="K58" s="103">
        <f>VLOOKUP($A58,'OI(Volume)'!$A$7:$O$427,12)</f>
        <v>16575</v>
      </c>
      <c r="L58" s="103">
        <f>VLOOKUP($A58,'OI(Value)'!$A$7:$O$306,8,0)</f>
        <v>147</v>
      </c>
      <c r="M58" s="103">
        <f>VLOOKUP($A58,'OI(Value)'!$A$7:$O$306,9,0)</f>
        <v>11</v>
      </c>
      <c r="N58" s="103">
        <f>VLOOKUP($A58,'OI(Value)'!$A$7:$O$306,11,0)</f>
        <v>87</v>
      </c>
      <c r="O58" s="103">
        <f>VLOOKUP($A58,'OI(Value)'!$A$7:$O$306,12,0)</f>
        <v>4</v>
      </c>
      <c r="P58" s="179">
        <f>VLOOKUP(A58,'OI(Value)'!A58:O259,8,0)</f>
        <v>147</v>
      </c>
      <c r="Q58" s="179">
        <f>VLOOKUP(A58,'OI(Value)'!A58:O259,9,0)</f>
        <v>11</v>
      </c>
      <c r="R58" s="179">
        <f>VLOOKUP(A58,'OI(Value)'!A58:O259,11,0)</f>
        <v>87</v>
      </c>
      <c r="S58" s="179">
        <f>VLOOKUP(A58,'OI(Value)'!A58:O259,11,0)</f>
        <v>87</v>
      </c>
    </row>
    <row r="59" spans="1:19" x14ac:dyDescent="0.25">
      <c r="A59" s="105" t="str">
        <f>'Data shares'!C54</f>
        <v>DELHIVERY</v>
      </c>
      <c r="B59" s="143">
        <f>VLOOKUP($A59,'Data shares'!$C:$FA,118)</f>
        <v>0.9</v>
      </c>
      <c r="C59" s="143">
        <f>VLOOKUP($A59,'Data shares'!$C:$FA,119)</f>
        <v>0.96</v>
      </c>
      <c r="D59" s="143">
        <f>VLOOKUP($A59,'Data shares'!$C:$FA,121)*100</f>
        <v>-6.25</v>
      </c>
      <c r="E59" s="143">
        <f>VLOOKUP($A59,'Data shares'!$C:$FA,124)</f>
        <v>0.41</v>
      </c>
      <c r="F59" s="143">
        <f>VLOOKUP($A59,'Data shares'!$C:$FA,125)</f>
        <v>0.55000000000000004</v>
      </c>
      <c r="G59" s="143">
        <f>VLOOKUP($A59,'Data shares'!$C:$FA,127)*100</f>
        <v>-25.45</v>
      </c>
      <c r="H59" s="103">
        <f>VLOOKUP($A59,'OI(Volume)'!$A$7:$O$427,8)</f>
        <v>3160225</v>
      </c>
      <c r="I59" s="103">
        <f>VLOOKUP($A59,'OI(Volume)'!$A$7:$O$427,9)</f>
        <v>363125</v>
      </c>
      <c r="J59" s="103">
        <f>VLOOKUP($A59,'OI(Volume)'!$A$7:$O$427,11)</f>
        <v>2846900</v>
      </c>
      <c r="K59" s="103">
        <f>VLOOKUP($A59,'OI(Volume)'!$A$7:$O$427,12)</f>
        <v>151475</v>
      </c>
      <c r="L59" s="103">
        <f>VLOOKUP($A59,'OI(Value)'!$A$7:$O$306,8,0)</f>
        <v>127</v>
      </c>
      <c r="M59" s="103">
        <f>VLOOKUP($A59,'OI(Value)'!$A$7:$O$306,9,0)</f>
        <v>15</v>
      </c>
      <c r="N59" s="103">
        <f>VLOOKUP($A59,'OI(Value)'!$A$7:$O$306,11,0)</f>
        <v>115</v>
      </c>
      <c r="O59" s="103">
        <f>VLOOKUP($A59,'OI(Value)'!$A$7:$O$306,12,0)</f>
        <v>6</v>
      </c>
      <c r="P59" s="179">
        <f>VLOOKUP(A59,'OI(Value)'!A59:O260,8,0)</f>
        <v>127</v>
      </c>
      <c r="Q59" s="179">
        <f>VLOOKUP(A59,'OI(Value)'!A59:O260,9,0)</f>
        <v>15</v>
      </c>
      <c r="R59" s="179">
        <f>VLOOKUP(A59,'OI(Value)'!A59:O260,11,0)</f>
        <v>115</v>
      </c>
      <c r="S59" s="179">
        <f>VLOOKUP(A59,'OI(Value)'!A59:O260,11,0)</f>
        <v>115</v>
      </c>
    </row>
    <row r="60" spans="1:19" x14ac:dyDescent="0.25">
      <c r="A60" s="105" t="str">
        <f>'Data shares'!C55</f>
        <v>DIVISLAB</v>
      </c>
      <c r="B60" s="143">
        <f>VLOOKUP($A60,'Data shares'!$C:$FA,118)</f>
        <v>0.56999999999999995</v>
      </c>
      <c r="C60" s="143">
        <f>VLOOKUP($A60,'Data shares'!$C:$FA,119)</f>
        <v>0.64</v>
      </c>
      <c r="D60" s="143">
        <f>VLOOKUP($A60,'Data shares'!$C:$FA,121)*100</f>
        <v>-10.94</v>
      </c>
      <c r="E60" s="143">
        <f>VLOOKUP($A60,'Data shares'!$C:$FA,124)</f>
        <v>0.49</v>
      </c>
      <c r="F60" s="143">
        <f>VLOOKUP($A60,'Data shares'!$C:$FA,125)</f>
        <v>0.57999999999999996</v>
      </c>
      <c r="G60" s="143">
        <f>VLOOKUP($A60,'Data shares'!$C:$FA,127)*100</f>
        <v>-15.52</v>
      </c>
      <c r="H60" s="103">
        <f>VLOOKUP($A60,'OI(Volume)'!$A$7:$O$427,8)</f>
        <v>546900</v>
      </c>
      <c r="I60" s="103">
        <f>VLOOKUP($A60,'OI(Volume)'!$A$7:$O$427,9)</f>
        <v>100700</v>
      </c>
      <c r="J60" s="103">
        <f>VLOOKUP($A60,'OI(Volume)'!$A$7:$O$427,11)</f>
        <v>309600</v>
      </c>
      <c r="K60" s="103">
        <f>VLOOKUP($A60,'OI(Volume)'!$A$7:$O$427,12)</f>
        <v>24000</v>
      </c>
      <c r="L60" s="103">
        <f>VLOOKUP($A60,'OI(Value)'!$A$7:$O$306,8,0)</f>
        <v>349</v>
      </c>
      <c r="M60" s="103">
        <f>VLOOKUP($A60,'OI(Value)'!$A$7:$O$306,9,0)</f>
        <v>64</v>
      </c>
      <c r="N60" s="103">
        <f>VLOOKUP($A60,'OI(Value)'!$A$7:$O$306,11,0)</f>
        <v>198</v>
      </c>
      <c r="O60" s="103">
        <f>VLOOKUP($A60,'OI(Value)'!$A$7:$O$306,12,0)</f>
        <v>15</v>
      </c>
      <c r="P60" s="179">
        <f>VLOOKUP(A60,'OI(Value)'!A60:O261,8,0)</f>
        <v>349</v>
      </c>
      <c r="Q60" s="179">
        <f>VLOOKUP(A60,'OI(Value)'!A60:O261,9,0)</f>
        <v>64</v>
      </c>
      <c r="R60" s="179">
        <f>VLOOKUP(A60,'OI(Value)'!A60:O261,11,0)</f>
        <v>198</v>
      </c>
      <c r="S60" s="179">
        <f>VLOOKUP(A60,'OI(Value)'!A60:O261,11,0)</f>
        <v>198</v>
      </c>
    </row>
    <row r="61" spans="1:19" x14ac:dyDescent="0.25">
      <c r="A61" s="105" t="str">
        <f>'Data shares'!C56</f>
        <v>DIXON</v>
      </c>
      <c r="B61" s="143">
        <f>VLOOKUP($A61,'Data shares'!$C:$FA,118)</f>
        <v>0.65</v>
      </c>
      <c r="C61" s="143">
        <f>VLOOKUP($A61,'Data shares'!$C:$FA,119)</f>
        <v>0.63</v>
      </c>
      <c r="D61" s="143">
        <f>VLOOKUP($A61,'Data shares'!$C:$FA,121)*100</f>
        <v>3.17</v>
      </c>
      <c r="E61" s="143">
        <f>VLOOKUP($A61,'Data shares'!$C:$FA,124)</f>
        <v>0.61</v>
      </c>
      <c r="F61" s="143">
        <f>VLOOKUP($A61,'Data shares'!$C:$FA,125)</f>
        <v>0.61</v>
      </c>
      <c r="G61" s="143">
        <f>VLOOKUP($A61,'Data shares'!$C:$FA,127)*100</f>
        <v>0</v>
      </c>
      <c r="H61" s="103">
        <f>VLOOKUP($A61,'OI(Volume)'!$A$7:$O$427,8)</f>
        <v>2260850</v>
      </c>
      <c r="I61" s="103">
        <f>VLOOKUP($A61,'OI(Volume)'!$A$7:$O$427,9)</f>
        <v>34650</v>
      </c>
      <c r="J61" s="103">
        <f>VLOOKUP($A61,'OI(Volume)'!$A$7:$O$427,11)</f>
        <v>1471800</v>
      </c>
      <c r="K61" s="103">
        <f>VLOOKUP($A61,'OI(Volume)'!$A$7:$O$427,12)</f>
        <v>76000</v>
      </c>
      <c r="L61" s="103">
        <f>VLOOKUP($A61,'OI(Value)'!$A$7:$O$306,8,0)</f>
        <v>2755</v>
      </c>
      <c r="M61" s="103">
        <f>VLOOKUP($A61,'OI(Value)'!$A$7:$O$306,9,0)</f>
        <v>42</v>
      </c>
      <c r="N61" s="103">
        <f>VLOOKUP($A61,'OI(Value)'!$A$7:$O$306,11,0)</f>
        <v>1793</v>
      </c>
      <c r="O61" s="103">
        <f>VLOOKUP($A61,'OI(Value)'!$A$7:$O$306,12,0)</f>
        <v>93</v>
      </c>
      <c r="P61" s="179">
        <f>VLOOKUP(A61,'OI(Value)'!A61:O262,8,0)</f>
        <v>2755</v>
      </c>
      <c r="Q61" s="179">
        <f>VLOOKUP(A61,'OI(Value)'!A61:O262,9,0)</f>
        <v>42</v>
      </c>
      <c r="R61" s="179">
        <f>VLOOKUP(A61,'OI(Value)'!A61:O262,11,0)</f>
        <v>1793</v>
      </c>
      <c r="S61" s="179">
        <f>VLOOKUP(A61,'OI(Value)'!A61:O262,11,0)</f>
        <v>1793</v>
      </c>
    </row>
    <row r="62" spans="1:19" x14ac:dyDescent="0.25">
      <c r="A62" s="105" t="str">
        <f>'Data shares'!C57</f>
        <v>DLF</v>
      </c>
      <c r="B62" s="143">
        <f>VLOOKUP($A62,'Data shares'!$C:$FA,118)</f>
        <v>0.85</v>
      </c>
      <c r="C62" s="143">
        <f>VLOOKUP($A62,'Data shares'!$C:$FA,119)</f>
        <v>0.88</v>
      </c>
      <c r="D62" s="143">
        <f>VLOOKUP($A62,'Data shares'!$C:$FA,121)*100</f>
        <v>-3.4099999999999997</v>
      </c>
      <c r="E62" s="143">
        <f>VLOOKUP($A62,'Data shares'!$C:$FA,124)</f>
        <v>0.56000000000000005</v>
      </c>
      <c r="F62" s="143">
        <f>VLOOKUP($A62,'Data shares'!$C:$FA,125)</f>
        <v>0.44</v>
      </c>
      <c r="G62" s="143">
        <f>VLOOKUP($A62,'Data shares'!$C:$FA,127)*100</f>
        <v>27.27</v>
      </c>
      <c r="H62" s="103">
        <f>VLOOKUP($A62,'OI(Volume)'!$A$7:$O$427,8)</f>
        <v>9740775</v>
      </c>
      <c r="I62" s="103">
        <f>VLOOKUP($A62,'OI(Volume)'!$A$7:$O$427,9)</f>
        <v>490050</v>
      </c>
      <c r="J62" s="103">
        <f>VLOOKUP($A62,'OI(Volume)'!$A$7:$O$427,11)</f>
        <v>8308575</v>
      </c>
      <c r="K62" s="103">
        <f>VLOOKUP($A62,'OI(Volume)'!$A$7:$O$427,12)</f>
        <v>143550</v>
      </c>
      <c r="L62" s="103">
        <f>VLOOKUP($A62,'OI(Value)'!$A$7:$O$306,8,0)</f>
        <v>677</v>
      </c>
      <c r="M62" s="103">
        <f>VLOOKUP($A62,'OI(Value)'!$A$7:$O$306,9,0)</f>
        <v>34</v>
      </c>
      <c r="N62" s="103">
        <f>VLOOKUP($A62,'OI(Value)'!$A$7:$O$306,11,0)</f>
        <v>578</v>
      </c>
      <c r="O62" s="103">
        <f>VLOOKUP($A62,'OI(Value)'!$A$7:$O$306,12,0)</f>
        <v>10</v>
      </c>
      <c r="P62" s="179">
        <f>VLOOKUP(A62,'OI(Value)'!A62:O263,8,0)</f>
        <v>677</v>
      </c>
      <c r="Q62" s="179">
        <f>VLOOKUP(A62,'OI(Value)'!A62:O263,9,0)</f>
        <v>34</v>
      </c>
      <c r="R62" s="179">
        <f>VLOOKUP(A62,'OI(Value)'!A62:O263,11,0)</f>
        <v>578</v>
      </c>
      <c r="S62" s="179">
        <f>VLOOKUP(A62,'OI(Value)'!A62:O263,11,0)</f>
        <v>578</v>
      </c>
    </row>
    <row r="63" spans="1:19" x14ac:dyDescent="0.25">
      <c r="A63" s="105" t="str">
        <f>'Data shares'!C58</f>
        <v>DMART</v>
      </c>
      <c r="B63" s="143">
        <f>VLOOKUP($A63,'Data shares'!$C:$FA,118)</f>
        <v>0.82</v>
      </c>
      <c r="C63" s="143">
        <f>VLOOKUP($A63,'Data shares'!$C:$FA,119)</f>
        <v>0.85</v>
      </c>
      <c r="D63" s="143">
        <f>VLOOKUP($A63,'Data shares'!$C:$FA,121)*100</f>
        <v>-3.53</v>
      </c>
      <c r="E63" s="143">
        <f>VLOOKUP($A63,'Data shares'!$C:$FA,124)</f>
        <v>0.74</v>
      </c>
      <c r="F63" s="143">
        <f>VLOOKUP($A63,'Data shares'!$C:$FA,125)</f>
        <v>0.52</v>
      </c>
      <c r="G63" s="143">
        <f>VLOOKUP($A63,'Data shares'!$C:$FA,127)*100</f>
        <v>42.309999999999995</v>
      </c>
      <c r="H63" s="103">
        <f>VLOOKUP($A63,'OI(Volume)'!$A$7:$O$427,8)</f>
        <v>1157850</v>
      </c>
      <c r="I63" s="103">
        <f>VLOOKUP($A63,'OI(Volume)'!$A$7:$O$427,9)</f>
        <v>193950</v>
      </c>
      <c r="J63" s="103">
        <f>VLOOKUP($A63,'OI(Volume)'!$A$7:$O$427,11)</f>
        <v>947550</v>
      </c>
      <c r="K63" s="103">
        <f>VLOOKUP($A63,'OI(Volume)'!$A$7:$O$427,12)</f>
        <v>131550</v>
      </c>
      <c r="L63" s="103">
        <f>VLOOKUP($A63,'OI(Value)'!$A$7:$O$306,8,0)</f>
        <v>430</v>
      </c>
      <c r="M63" s="103">
        <f>VLOOKUP($A63,'OI(Value)'!$A$7:$O$306,9,0)</f>
        <v>72</v>
      </c>
      <c r="N63" s="103">
        <f>VLOOKUP($A63,'OI(Value)'!$A$7:$O$306,11,0)</f>
        <v>352</v>
      </c>
      <c r="O63" s="103">
        <f>VLOOKUP($A63,'OI(Value)'!$A$7:$O$306,12,0)</f>
        <v>49</v>
      </c>
      <c r="P63" s="179">
        <f>VLOOKUP(A63,'OI(Value)'!A63:O264,8,0)</f>
        <v>430</v>
      </c>
      <c r="Q63" s="179">
        <f>VLOOKUP(A63,'OI(Value)'!A63:O264,9,0)</f>
        <v>72</v>
      </c>
      <c r="R63" s="179">
        <f>VLOOKUP(A63,'OI(Value)'!A63:O264,11,0)</f>
        <v>352</v>
      </c>
      <c r="S63" s="179">
        <f>VLOOKUP(A63,'OI(Value)'!A63:O264,11,0)</f>
        <v>352</v>
      </c>
    </row>
    <row r="64" spans="1:19" x14ac:dyDescent="0.25">
      <c r="A64" s="105" t="str">
        <f>'Data shares'!C59</f>
        <v>DRREDDY</v>
      </c>
      <c r="B64" s="143">
        <f>VLOOKUP($A64,'Data shares'!$C:$FA,118)</f>
        <v>0.56999999999999995</v>
      </c>
      <c r="C64" s="143">
        <f>VLOOKUP($A64,'Data shares'!$C:$FA,119)</f>
        <v>0.61</v>
      </c>
      <c r="D64" s="143">
        <f>VLOOKUP($A64,'Data shares'!$C:$FA,121)*100</f>
        <v>-6.5600000000000005</v>
      </c>
      <c r="E64" s="143">
        <f>VLOOKUP($A64,'Data shares'!$C:$FA,124)</f>
        <v>0.88</v>
      </c>
      <c r="F64" s="143">
        <f>VLOOKUP($A64,'Data shares'!$C:$FA,125)</f>
        <v>0.46</v>
      </c>
      <c r="G64" s="143">
        <f>VLOOKUP($A64,'Data shares'!$C:$FA,127)*100</f>
        <v>91.3</v>
      </c>
      <c r="H64" s="103">
        <f>VLOOKUP($A64,'OI(Volume)'!$A$7:$O$427,8)</f>
        <v>3600625</v>
      </c>
      <c r="I64" s="103">
        <f>VLOOKUP($A64,'OI(Volume)'!$A$7:$O$427,9)</f>
        <v>1243125</v>
      </c>
      <c r="J64" s="103">
        <f>VLOOKUP($A64,'OI(Volume)'!$A$7:$O$427,11)</f>
        <v>2043750</v>
      </c>
      <c r="K64" s="103">
        <f>VLOOKUP($A64,'OI(Volume)'!$A$7:$O$427,12)</f>
        <v>615625</v>
      </c>
      <c r="L64" s="103">
        <f>VLOOKUP($A64,'OI(Value)'!$A$7:$O$306,8,0)</f>
        <v>452</v>
      </c>
      <c r="M64" s="103">
        <f>VLOOKUP($A64,'OI(Value)'!$A$7:$O$306,9,0)</f>
        <v>156</v>
      </c>
      <c r="N64" s="103">
        <f>VLOOKUP($A64,'OI(Value)'!$A$7:$O$306,11,0)</f>
        <v>256</v>
      </c>
      <c r="O64" s="103">
        <f>VLOOKUP($A64,'OI(Value)'!$A$7:$O$306,12,0)</f>
        <v>77</v>
      </c>
      <c r="P64" s="179">
        <f>VLOOKUP(A64,'OI(Value)'!A64:O265,8,0)</f>
        <v>452</v>
      </c>
      <c r="Q64" s="179">
        <f>VLOOKUP(A64,'OI(Value)'!A64:O265,9,0)</f>
        <v>156</v>
      </c>
      <c r="R64" s="179">
        <f>VLOOKUP(A64,'OI(Value)'!A64:O265,11,0)</f>
        <v>256</v>
      </c>
      <c r="S64" s="179">
        <f>VLOOKUP(A64,'OI(Value)'!A64:O265,11,0)</f>
        <v>256</v>
      </c>
    </row>
    <row r="65" spans="1:19" x14ac:dyDescent="0.25">
      <c r="A65" s="105" t="str">
        <f>'Data shares'!C60</f>
        <v>EICHERMOT</v>
      </c>
      <c r="B65" s="143">
        <f>VLOOKUP($A65,'Data shares'!$C:$FA,118)</f>
        <v>0.85</v>
      </c>
      <c r="C65" s="143">
        <f>VLOOKUP($A65,'Data shares'!$C:$FA,119)</f>
        <v>0.81</v>
      </c>
      <c r="D65" s="143">
        <f>VLOOKUP($A65,'Data shares'!$C:$FA,121)*100</f>
        <v>4.9399999999999995</v>
      </c>
      <c r="E65" s="143">
        <f>VLOOKUP($A65,'Data shares'!$C:$FA,124)</f>
        <v>0.47</v>
      </c>
      <c r="F65" s="143">
        <f>VLOOKUP($A65,'Data shares'!$C:$FA,125)</f>
        <v>0.42</v>
      </c>
      <c r="G65" s="143">
        <f>VLOOKUP($A65,'Data shares'!$C:$FA,127)*100</f>
        <v>11.899999999999999</v>
      </c>
      <c r="H65" s="103">
        <f>VLOOKUP($A65,'OI(Volume)'!$A$7:$O$427,8)</f>
        <v>1002100</v>
      </c>
      <c r="I65" s="103">
        <f>VLOOKUP($A65,'OI(Volume)'!$A$7:$O$427,9)</f>
        <v>56300</v>
      </c>
      <c r="J65" s="103">
        <f>VLOOKUP($A65,'OI(Volume)'!$A$7:$O$427,11)</f>
        <v>848300</v>
      </c>
      <c r="K65" s="103">
        <f>VLOOKUP($A65,'OI(Volume)'!$A$7:$O$427,12)</f>
        <v>83200</v>
      </c>
      <c r="L65" s="103">
        <f>VLOOKUP($A65,'OI(Value)'!$A$7:$O$306,8,0)</f>
        <v>740</v>
      </c>
      <c r="M65" s="103">
        <f>VLOOKUP($A65,'OI(Value)'!$A$7:$O$306,9,0)</f>
        <v>42</v>
      </c>
      <c r="N65" s="103">
        <f>VLOOKUP($A65,'OI(Value)'!$A$7:$O$306,11,0)</f>
        <v>626</v>
      </c>
      <c r="O65" s="103">
        <f>VLOOKUP($A65,'OI(Value)'!$A$7:$O$306,12,0)</f>
        <v>61</v>
      </c>
      <c r="P65" s="179">
        <f>VLOOKUP(A65,'OI(Value)'!A65:O266,8,0)</f>
        <v>740</v>
      </c>
      <c r="Q65" s="179">
        <f>VLOOKUP(A65,'OI(Value)'!A65:O266,9,0)</f>
        <v>42</v>
      </c>
      <c r="R65" s="179">
        <f>VLOOKUP(A65,'OI(Value)'!A65:O266,11,0)</f>
        <v>626</v>
      </c>
      <c r="S65" s="179">
        <f>VLOOKUP(A65,'OI(Value)'!A65:O266,11,0)</f>
        <v>626</v>
      </c>
    </row>
    <row r="66" spans="1:19" x14ac:dyDescent="0.25">
      <c r="A66" s="105" t="str">
        <f>'Data shares'!C61</f>
        <v>ETERNAL</v>
      </c>
      <c r="B66" s="143">
        <f>VLOOKUP($A66,'Data shares'!$C:$FA,118)</f>
        <v>0.88</v>
      </c>
      <c r="C66" s="143">
        <f>VLOOKUP($A66,'Data shares'!$C:$FA,119)</f>
        <v>0.85</v>
      </c>
      <c r="D66" s="143">
        <f>VLOOKUP($A66,'Data shares'!$C:$FA,121)*100</f>
        <v>3.53</v>
      </c>
      <c r="E66" s="143">
        <f>VLOOKUP($A66,'Data shares'!$C:$FA,124)</f>
        <v>0.48</v>
      </c>
      <c r="F66" s="143">
        <f>VLOOKUP($A66,'Data shares'!$C:$FA,125)</f>
        <v>0.74</v>
      </c>
      <c r="G66" s="143">
        <f>VLOOKUP($A66,'Data shares'!$C:$FA,127)*100</f>
        <v>-35.14</v>
      </c>
      <c r="H66" s="103">
        <f>VLOOKUP($A66,'OI(Volume)'!$A$7:$O$427,8)</f>
        <v>34059125</v>
      </c>
      <c r="I66" s="103">
        <f>VLOOKUP($A66,'OI(Volume)'!$A$7:$O$427,9)</f>
        <v>2383775</v>
      </c>
      <c r="J66" s="103">
        <f>VLOOKUP($A66,'OI(Volume)'!$A$7:$O$427,11)</f>
        <v>29900250</v>
      </c>
      <c r="K66" s="103">
        <f>VLOOKUP($A66,'OI(Volume)'!$A$7:$O$427,12)</f>
        <v>3011850</v>
      </c>
      <c r="L66" s="103">
        <f>VLOOKUP($A66,'OI(Value)'!$A$7:$O$306,8,0)</f>
        <v>970</v>
      </c>
      <c r="M66" s="103">
        <f>VLOOKUP($A66,'OI(Value)'!$A$7:$O$306,9,0)</f>
        <v>68</v>
      </c>
      <c r="N66" s="103">
        <f>VLOOKUP($A66,'OI(Value)'!$A$7:$O$306,11,0)</f>
        <v>852</v>
      </c>
      <c r="O66" s="103">
        <f>VLOOKUP($A66,'OI(Value)'!$A$7:$O$306,12,0)</f>
        <v>86</v>
      </c>
      <c r="P66" s="179">
        <f>VLOOKUP(A66,'OI(Value)'!A66:O267,8,0)</f>
        <v>970</v>
      </c>
      <c r="Q66" s="179">
        <f>VLOOKUP(A66,'OI(Value)'!A66:O267,9,0)</f>
        <v>68</v>
      </c>
      <c r="R66" s="179">
        <f>VLOOKUP(A66,'OI(Value)'!A66:O267,11,0)</f>
        <v>852</v>
      </c>
      <c r="S66" s="179">
        <f>VLOOKUP(A66,'OI(Value)'!A66:O267,11,0)</f>
        <v>852</v>
      </c>
    </row>
    <row r="67" spans="1:19" x14ac:dyDescent="0.25">
      <c r="A67" s="105" t="str">
        <f>'Data shares'!C62</f>
        <v>EXIDEIND</v>
      </c>
      <c r="B67" s="143">
        <f>VLOOKUP($A67,'Data shares'!$C:$FA,118)</f>
        <v>0.76</v>
      </c>
      <c r="C67" s="143">
        <f>VLOOKUP($A67,'Data shares'!$C:$FA,119)</f>
        <v>0.77</v>
      </c>
      <c r="D67" s="143">
        <f>VLOOKUP($A67,'Data shares'!$C:$FA,121)*100</f>
        <v>-1.3</v>
      </c>
      <c r="E67" s="143">
        <f>VLOOKUP($A67,'Data shares'!$C:$FA,124)</f>
        <v>0.33</v>
      </c>
      <c r="F67" s="143">
        <f>VLOOKUP($A67,'Data shares'!$C:$FA,125)</f>
        <v>0.42</v>
      </c>
      <c r="G67" s="143">
        <f>VLOOKUP($A67,'Data shares'!$C:$FA,127)*100</f>
        <v>-21.43</v>
      </c>
      <c r="H67" s="103">
        <f>VLOOKUP($A67,'OI(Volume)'!$A$7:$O$427,8)</f>
        <v>9208800</v>
      </c>
      <c r="I67" s="103">
        <f>VLOOKUP($A67,'OI(Volume)'!$A$7:$O$427,9)</f>
        <v>597600</v>
      </c>
      <c r="J67" s="103">
        <f>VLOOKUP($A67,'OI(Volume)'!$A$7:$O$427,11)</f>
        <v>7018200</v>
      </c>
      <c r="K67" s="103">
        <f>VLOOKUP($A67,'OI(Volume)'!$A$7:$O$427,12)</f>
        <v>428400</v>
      </c>
      <c r="L67" s="103">
        <f>VLOOKUP($A67,'OI(Value)'!$A$7:$O$306,8,0)</f>
        <v>336</v>
      </c>
      <c r="M67" s="103">
        <f>VLOOKUP($A67,'OI(Value)'!$A$7:$O$306,9,0)</f>
        <v>22</v>
      </c>
      <c r="N67" s="103">
        <f>VLOOKUP($A67,'OI(Value)'!$A$7:$O$306,11,0)</f>
        <v>256</v>
      </c>
      <c r="O67" s="103">
        <f>VLOOKUP($A67,'OI(Value)'!$A$7:$O$306,12,0)</f>
        <v>16</v>
      </c>
      <c r="P67" s="179">
        <f>VLOOKUP(A67,'OI(Value)'!A67:O268,8,0)</f>
        <v>336</v>
      </c>
      <c r="Q67" s="179">
        <f>VLOOKUP(A67,'OI(Value)'!A67:O268,9,0)</f>
        <v>22</v>
      </c>
      <c r="R67" s="179">
        <f>VLOOKUP(A67,'OI(Value)'!A67:O268,11,0)</f>
        <v>256</v>
      </c>
      <c r="S67" s="179">
        <f>VLOOKUP(A67,'OI(Value)'!A67:O268,11,0)</f>
        <v>256</v>
      </c>
    </row>
    <row r="68" spans="1:19" x14ac:dyDescent="0.25">
      <c r="A68" s="105" t="str">
        <f>'Data shares'!C63</f>
        <v>FEDERALBNK</v>
      </c>
      <c r="B68" s="143">
        <f>VLOOKUP($A68,'Data shares'!$C:$FA,118)</f>
        <v>0.89</v>
      </c>
      <c r="C68" s="143">
        <f>VLOOKUP($A68,'Data shares'!$C:$FA,119)</f>
        <v>0.81</v>
      </c>
      <c r="D68" s="143">
        <f>VLOOKUP($A68,'Data shares'!$C:$FA,121)*100</f>
        <v>9.879999999999999</v>
      </c>
      <c r="E68" s="143">
        <f>VLOOKUP($A68,'Data shares'!$C:$FA,124)</f>
        <v>0.68</v>
      </c>
      <c r="F68" s="143">
        <f>VLOOKUP($A68,'Data shares'!$C:$FA,125)</f>
        <v>0.57999999999999996</v>
      </c>
      <c r="G68" s="143">
        <f>VLOOKUP($A68,'Data shares'!$C:$FA,127)*100</f>
        <v>17.239999999999998</v>
      </c>
      <c r="H68" s="103">
        <f>VLOOKUP($A68,'OI(Volume)'!$A$7:$O$427,8)</f>
        <v>19895000</v>
      </c>
      <c r="I68" s="103">
        <f>VLOOKUP($A68,'OI(Volume)'!$A$7:$O$427,9)</f>
        <v>1735000</v>
      </c>
      <c r="J68" s="103">
        <f>VLOOKUP($A68,'OI(Volume)'!$A$7:$O$427,11)</f>
        <v>17675000</v>
      </c>
      <c r="K68" s="103">
        <f>VLOOKUP($A68,'OI(Volume)'!$A$7:$O$427,12)</f>
        <v>2965000</v>
      </c>
      <c r="L68" s="103">
        <f>VLOOKUP($A68,'OI(Value)'!$A$7:$O$306,8,0)</f>
        <v>531</v>
      </c>
      <c r="M68" s="103">
        <f>VLOOKUP($A68,'OI(Value)'!$A$7:$O$306,9,0)</f>
        <v>46</v>
      </c>
      <c r="N68" s="103">
        <f>VLOOKUP($A68,'OI(Value)'!$A$7:$O$306,11,0)</f>
        <v>472</v>
      </c>
      <c r="O68" s="103">
        <f>VLOOKUP($A68,'OI(Value)'!$A$7:$O$306,12,0)</f>
        <v>79</v>
      </c>
      <c r="P68" s="179">
        <f>VLOOKUP(A68,'OI(Value)'!A68:O269,8,0)</f>
        <v>531</v>
      </c>
      <c r="Q68" s="179">
        <f>VLOOKUP(A68,'OI(Value)'!A68:O269,9,0)</f>
        <v>46</v>
      </c>
      <c r="R68" s="179">
        <f>VLOOKUP(A68,'OI(Value)'!A68:O269,11,0)</f>
        <v>472</v>
      </c>
      <c r="S68" s="179">
        <f>VLOOKUP(A68,'OI(Value)'!A68:O269,11,0)</f>
        <v>472</v>
      </c>
    </row>
    <row r="69" spans="1:19" x14ac:dyDescent="0.25">
      <c r="A69" s="105" t="str">
        <f>'Data shares'!C64</f>
        <v>FINNIFTY</v>
      </c>
      <c r="B69" s="143">
        <f>VLOOKUP($A69,'Data shares'!$C:$FA,118)</f>
        <v>0.86</v>
      </c>
      <c r="C69" s="143">
        <f>VLOOKUP($A69,'Data shares'!$C:$FA,119)</f>
        <v>0.83</v>
      </c>
      <c r="D69" s="143">
        <f>VLOOKUP($A69,'Data shares'!$C:$FA,121)*100</f>
        <v>3.61</v>
      </c>
      <c r="E69" s="143">
        <f>VLOOKUP($A69,'Data shares'!$C:$FA,124)</f>
        <v>1.08</v>
      </c>
      <c r="F69" s="143">
        <f>VLOOKUP($A69,'Data shares'!$C:$FA,125)</f>
        <v>0.79</v>
      </c>
      <c r="G69" s="143">
        <f>VLOOKUP($A69,'Data shares'!$C:$FA,127)*100</f>
        <v>36.71</v>
      </c>
      <c r="H69" s="103">
        <f>VLOOKUP($A69,'OI(Volume)'!$A$7:$O$427,8)</f>
        <v>169020</v>
      </c>
      <c r="I69" s="103">
        <f>VLOOKUP($A69,'OI(Volume)'!$A$7:$O$427,9)</f>
        <v>31020</v>
      </c>
      <c r="J69" s="103">
        <f>VLOOKUP($A69,'OI(Volume)'!$A$7:$O$427,11)</f>
        <v>144540</v>
      </c>
      <c r="K69" s="103">
        <f>VLOOKUP($A69,'OI(Volume)'!$A$7:$O$427,12)</f>
        <v>29520</v>
      </c>
      <c r="L69" s="103">
        <f>VLOOKUP($A69,'OI(Value)'!$A$7:$O$306,8,0)</f>
        <v>470</v>
      </c>
      <c r="M69" s="103">
        <f>VLOOKUP($A69,'OI(Value)'!$A$7:$O$306,9,0)</f>
        <v>86</v>
      </c>
      <c r="N69" s="103">
        <f>VLOOKUP($A69,'OI(Value)'!$A$7:$O$306,11,0)</f>
        <v>402</v>
      </c>
      <c r="O69" s="103">
        <f>VLOOKUP($A69,'OI(Value)'!$A$7:$O$306,12,0)</f>
        <v>82</v>
      </c>
      <c r="P69" s="179">
        <f>VLOOKUP(A69,'OI(Value)'!A69:O270,8,0)</f>
        <v>470</v>
      </c>
      <c r="Q69" s="179">
        <f>VLOOKUP(A69,'OI(Value)'!A69:O270,9,0)</f>
        <v>86</v>
      </c>
      <c r="R69" s="179">
        <f>VLOOKUP(A69,'OI(Value)'!A69:O270,11,0)</f>
        <v>402</v>
      </c>
      <c r="S69" s="179">
        <f>VLOOKUP(A69,'OI(Value)'!A69:O270,11,0)</f>
        <v>402</v>
      </c>
    </row>
    <row r="70" spans="1:19" x14ac:dyDescent="0.25">
      <c r="A70" s="105" t="str">
        <f>'Data shares'!C65</f>
        <v>FORTIS</v>
      </c>
      <c r="B70" s="143">
        <f>VLOOKUP($A70,'Data shares'!$C:$FA,118)</f>
        <v>0.61</v>
      </c>
      <c r="C70" s="143">
        <f>VLOOKUP($A70,'Data shares'!$C:$FA,119)</f>
        <v>0.77</v>
      </c>
      <c r="D70" s="143">
        <f>VLOOKUP($A70,'Data shares'!$C:$FA,121)*100</f>
        <v>-20.78</v>
      </c>
      <c r="E70" s="143">
        <f>VLOOKUP($A70,'Data shares'!$C:$FA,124)</f>
        <v>0.22</v>
      </c>
      <c r="F70" s="143">
        <f>VLOOKUP($A70,'Data shares'!$C:$FA,125)</f>
        <v>0.33</v>
      </c>
      <c r="G70" s="143">
        <f>VLOOKUP($A70,'Data shares'!$C:$FA,127)*100</f>
        <v>-33.33</v>
      </c>
      <c r="H70" s="103">
        <f>VLOOKUP($A70,'OI(Volume)'!$A$7:$O$427,8)</f>
        <v>1939825</v>
      </c>
      <c r="I70" s="103">
        <f>VLOOKUP($A70,'OI(Volume)'!$A$7:$O$427,9)</f>
        <v>504525</v>
      </c>
      <c r="J70" s="103">
        <f>VLOOKUP($A70,'OI(Volume)'!$A$7:$O$427,11)</f>
        <v>1179550</v>
      </c>
      <c r="K70" s="103">
        <f>VLOOKUP($A70,'OI(Volume)'!$A$7:$O$427,12)</f>
        <v>71300</v>
      </c>
      <c r="L70" s="103">
        <f>VLOOKUP($A70,'OI(Value)'!$A$7:$O$306,8,0)</f>
        <v>176</v>
      </c>
      <c r="M70" s="103">
        <f>VLOOKUP($A70,'OI(Value)'!$A$7:$O$306,9,0)</f>
        <v>46</v>
      </c>
      <c r="N70" s="103">
        <f>VLOOKUP($A70,'OI(Value)'!$A$7:$O$306,11,0)</f>
        <v>107</v>
      </c>
      <c r="O70" s="103">
        <f>VLOOKUP($A70,'OI(Value)'!$A$7:$O$306,12,0)</f>
        <v>6</v>
      </c>
      <c r="P70" s="179">
        <f>VLOOKUP(A70,'OI(Value)'!A70:O271,8,0)</f>
        <v>176</v>
      </c>
      <c r="Q70" s="179">
        <f>VLOOKUP(A70,'OI(Value)'!A70:O271,9,0)</f>
        <v>46</v>
      </c>
      <c r="R70" s="179">
        <f>VLOOKUP(A70,'OI(Value)'!A70:O271,11,0)</f>
        <v>107</v>
      </c>
      <c r="S70" s="179">
        <f>VLOOKUP(A70,'OI(Value)'!A70:O271,11,0)</f>
        <v>107</v>
      </c>
    </row>
    <row r="71" spans="1:19" x14ac:dyDescent="0.25">
      <c r="A71" s="105" t="str">
        <f>'Data shares'!C66</f>
        <v>GAIL</v>
      </c>
      <c r="B71" s="143">
        <f>VLOOKUP($A71,'Data shares'!$C:$FA,118)</f>
        <v>1</v>
      </c>
      <c r="C71" s="143">
        <f>VLOOKUP($A71,'Data shares'!$C:$FA,119)</f>
        <v>1.03</v>
      </c>
      <c r="D71" s="143">
        <f>VLOOKUP($A71,'Data shares'!$C:$FA,121)*100</f>
        <v>-2.91</v>
      </c>
      <c r="E71" s="143">
        <f>VLOOKUP($A71,'Data shares'!$C:$FA,124)</f>
        <v>0.47</v>
      </c>
      <c r="F71" s="143">
        <f>VLOOKUP($A71,'Data shares'!$C:$FA,125)</f>
        <v>0.8</v>
      </c>
      <c r="G71" s="143">
        <f>VLOOKUP($A71,'Data shares'!$C:$FA,127)*100</f>
        <v>-41.25</v>
      </c>
      <c r="H71" s="103">
        <f>VLOOKUP($A71,'OI(Volume)'!$A$7:$O$427,8)</f>
        <v>25177950</v>
      </c>
      <c r="I71" s="103">
        <f>VLOOKUP($A71,'OI(Volume)'!$A$7:$O$427,9)</f>
        <v>1726200</v>
      </c>
      <c r="J71" s="103">
        <f>VLOOKUP($A71,'OI(Volume)'!$A$7:$O$427,11)</f>
        <v>25212600</v>
      </c>
      <c r="K71" s="103">
        <f>VLOOKUP($A71,'OI(Volume)'!$A$7:$O$427,12)</f>
        <v>1086750</v>
      </c>
      <c r="L71" s="103">
        <f>VLOOKUP($A71,'OI(Value)'!$A$7:$O$306,8,0)</f>
        <v>435</v>
      </c>
      <c r="M71" s="103">
        <f>VLOOKUP($A71,'OI(Value)'!$A$7:$O$306,9,0)</f>
        <v>30</v>
      </c>
      <c r="N71" s="103">
        <f>VLOOKUP($A71,'OI(Value)'!$A$7:$O$306,11,0)</f>
        <v>436</v>
      </c>
      <c r="O71" s="103">
        <f>VLOOKUP($A71,'OI(Value)'!$A$7:$O$306,12,0)</f>
        <v>19</v>
      </c>
      <c r="P71" s="179">
        <f>VLOOKUP(A71,'OI(Value)'!A71:O272,8,0)</f>
        <v>435</v>
      </c>
      <c r="Q71" s="179">
        <f>VLOOKUP(A71,'OI(Value)'!A71:O272,9,0)</f>
        <v>30</v>
      </c>
      <c r="R71" s="179">
        <f>VLOOKUP(A71,'OI(Value)'!A71:O272,11,0)</f>
        <v>436</v>
      </c>
      <c r="S71" s="179">
        <f>VLOOKUP(A71,'OI(Value)'!A71:O272,11,0)</f>
        <v>436</v>
      </c>
    </row>
    <row r="72" spans="1:19" x14ac:dyDescent="0.25">
      <c r="A72" s="105" t="str">
        <f>'Data shares'!C67</f>
        <v>GLENMARK</v>
      </c>
      <c r="B72" s="143">
        <f>VLOOKUP($A72,'Data shares'!$C:$FA,118)</f>
        <v>0.56999999999999995</v>
      </c>
      <c r="C72" s="143">
        <f>VLOOKUP($A72,'Data shares'!$C:$FA,119)</f>
        <v>0.57999999999999996</v>
      </c>
      <c r="D72" s="143">
        <f>VLOOKUP($A72,'Data shares'!$C:$FA,121)*100</f>
        <v>-1.72</v>
      </c>
      <c r="E72" s="143">
        <f>VLOOKUP($A72,'Data shares'!$C:$FA,124)</f>
        <v>0.45</v>
      </c>
      <c r="F72" s="143">
        <f>VLOOKUP($A72,'Data shares'!$C:$FA,125)</f>
        <v>0.4</v>
      </c>
      <c r="G72" s="143">
        <f>VLOOKUP($A72,'Data shares'!$C:$FA,127)*100</f>
        <v>12.5</v>
      </c>
      <c r="H72" s="103">
        <f>VLOOKUP($A72,'OI(Volume)'!$A$7:$O$427,8)</f>
        <v>2184750</v>
      </c>
      <c r="I72" s="103">
        <f>VLOOKUP($A72,'OI(Volume)'!$A$7:$O$427,9)</f>
        <v>130500</v>
      </c>
      <c r="J72" s="103">
        <f>VLOOKUP($A72,'OI(Volume)'!$A$7:$O$427,11)</f>
        <v>1255125</v>
      </c>
      <c r="K72" s="103">
        <f>VLOOKUP($A72,'OI(Volume)'!$A$7:$O$427,12)</f>
        <v>59250</v>
      </c>
      <c r="L72" s="103">
        <f>VLOOKUP($A72,'OI(Value)'!$A$7:$O$306,8,0)</f>
        <v>444</v>
      </c>
      <c r="M72" s="103">
        <f>VLOOKUP($A72,'OI(Value)'!$A$7:$O$306,9,0)</f>
        <v>27</v>
      </c>
      <c r="N72" s="103">
        <f>VLOOKUP($A72,'OI(Value)'!$A$7:$O$306,11,0)</f>
        <v>255</v>
      </c>
      <c r="O72" s="103">
        <f>VLOOKUP($A72,'OI(Value)'!$A$7:$O$306,12,0)</f>
        <v>12</v>
      </c>
      <c r="P72" s="179">
        <f>VLOOKUP(A72,'OI(Value)'!A72:O273,8,0)</f>
        <v>444</v>
      </c>
      <c r="Q72" s="179">
        <f>VLOOKUP(A72,'OI(Value)'!A72:O273,9,0)</f>
        <v>27</v>
      </c>
      <c r="R72" s="179">
        <f>VLOOKUP(A72,'OI(Value)'!A72:O273,11,0)</f>
        <v>255</v>
      </c>
      <c r="S72" s="179">
        <f>VLOOKUP(A72,'OI(Value)'!A72:O273,11,0)</f>
        <v>255</v>
      </c>
    </row>
    <row r="73" spans="1:19" x14ac:dyDescent="0.25">
      <c r="A73" s="105" t="str">
        <f>'Data shares'!C68</f>
        <v>GMRAIRPORT</v>
      </c>
      <c r="B73" s="143">
        <f>VLOOKUP($A73,'Data shares'!$C:$FA,118)</f>
        <v>0.62</v>
      </c>
      <c r="C73" s="143">
        <f>VLOOKUP($A73,'Data shares'!$C:$FA,119)</f>
        <v>0.6</v>
      </c>
      <c r="D73" s="143">
        <f>VLOOKUP($A73,'Data shares'!$C:$FA,121)*100</f>
        <v>3.3300000000000005</v>
      </c>
      <c r="E73" s="143">
        <f>VLOOKUP($A73,'Data shares'!$C:$FA,124)</f>
        <v>0.31</v>
      </c>
      <c r="F73" s="143">
        <f>VLOOKUP($A73,'Data shares'!$C:$FA,125)</f>
        <v>0.35</v>
      </c>
      <c r="G73" s="143">
        <f>VLOOKUP($A73,'Data shares'!$C:$FA,127)*100</f>
        <v>-11.43</v>
      </c>
      <c r="H73" s="103">
        <f>VLOOKUP($A73,'OI(Volume)'!$A$7:$O$427,8)</f>
        <v>74555775</v>
      </c>
      <c r="I73" s="103">
        <f>VLOOKUP($A73,'OI(Volume)'!$A$7:$O$427,9)</f>
        <v>1750725</v>
      </c>
      <c r="J73" s="103">
        <f>VLOOKUP($A73,'OI(Volume)'!$A$7:$O$427,11)</f>
        <v>45958275</v>
      </c>
      <c r="K73" s="103">
        <f>VLOOKUP($A73,'OI(Volume)'!$A$7:$O$427,12)</f>
        <v>2211075</v>
      </c>
      <c r="L73" s="103">
        <f>VLOOKUP($A73,'OI(Value)'!$A$7:$O$306,8,0)</f>
        <v>792</v>
      </c>
      <c r="M73" s="103">
        <f>VLOOKUP($A73,'OI(Value)'!$A$7:$O$306,9,0)</f>
        <v>19</v>
      </c>
      <c r="N73" s="103">
        <f>VLOOKUP($A73,'OI(Value)'!$A$7:$O$306,11,0)</f>
        <v>488</v>
      </c>
      <c r="O73" s="103">
        <f>VLOOKUP($A73,'OI(Value)'!$A$7:$O$306,12,0)</f>
        <v>23</v>
      </c>
      <c r="P73" s="179">
        <f>VLOOKUP(A73,'OI(Value)'!A73:O274,8,0)</f>
        <v>792</v>
      </c>
      <c r="Q73" s="179">
        <f>VLOOKUP(A73,'OI(Value)'!A73:O274,9,0)</f>
        <v>19</v>
      </c>
      <c r="R73" s="179">
        <f>VLOOKUP(A73,'OI(Value)'!A73:O274,11,0)</f>
        <v>488</v>
      </c>
      <c r="S73" s="179">
        <f>VLOOKUP(A73,'OI(Value)'!A73:O274,11,0)</f>
        <v>488</v>
      </c>
    </row>
    <row r="74" spans="1:19" x14ac:dyDescent="0.25">
      <c r="A74" s="105" t="str">
        <f>'Data shares'!C69</f>
        <v>GODREJCP</v>
      </c>
      <c r="B74" s="143">
        <f>VLOOKUP($A74,'Data shares'!$C:$FA,118)</f>
        <v>0.79</v>
      </c>
      <c r="C74" s="143">
        <f>VLOOKUP($A74,'Data shares'!$C:$FA,119)</f>
        <v>0.73</v>
      </c>
      <c r="D74" s="143">
        <f>VLOOKUP($A74,'Data shares'!$C:$FA,121)*100</f>
        <v>8.2199999999999989</v>
      </c>
      <c r="E74" s="143">
        <f>VLOOKUP($A74,'Data shares'!$C:$FA,124)</f>
        <v>0.62</v>
      </c>
      <c r="F74" s="143">
        <f>VLOOKUP($A74,'Data shares'!$C:$FA,125)</f>
        <v>0.39</v>
      </c>
      <c r="G74" s="143">
        <f>VLOOKUP($A74,'Data shares'!$C:$FA,127)*100</f>
        <v>58.97</v>
      </c>
      <c r="H74" s="103">
        <f>VLOOKUP($A74,'OI(Volume)'!$A$7:$O$427,8)</f>
        <v>874000</v>
      </c>
      <c r="I74" s="103">
        <f>VLOOKUP($A74,'OI(Volume)'!$A$7:$O$427,9)</f>
        <v>48000</v>
      </c>
      <c r="J74" s="103">
        <f>VLOOKUP($A74,'OI(Volume)'!$A$7:$O$427,11)</f>
        <v>686500</v>
      </c>
      <c r="K74" s="103">
        <f>VLOOKUP($A74,'OI(Volume)'!$A$7:$O$427,12)</f>
        <v>83000</v>
      </c>
      <c r="L74" s="103">
        <f>VLOOKUP($A74,'OI(Value)'!$A$7:$O$306,8,0)</f>
        <v>109</v>
      </c>
      <c r="M74" s="103">
        <f>VLOOKUP($A74,'OI(Value)'!$A$7:$O$306,9,0)</f>
        <v>6</v>
      </c>
      <c r="N74" s="103">
        <f>VLOOKUP($A74,'OI(Value)'!$A$7:$O$306,11,0)</f>
        <v>86</v>
      </c>
      <c r="O74" s="103">
        <f>VLOOKUP($A74,'OI(Value)'!$A$7:$O$306,12,0)</f>
        <v>10</v>
      </c>
      <c r="P74" s="179">
        <f>VLOOKUP(A74,'OI(Value)'!A74:O275,8,0)</f>
        <v>109</v>
      </c>
      <c r="Q74" s="179">
        <f>VLOOKUP(A74,'OI(Value)'!A74:O275,9,0)</f>
        <v>6</v>
      </c>
      <c r="R74" s="179">
        <f>VLOOKUP(A74,'OI(Value)'!A74:O275,11,0)</f>
        <v>86</v>
      </c>
      <c r="S74" s="179">
        <f>VLOOKUP(A74,'OI(Value)'!A74:O275,11,0)</f>
        <v>86</v>
      </c>
    </row>
    <row r="75" spans="1:19" x14ac:dyDescent="0.25">
      <c r="A75" s="105" t="str">
        <f>'Data shares'!C70</f>
        <v>GODREJPROP</v>
      </c>
      <c r="B75" s="143">
        <f>VLOOKUP($A75,'Data shares'!$C:$FA,118)</f>
        <v>0.81</v>
      </c>
      <c r="C75" s="143">
        <f>VLOOKUP($A75,'Data shares'!$C:$FA,119)</f>
        <v>0.83</v>
      </c>
      <c r="D75" s="143">
        <f>VLOOKUP($A75,'Data shares'!$C:$FA,121)*100</f>
        <v>-2.41</v>
      </c>
      <c r="E75" s="143">
        <f>VLOOKUP($A75,'Data shares'!$C:$FA,124)</f>
        <v>0.44</v>
      </c>
      <c r="F75" s="143">
        <f>VLOOKUP($A75,'Data shares'!$C:$FA,125)</f>
        <v>0.42</v>
      </c>
      <c r="G75" s="143">
        <f>VLOOKUP($A75,'Data shares'!$C:$FA,127)*100</f>
        <v>4.7600000000000007</v>
      </c>
      <c r="H75" s="103">
        <f>VLOOKUP($A75,'OI(Volume)'!$A$7:$O$427,8)</f>
        <v>1621675</v>
      </c>
      <c r="I75" s="103">
        <f>VLOOKUP($A75,'OI(Volume)'!$A$7:$O$427,9)</f>
        <v>100375</v>
      </c>
      <c r="J75" s="103">
        <f>VLOOKUP($A75,'OI(Volume)'!$A$7:$O$427,11)</f>
        <v>1316975</v>
      </c>
      <c r="K75" s="103">
        <f>VLOOKUP($A75,'OI(Volume)'!$A$7:$O$427,12)</f>
        <v>56650</v>
      </c>
      <c r="L75" s="103">
        <f>VLOOKUP($A75,'OI(Value)'!$A$7:$O$306,8,0)</f>
        <v>329</v>
      </c>
      <c r="M75" s="103">
        <f>VLOOKUP($A75,'OI(Value)'!$A$7:$O$306,9,0)</f>
        <v>20</v>
      </c>
      <c r="N75" s="103">
        <f>VLOOKUP($A75,'OI(Value)'!$A$7:$O$306,11,0)</f>
        <v>267</v>
      </c>
      <c r="O75" s="103">
        <f>VLOOKUP($A75,'OI(Value)'!$A$7:$O$306,12,0)</f>
        <v>11</v>
      </c>
      <c r="P75" s="179">
        <f>VLOOKUP(A75,'OI(Value)'!A75:O276,8,0)</f>
        <v>329</v>
      </c>
      <c r="Q75" s="179">
        <f>VLOOKUP(A75,'OI(Value)'!A75:O276,9,0)</f>
        <v>20</v>
      </c>
      <c r="R75" s="179">
        <f>VLOOKUP(A75,'OI(Value)'!A75:O276,11,0)</f>
        <v>267</v>
      </c>
      <c r="S75" s="179">
        <f>VLOOKUP(A75,'OI(Value)'!A75:O276,11,0)</f>
        <v>267</v>
      </c>
    </row>
    <row r="76" spans="1:19" x14ac:dyDescent="0.25">
      <c r="A76" s="105" t="str">
        <f>'Data shares'!C71</f>
        <v>GRASIM</v>
      </c>
      <c r="B76" s="143">
        <f>VLOOKUP($A76,'Data shares'!$C:$FA,118)</f>
        <v>1.04</v>
      </c>
      <c r="C76" s="143">
        <f>VLOOKUP($A76,'Data shares'!$C:$FA,119)</f>
        <v>1.08</v>
      </c>
      <c r="D76" s="143">
        <f>VLOOKUP($A76,'Data shares'!$C:$FA,121)*100</f>
        <v>-3.6999999999999997</v>
      </c>
      <c r="E76" s="143">
        <f>VLOOKUP($A76,'Data shares'!$C:$FA,124)</f>
        <v>0.5</v>
      </c>
      <c r="F76" s="143">
        <f>VLOOKUP($A76,'Data shares'!$C:$FA,125)</f>
        <v>0.92</v>
      </c>
      <c r="G76" s="143">
        <f>VLOOKUP($A76,'Data shares'!$C:$FA,127)*100</f>
        <v>-45.65</v>
      </c>
      <c r="H76" s="103">
        <f>VLOOKUP($A76,'OI(Volume)'!$A$7:$O$427,8)</f>
        <v>989250</v>
      </c>
      <c r="I76" s="103">
        <f>VLOOKUP($A76,'OI(Volume)'!$A$7:$O$427,9)</f>
        <v>104250</v>
      </c>
      <c r="J76" s="103">
        <f>VLOOKUP($A76,'OI(Volume)'!$A$7:$O$427,11)</f>
        <v>1026750</v>
      </c>
      <c r="K76" s="103">
        <f>VLOOKUP($A76,'OI(Volume)'!$A$7:$O$427,12)</f>
        <v>72000</v>
      </c>
      <c r="L76" s="103">
        <f>VLOOKUP($A76,'OI(Value)'!$A$7:$O$306,8,0)</f>
        <v>284</v>
      </c>
      <c r="M76" s="103">
        <f>VLOOKUP($A76,'OI(Value)'!$A$7:$O$306,9,0)</f>
        <v>30</v>
      </c>
      <c r="N76" s="103">
        <f>VLOOKUP($A76,'OI(Value)'!$A$7:$O$306,11,0)</f>
        <v>295</v>
      </c>
      <c r="O76" s="103">
        <f>VLOOKUP($A76,'OI(Value)'!$A$7:$O$306,12,0)</f>
        <v>21</v>
      </c>
      <c r="P76" s="179">
        <f>VLOOKUP(A76,'OI(Value)'!A76:O277,8,0)</f>
        <v>284</v>
      </c>
      <c r="Q76" s="179">
        <f>VLOOKUP(A76,'OI(Value)'!A76:O277,9,0)</f>
        <v>30</v>
      </c>
      <c r="R76" s="179">
        <f>VLOOKUP(A76,'OI(Value)'!A76:O277,11,0)</f>
        <v>295</v>
      </c>
      <c r="S76" s="179">
        <f>VLOOKUP(A76,'OI(Value)'!A76:O277,11,0)</f>
        <v>295</v>
      </c>
    </row>
    <row r="77" spans="1:19" x14ac:dyDescent="0.25">
      <c r="A77" s="105" t="str">
        <f>'Data shares'!C72</f>
        <v>HAL</v>
      </c>
      <c r="B77" s="143">
        <f>VLOOKUP($A77,'Data shares'!$C:$FA,118)</f>
        <v>0.7</v>
      </c>
      <c r="C77" s="143">
        <f>VLOOKUP($A77,'Data shares'!$C:$FA,119)</f>
        <v>0.71</v>
      </c>
      <c r="D77" s="143">
        <f>VLOOKUP($A77,'Data shares'!$C:$FA,121)*100</f>
        <v>-1.41</v>
      </c>
      <c r="E77" s="143">
        <f>VLOOKUP($A77,'Data shares'!$C:$FA,124)</f>
        <v>0.52</v>
      </c>
      <c r="F77" s="143">
        <f>VLOOKUP($A77,'Data shares'!$C:$FA,125)</f>
        <v>0.36</v>
      </c>
      <c r="G77" s="143">
        <f>VLOOKUP($A77,'Data shares'!$C:$FA,127)*100</f>
        <v>44.440000000000005</v>
      </c>
      <c r="H77" s="103">
        <f>VLOOKUP($A77,'OI(Volume)'!$A$7:$O$427,8)</f>
        <v>3594450</v>
      </c>
      <c r="I77" s="103">
        <f>VLOOKUP($A77,'OI(Volume)'!$A$7:$O$427,9)</f>
        <v>190950</v>
      </c>
      <c r="J77" s="103">
        <f>VLOOKUP($A77,'OI(Volume)'!$A$7:$O$427,11)</f>
        <v>2524050</v>
      </c>
      <c r="K77" s="103">
        <f>VLOOKUP($A77,'OI(Volume)'!$A$7:$O$427,12)</f>
        <v>120000</v>
      </c>
      <c r="L77" s="103">
        <f>VLOOKUP($A77,'OI(Value)'!$A$7:$O$306,8,0)</f>
        <v>1588</v>
      </c>
      <c r="M77" s="103">
        <f>VLOOKUP($A77,'OI(Value)'!$A$7:$O$306,9,0)</f>
        <v>84</v>
      </c>
      <c r="N77" s="103">
        <f>VLOOKUP($A77,'OI(Value)'!$A$7:$O$306,11,0)</f>
        <v>1115</v>
      </c>
      <c r="O77" s="103">
        <f>VLOOKUP($A77,'OI(Value)'!$A$7:$O$306,12,0)</f>
        <v>53</v>
      </c>
      <c r="P77" s="179">
        <f>VLOOKUP(A77,'OI(Value)'!A77:O278,8,0)</f>
        <v>1588</v>
      </c>
      <c r="Q77" s="179">
        <f>VLOOKUP(A77,'OI(Value)'!A77:O278,9,0)</f>
        <v>84</v>
      </c>
      <c r="R77" s="179">
        <f>VLOOKUP(A77,'OI(Value)'!A77:O278,11,0)</f>
        <v>1115</v>
      </c>
      <c r="S77" s="179">
        <f>VLOOKUP(A77,'OI(Value)'!A77:O278,11,0)</f>
        <v>1115</v>
      </c>
    </row>
    <row r="78" spans="1:19" x14ac:dyDescent="0.25">
      <c r="A78" s="105" t="str">
        <f>'Data shares'!C73</f>
        <v>HAVELLS</v>
      </c>
      <c r="B78" s="143">
        <f>VLOOKUP($A78,'Data shares'!$C:$FA,118)</f>
        <v>1.1100000000000001</v>
      </c>
      <c r="C78" s="143">
        <f>VLOOKUP($A78,'Data shares'!$C:$FA,119)</f>
        <v>1.19</v>
      </c>
      <c r="D78" s="143">
        <f>VLOOKUP($A78,'Data shares'!$C:$FA,121)*100</f>
        <v>-6.72</v>
      </c>
      <c r="E78" s="143">
        <f>VLOOKUP($A78,'Data shares'!$C:$FA,124)</f>
        <v>0.45</v>
      </c>
      <c r="F78" s="143">
        <f>VLOOKUP($A78,'Data shares'!$C:$FA,125)</f>
        <v>0.63</v>
      </c>
      <c r="G78" s="143">
        <f>VLOOKUP($A78,'Data shares'!$C:$FA,127)*100</f>
        <v>-28.57</v>
      </c>
      <c r="H78" s="103">
        <f>VLOOKUP($A78,'OI(Volume)'!$A$7:$O$427,8)</f>
        <v>1335000</v>
      </c>
      <c r="I78" s="103">
        <f>VLOOKUP($A78,'OI(Volume)'!$A$7:$O$427,9)</f>
        <v>202500</v>
      </c>
      <c r="J78" s="103">
        <f>VLOOKUP($A78,'OI(Volume)'!$A$7:$O$427,11)</f>
        <v>1479000</v>
      </c>
      <c r="K78" s="103">
        <f>VLOOKUP($A78,'OI(Volume)'!$A$7:$O$427,12)</f>
        <v>129000</v>
      </c>
      <c r="L78" s="103">
        <f>VLOOKUP($A78,'OI(Value)'!$A$7:$O$306,8,0)</f>
        <v>190</v>
      </c>
      <c r="M78" s="103">
        <f>VLOOKUP($A78,'OI(Value)'!$A$7:$O$306,9,0)</f>
        <v>29</v>
      </c>
      <c r="N78" s="103">
        <f>VLOOKUP($A78,'OI(Value)'!$A$7:$O$306,11,0)</f>
        <v>211</v>
      </c>
      <c r="O78" s="103">
        <f>VLOOKUP($A78,'OI(Value)'!$A$7:$O$306,12,0)</f>
        <v>18</v>
      </c>
      <c r="P78" s="179">
        <f>VLOOKUP(A78,'OI(Value)'!A78:O279,8,0)</f>
        <v>190</v>
      </c>
      <c r="Q78" s="179">
        <f>VLOOKUP(A78,'OI(Value)'!A78:O279,9,0)</f>
        <v>29</v>
      </c>
      <c r="R78" s="179">
        <f>VLOOKUP(A78,'OI(Value)'!A78:O279,11,0)</f>
        <v>211</v>
      </c>
      <c r="S78" s="179">
        <f>VLOOKUP(A78,'OI(Value)'!A78:O279,11,0)</f>
        <v>211</v>
      </c>
    </row>
    <row r="79" spans="1:19" x14ac:dyDescent="0.25">
      <c r="A79" s="105" t="str">
        <f>'Data shares'!C74</f>
        <v>HCLTECH</v>
      </c>
      <c r="B79" s="143">
        <f>VLOOKUP($A79,'Data shares'!$C:$FA,118)</f>
        <v>0.61</v>
      </c>
      <c r="C79" s="143">
        <f>VLOOKUP($A79,'Data shares'!$C:$FA,119)</f>
        <v>0.7</v>
      </c>
      <c r="D79" s="143">
        <f>VLOOKUP($A79,'Data shares'!$C:$FA,121)*100</f>
        <v>-12.86</v>
      </c>
      <c r="E79" s="143">
        <f>VLOOKUP($A79,'Data shares'!$C:$FA,124)</f>
        <v>0.4</v>
      </c>
      <c r="F79" s="143">
        <f>VLOOKUP($A79,'Data shares'!$C:$FA,125)</f>
        <v>0.54</v>
      </c>
      <c r="G79" s="143">
        <f>VLOOKUP($A79,'Data shares'!$C:$FA,127)*100</f>
        <v>-25.929999999999996</v>
      </c>
      <c r="H79" s="103">
        <f>VLOOKUP($A79,'OI(Volume)'!$A$7:$O$427,8)</f>
        <v>3659600</v>
      </c>
      <c r="I79" s="103">
        <f>VLOOKUP($A79,'OI(Volume)'!$A$7:$O$427,9)</f>
        <v>778050</v>
      </c>
      <c r="J79" s="103">
        <f>VLOOKUP($A79,'OI(Volume)'!$A$7:$O$427,11)</f>
        <v>2229850</v>
      </c>
      <c r="K79" s="103">
        <f>VLOOKUP($A79,'OI(Volume)'!$A$7:$O$427,12)</f>
        <v>209300</v>
      </c>
      <c r="L79" s="103">
        <f>VLOOKUP($A79,'OI(Value)'!$A$7:$O$306,8,0)</f>
        <v>596</v>
      </c>
      <c r="M79" s="103">
        <f>VLOOKUP($A79,'OI(Value)'!$A$7:$O$306,9,0)</f>
        <v>127</v>
      </c>
      <c r="N79" s="103">
        <f>VLOOKUP($A79,'OI(Value)'!$A$7:$O$306,11,0)</f>
        <v>363</v>
      </c>
      <c r="O79" s="103">
        <f>VLOOKUP($A79,'OI(Value)'!$A$7:$O$306,12,0)</f>
        <v>34</v>
      </c>
      <c r="P79" s="179">
        <f>VLOOKUP(A79,'OI(Value)'!A79:O280,8,0)</f>
        <v>596</v>
      </c>
      <c r="Q79" s="179">
        <f>VLOOKUP(A79,'OI(Value)'!A79:O280,9,0)</f>
        <v>127</v>
      </c>
      <c r="R79" s="179">
        <f>VLOOKUP(A79,'OI(Value)'!A79:O280,11,0)</f>
        <v>363</v>
      </c>
      <c r="S79" s="179">
        <f>VLOOKUP(A79,'OI(Value)'!A79:O280,11,0)</f>
        <v>363</v>
      </c>
    </row>
    <row r="80" spans="1:19" x14ac:dyDescent="0.25">
      <c r="A80" s="105" t="str">
        <f>'Data shares'!C75</f>
        <v>HDFCAMC</v>
      </c>
      <c r="B80" s="143">
        <f>VLOOKUP($A80,'Data shares'!$C:$FA,118)</f>
        <v>0.73</v>
      </c>
      <c r="C80" s="143">
        <f>VLOOKUP($A80,'Data shares'!$C:$FA,119)</f>
        <v>0.74</v>
      </c>
      <c r="D80" s="143">
        <f>VLOOKUP($A80,'Data shares'!$C:$FA,121)*100</f>
        <v>-1.35</v>
      </c>
      <c r="E80" s="143">
        <f>VLOOKUP($A80,'Data shares'!$C:$FA,124)</f>
        <v>0.42</v>
      </c>
      <c r="F80" s="143">
        <f>VLOOKUP($A80,'Data shares'!$C:$FA,125)</f>
        <v>0.43</v>
      </c>
      <c r="G80" s="143">
        <f>VLOOKUP($A80,'Data shares'!$C:$FA,127)*100</f>
        <v>-2.33</v>
      </c>
      <c r="H80" s="103">
        <f>VLOOKUP($A80,'OI(Volume)'!$A$7:$O$427,8)</f>
        <v>1116900</v>
      </c>
      <c r="I80" s="103">
        <f>VLOOKUP($A80,'OI(Volume)'!$A$7:$O$427,9)</f>
        <v>110700</v>
      </c>
      <c r="J80" s="103">
        <f>VLOOKUP($A80,'OI(Volume)'!$A$7:$O$427,11)</f>
        <v>817500</v>
      </c>
      <c r="K80" s="103">
        <f>VLOOKUP($A80,'OI(Volume)'!$A$7:$O$427,12)</f>
        <v>71100</v>
      </c>
      <c r="L80" s="103">
        <f>VLOOKUP($A80,'OI(Value)'!$A$7:$O$306,8,0)</f>
        <v>297</v>
      </c>
      <c r="M80" s="103">
        <f>VLOOKUP($A80,'OI(Value)'!$A$7:$O$306,9,0)</f>
        <v>29</v>
      </c>
      <c r="N80" s="103">
        <f>VLOOKUP($A80,'OI(Value)'!$A$7:$O$306,11,0)</f>
        <v>218</v>
      </c>
      <c r="O80" s="103">
        <f>VLOOKUP($A80,'OI(Value)'!$A$7:$O$306,12,0)</f>
        <v>19</v>
      </c>
      <c r="P80" s="179">
        <f>VLOOKUP(A80,'OI(Value)'!A80:O281,8,0)</f>
        <v>297</v>
      </c>
      <c r="Q80" s="179">
        <f>VLOOKUP(A80,'OI(Value)'!A80:O281,9,0)</f>
        <v>29</v>
      </c>
      <c r="R80" s="179">
        <f>VLOOKUP(A80,'OI(Value)'!A80:O281,11,0)</f>
        <v>218</v>
      </c>
      <c r="S80" s="179">
        <f>VLOOKUP(A80,'OI(Value)'!A80:O281,11,0)</f>
        <v>218</v>
      </c>
    </row>
    <row r="81" spans="1:19" x14ac:dyDescent="0.25">
      <c r="A81" s="105" t="str">
        <f>'Data shares'!C76</f>
        <v>HDFCBANK</v>
      </c>
      <c r="B81" s="143">
        <f>VLOOKUP($A81,'Data shares'!$C:$FA,118)</f>
        <v>0.86</v>
      </c>
      <c r="C81" s="143">
        <f>VLOOKUP($A81,'Data shares'!$C:$FA,119)</f>
        <v>0.89</v>
      </c>
      <c r="D81" s="143">
        <f>VLOOKUP($A81,'Data shares'!$C:$FA,121)*100</f>
        <v>-3.37</v>
      </c>
      <c r="E81" s="143">
        <f>VLOOKUP($A81,'Data shares'!$C:$FA,124)</f>
        <v>0.63</v>
      </c>
      <c r="F81" s="143">
        <f>VLOOKUP($A81,'Data shares'!$C:$FA,125)</f>
        <v>0.6</v>
      </c>
      <c r="G81" s="143">
        <f>VLOOKUP($A81,'Data shares'!$C:$FA,127)*100</f>
        <v>5</v>
      </c>
      <c r="H81" s="103">
        <f>VLOOKUP($A81,'OI(Volume)'!$A$7:$O$427,8)</f>
        <v>21236050</v>
      </c>
      <c r="I81" s="103">
        <f>VLOOKUP($A81,'OI(Volume)'!$A$7:$O$427,9)</f>
        <v>2219800</v>
      </c>
      <c r="J81" s="103">
        <f>VLOOKUP($A81,'OI(Volume)'!$A$7:$O$427,11)</f>
        <v>18256700</v>
      </c>
      <c r="K81" s="103">
        <f>VLOOKUP($A81,'OI(Volume)'!$A$7:$O$427,12)</f>
        <v>1289200</v>
      </c>
      <c r="L81" s="103">
        <f>VLOOKUP($A81,'OI(Value)'!$A$7:$O$306,8,0)</f>
        <v>2114</v>
      </c>
      <c r="M81" s="103">
        <f>VLOOKUP($A81,'OI(Value)'!$A$7:$O$306,9,0)</f>
        <v>221</v>
      </c>
      <c r="N81" s="103">
        <f>VLOOKUP($A81,'OI(Value)'!$A$7:$O$306,11,0)</f>
        <v>1817</v>
      </c>
      <c r="O81" s="103">
        <f>VLOOKUP($A81,'OI(Value)'!$A$7:$O$306,12,0)</f>
        <v>128</v>
      </c>
      <c r="P81" s="179">
        <f>VLOOKUP(A81,'OI(Value)'!A81:O282,8,0)</f>
        <v>2114</v>
      </c>
      <c r="Q81" s="179">
        <f>VLOOKUP(A81,'OI(Value)'!A81:O282,9,0)</f>
        <v>221</v>
      </c>
      <c r="R81" s="179">
        <f>VLOOKUP(A81,'OI(Value)'!A81:O282,11,0)</f>
        <v>1817</v>
      </c>
      <c r="S81" s="179">
        <f>VLOOKUP(A81,'OI(Value)'!A81:O282,11,0)</f>
        <v>1817</v>
      </c>
    </row>
    <row r="82" spans="1:19" x14ac:dyDescent="0.25">
      <c r="A82" s="105" t="str">
        <f>'Data shares'!C77</f>
        <v>HDFCLIFE</v>
      </c>
      <c r="B82" s="143">
        <f>VLOOKUP($A82,'Data shares'!$C:$FA,118)</f>
        <v>0.65</v>
      </c>
      <c r="C82" s="143">
        <f>VLOOKUP($A82,'Data shares'!$C:$FA,119)</f>
        <v>0.73</v>
      </c>
      <c r="D82" s="143">
        <f>VLOOKUP($A82,'Data shares'!$C:$FA,121)*100</f>
        <v>-10.96</v>
      </c>
      <c r="E82" s="143">
        <f>VLOOKUP($A82,'Data shares'!$C:$FA,124)</f>
        <v>0.44</v>
      </c>
      <c r="F82" s="143">
        <f>VLOOKUP($A82,'Data shares'!$C:$FA,125)</f>
        <v>0.47</v>
      </c>
      <c r="G82" s="143">
        <f>VLOOKUP($A82,'Data shares'!$C:$FA,127)*100</f>
        <v>-6.38</v>
      </c>
      <c r="H82" s="103">
        <f>VLOOKUP($A82,'OI(Volume)'!$A$7:$O$427,8)</f>
        <v>6964100</v>
      </c>
      <c r="I82" s="103">
        <f>VLOOKUP($A82,'OI(Volume)'!$A$7:$O$427,9)</f>
        <v>1293600</v>
      </c>
      <c r="J82" s="103">
        <f>VLOOKUP($A82,'OI(Volume)'!$A$7:$O$427,11)</f>
        <v>4554000</v>
      </c>
      <c r="K82" s="103">
        <f>VLOOKUP($A82,'OI(Volume)'!$A$7:$O$427,12)</f>
        <v>400400</v>
      </c>
      <c r="L82" s="103">
        <f>VLOOKUP($A82,'OI(Value)'!$A$7:$O$306,8,0)</f>
        <v>525</v>
      </c>
      <c r="M82" s="103">
        <f>VLOOKUP($A82,'OI(Value)'!$A$7:$O$306,9,0)</f>
        <v>98</v>
      </c>
      <c r="N82" s="103">
        <f>VLOOKUP($A82,'OI(Value)'!$A$7:$O$306,11,0)</f>
        <v>343</v>
      </c>
      <c r="O82" s="103">
        <f>VLOOKUP($A82,'OI(Value)'!$A$7:$O$306,12,0)</f>
        <v>30</v>
      </c>
      <c r="P82" s="179">
        <f>VLOOKUP(A82,'OI(Value)'!A82:O283,8,0)</f>
        <v>525</v>
      </c>
      <c r="Q82" s="179">
        <f>VLOOKUP(A82,'OI(Value)'!A82:O283,9,0)</f>
        <v>98</v>
      </c>
      <c r="R82" s="179">
        <f>VLOOKUP(A82,'OI(Value)'!A82:O283,11,0)</f>
        <v>343</v>
      </c>
      <c r="S82" s="179">
        <f>VLOOKUP(A82,'OI(Value)'!A82:O283,11,0)</f>
        <v>343</v>
      </c>
    </row>
    <row r="83" spans="1:19" x14ac:dyDescent="0.25">
      <c r="A83" s="105" t="str">
        <f>'Data shares'!C78</f>
        <v>HEROMOTOCO</v>
      </c>
      <c r="B83" s="143">
        <f>VLOOKUP($A83,'Data shares'!$C:$FA,118)</f>
        <v>0.7</v>
      </c>
      <c r="C83" s="143">
        <f>VLOOKUP($A83,'Data shares'!$C:$FA,119)</f>
        <v>0.66</v>
      </c>
      <c r="D83" s="143">
        <f>VLOOKUP($A83,'Data shares'!$C:$FA,121)*100</f>
        <v>6.0600000000000005</v>
      </c>
      <c r="E83" s="143">
        <f>VLOOKUP($A83,'Data shares'!$C:$FA,124)</f>
        <v>0.46</v>
      </c>
      <c r="F83" s="143">
        <f>VLOOKUP($A83,'Data shares'!$C:$FA,125)</f>
        <v>0.37</v>
      </c>
      <c r="G83" s="143">
        <f>VLOOKUP($A83,'Data shares'!$C:$FA,127)*100</f>
        <v>24.32</v>
      </c>
      <c r="H83" s="103">
        <f>VLOOKUP($A83,'OI(Volume)'!$A$7:$O$427,8)</f>
        <v>1491300</v>
      </c>
      <c r="I83" s="103">
        <f>VLOOKUP($A83,'OI(Volume)'!$A$7:$O$427,9)</f>
        <v>-2250</v>
      </c>
      <c r="J83" s="103">
        <f>VLOOKUP($A83,'OI(Volume)'!$A$7:$O$427,11)</f>
        <v>1041300</v>
      </c>
      <c r="K83" s="103">
        <f>VLOOKUP($A83,'OI(Volume)'!$A$7:$O$427,12)</f>
        <v>49800</v>
      </c>
      <c r="L83" s="103">
        <f>VLOOKUP($A83,'OI(Value)'!$A$7:$O$306,8,0)</f>
        <v>874</v>
      </c>
      <c r="M83" s="103">
        <f>VLOOKUP($A83,'OI(Value)'!$A$7:$O$306,9,0)</f>
        <v>-1</v>
      </c>
      <c r="N83" s="103">
        <f>VLOOKUP($A83,'OI(Value)'!$A$7:$O$306,11,0)</f>
        <v>610</v>
      </c>
      <c r="O83" s="103">
        <f>VLOOKUP($A83,'OI(Value)'!$A$7:$O$306,12,0)</f>
        <v>29</v>
      </c>
      <c r="P83" s="179">
        <f>VLOOKUP(A83,'OI(Value)'!A83:O284,8,0)</f>
        <v>874</v>
      </c>
      <c r="Q83" s="179">
        <f>VLOOKUP(A83,'OI(Value)'!A83:O284,9,0)</f>
        <v>-1</v>
      </c>
      <c r="R83" s="179">
        <f>VLOOKUP(A83,'OI(Value)'!A83:O284,11,0)</f>
        <v>610</v>
      </c>
      <c r="S83" s="179">
        <f>VLOOKUP(A83,'OI(Value)'!A83:O284,11,0)</f>
        <v>610</v>
      </c>
    </row>
    <row r="84" spans="1:19" x14ac:dyDescent="0.25">
      <c r="A84" s="105" t="str">
        <f>'Data shares'!C79</f>
        <v>HINDALCO</v>
      </c>
      <c r="B84" s="143">
        <f>VLOOKUP($A84,'Data shares'!$C:$FA,118)</f>
        <v>0.93</v>
      </c>
      <c r="C84" s="143">
        <f>VLOOKUP($A84,'Data shares'!$C:$FA,119)</f>
        <v>0.92</v>
      </c>
      <c r="D84" s="143">
        <f>VLOOKUP($A84,'Data shares'!$C:$FA,121)*100</f>
        <v>1.0900000000000001</v>
      </c>
      <c r="E84" s="143">
        <f>VLOOKUP($A84,'Data shares'!$C:$FA,124)</f>
        <v>0.67</v>
      </c>
      <c r="F84" s="143">
        <f>VLOOKUP($A84,'Data shares'!$C:$FA,125)</f>
        <v>0.43</v>
      </c>
      <c r="G84" s="143">
        <f>VLOOKUP($A84,'Data shares'!$C:$FA,127)*100</f>
        <v>55.81</v>
      </c>
      <c r="H84" s="103">
        <f>VLOOKUP($A84,'OI(Volume)'!$A$7:$O$427,8)</f>
        <v>9578100</v>
      </c>
      <c r="I84" s="103">
        <f>VLOOKUP($A84,'OI(Volume)'!$A$7:$O$427,9)</f>
        <v>394100</v>
      </c>
      <c r="J84" s="103">
        <f>VLOOKUP($A84,'OI(Volume)'!$A$7:$O$427,11)</f>
        <v>8917300</v>
      </c>
      <c r="K84" s="103">
        <f>VLOOKUP($A84,'OI(Volume)'!$A$7:$O$427,12)</f>
        <v>459200</v>
      </c>
      <c r="L84" s="103">
        <f>VLOOKUP($A84,'OI(Value)'!$A$7:$O$306,8,0)</f>
        <v>861</v>
      </c>
      <c r="M84" s="103">
        <f>VLOOKUP($A84,'OI(Value)'!$A$7:$O$306,9,0)</f>
        <v>35</v>
      </c>
      <c r="N84" s="103">
        <f>VLOOKUP($A84,'OI(Value)'!$A$7:$O$306,11,0)</f>
        <v>801</v>
      </c>
      <c r="O84" s="103">
        <f>VLOOKUP($A84,'OI(Value)'!$A$7:$O$306,12,0)</f>
        <v>41</v>
      </c>
      <c r="P84" s="179">
        <f>VLOOKUP(A84,'OI(Value)'!A84:O285,8,0)</f>
        <v>861</v>
      </c>
      <c r="Q84" s="179">
        <f>VLOOKUP(A84,'OI(Value)'!A84:O285,9,0)</f>
        <v>35</v>
      </c>
      <c r="R84" s="179">
        <f>VLOOKUP(A84,'OI(Value)'!A84:O285,11,0)</f>
        <v>801</v>
      </c>
      <c r="S84" s="179">
        <f>VLOOKUP(A84,'OI(Value)'!A84:O285,11,0)</f>
        <v>801</v>
      </c>
    </row>
    <row r="85" spans="1:19" x14ac:dyDescent="0.25">
      <c r="A85" s="105" t="str">
        <f>'Data shares'!C80</f>
        <v>HINDPETRO</v>
      </c>
      <c r="B85" s="143">
        <f>VLOOKUP($A85,'Data shares'!$C:$FA,118)</f>
        <v>0.77</v>
      </c>
      <c r="C85" s="143">
        <f>VLOOKUP($A85,'Data shares'!$C:$FA,119)</f>
        <v>0.81</v>
      </c>
      <c r="D85" s="143">
        <f>VLOOKUP($A85,'Data shares'!$C:$FA,121)*100</f>
        <v>-4.9399999999999995</v>
      </c>
      <c r="E85" s="143">
        <f>VLOOKUP($A85,'Data shares'!$C:$FA,124)</f>
        <v>0.6</v>
      </c>
      <c r="F85" s="143">
        <f>VLOOKUP($A85,'Data shares'!$C:$FA,125)</f>
        <v>0.39</v>
      </c>
      <c r="G85" s="143">
        <f>VLOOKUP($A85,'Data shares'!$C:$FA,127)*100</f>
        <v>53.849999999999994</v>
      </c>
      <c r="H85" s="103">
        <f>VLOOKUP($A85,'OI(Volume)'!$A$7:$O$427,8)</f>
        <v>10843875</v>
      </c>
      <c r="I85" s="103">
        <f>VLOOKUP($A85,'OI(Volume)'!$A$7:$O$427,9)</f>
        <v>208575</v>
      </c>
      <c r="J85" s="103">
        <f>VLOOKUP($A85,'OI(Volume)'!$A$7:$O$427,11)</f>
        <v>8371350</v>
      </c>
      <c r="K85" s="103">
        <f>VLOOKUP($A85,'OI(Volume)'!$A$7:$O$427,12)</f>
        <v>-295650</v>
      </c>
      <c r="L85" s="103">
        <f>VLOOKUP($A85,'OI(Value)'!$A$7:$O$306,8,0)</f>
        <v>543</v>
      </c>
      <c r="M85" s="103">
        <f>VLOOKUP($A85,'OI(Value)'!$A$7:$O$306,9,0)</f>
        <v>10</v>
      </c>
      <c r="N85" s="103">
        <f>VLOOKUP($A85,'OI(Value)'!$A$7:$O$306,11,0)</f>
        <v>419</v>
      </c>
      <c r="O85" s="103">
        <f>VLOOKUP($A85,'OI(Value)'!$A$7:$O$306,12,0)</f>
        <v>-15</v>
      </c>
      <c r="P85" s="179">
        <f>VLOOKUP(A85,'OI(Value)'!A85:O286,8,0)</f>
        <v>543</v>
      </c>
      <c r="Q85" s="179">
        <f>VLOOKUP(A85,'OI(Value)'!A85:O286,9,0)</f>
        <v>10</v>
      </c>
      <c r="R85" s="179">
        <f>VLOOKUP(A85,'OI(Value)'!A85:O286,11,0)</f>
        <v>419</v>
      </c>
      <c r="S85" s="179">
        <f>VLOOKUP(A85,'OI(Value)'!A85:O286,11,0)</f>
        <v>419</v>
      </c>
    </row>
    <row r="86" spans="1:19" x14ac:dyDescent="0.25">
      <c r="A86" s="105" t="str">
        <f>'Data shares'!C81</f>
        <v>HINDUNILVR</v>
      </c>
      <c r="B86" s="143">
        <f>VLOOKUP($A86,'Data shares'!$C:$FA,118)</f>
        <v>0.69</v>
      </c>
      <c r="C86" s="143">
        <f>VLOOKUP($A86,'Data shares'!$C:$FA,119)</f>
        <v>0.77</v>
      </c>
      <c r="D86" s="143">
        <f>VLOOKUP($A86,'Data shares'!$C:$FA,121)*100</f>
        <v>-10.39</v>
      </c>
      <c r="E86" s="143">
        <f>VLOOKUP($A86,'Data shares'!$C:$FA,124)</f>
        <v>0.57999999999999996</v>
      </c>
      <c r="F86" s="143">
        <f>VLOOKUP($A86,'Data shares'!$C:$FA,125)</f>
        <v>0.45</v>
      </c>
      <c r="G86" s="143">
        <f>VLOOKUP($A86,'Data shares'!$C:$FA,127)*100</f>
        <v>28.89</v>
      </c>
      <c r="H86" s="103">
        <f>VLOOKUP($A86,'OI(Volume)'!$A$7:$O$427,8)</f>
        <v>4322700</v>
      </c>
      <c r="I86" s="103">
        <f>VLOOKUP($A86,'OI(Volume)'!$A$7:$O$427,9)</f>
        <v>880500</v>
      </c>
      <c r="J86" s="103">
        <f>VLOOKUP($A86,'OI(Volume)'!$A$7:$O$427,11)</f>
        <v>2991000</v>
      </c>
      <c r="K86" s="103">
        <f>VLOOKUP($A86,'OI(Volume)'!$A$7:$O$427,12)</f>
        <v>352800</v>
      </c>
      <c r="L86" s="103">
        <f>VLOOKUP($A86,'OI(Value)'!$A$7:$O$306,8,0)</f>
        <v>1008</v>
      </c>
      <c r="M86" s="103">
        <f>VLOOKUP($A86,'OI(Value)'!$A$7:$O$306,9,0)</f>
        <v>205</v>
      </c>
      <c r="N86" s="103">
        <f>VLOOKUP($A86,'OI(Value)'!$A$7:$O$306,11,0)</f>
        <v>697</v>
      </c>
      <c r="O86" s="103">
        <f>VLOOKUP($A86,'OI(Value)'!$A$7:$O$306,12,0)</f>
        <v>82</v>
      </c>
      <c r="P86" s="179">
        <f>VLOOKUP(A86,'OI(Value)'!A86:O287,8,0)</f>
        <v>1008</v>
      </c>
      <c r="Q86" s="179">
        <f>VLOOKUP(A86,'OI(Value)'!A86:O287,9,0)</f>
        <v>205</v>
      </c>
      <c r="R86" s="179">
        <f>VLOOKUP(A86,'OI(Value)'!A86:O287,11,0)</f>
        <v>697</v>
      </c>
      <c r="S86" s="179">
        <f>VLOOKUP(A86,'OI(Value)'!A86:O287,11,0)</f>
        <v>697</v>
      </c>
    </row>
    <row r="87" spans="1:19" x14ac:dyDescent="0.25">
      <c r="A87" s="105" t="str">
        <f>'Data shares'!C82</f>
        <v>HINDZINC</v>
      </c>
      <c r="B87" s="143">
        <f>VLOOKUP($A87,'Data shares'!$C:$FA,118)</f>
        <v>0.63</v>
      </c>
      <c r="C87" s="143">
        <f>VLOOKUP($A87,'Data shares'!$C:$FA,119)</f>
        <v>0.63</v>
      </c>
      <c r="D87" s="143">
        <f>VLOOKUP($A87,'Data shares'!$C:$FA,121)*100</f>
        <v>0</v>
      </c>
      <c r="E87" s="143">
        <f>VLOOKUP($A87,'Data shares'!$C:$FA,124)</f>
        <v>0.61</v>
      </c>
      <c r="F87" s="143">
        <f>VLOOKUP($A87,'Data shares'!$C:$FA,125)</f>
        <v>0.67</v>
      </c>
      <c r="G87" s="143">
        <f>VLOOKUP($A87,'Data shares'!$C:$FA,127)*100</f>
        <v>-8.9599999999999991</v>
      </c>
      <c r="H87" s="103">
        <f>VLOOKUP($A87,'OI(Volume)'!$A$7:$O$427,8)</f>
        <v>34987225</v>
      </c>
      <c r="I87" s="103">
        <f>VLOOKUP($A87,'OI(Volume)'!$A$7:$O$427,9)</f>
        <v>-132300</v>
      </c>
      <c r="J87" s="103">
        <f>VLOOKUP($A87,'OI(Volume)'!$A$7:$O$427,11)</f>
        <v>22173725</v>
      </c>
      <c r="K87" s="103">
        <f>VLOOKUP($A87,'OI(Volume)'!$A$7:$O$427,12)</f>
        <v>139650</v>
      </c>
      <c r="L87" s="103">
        <f>VLOOKUP($A87,'OI(Value)'!$A$7:$O$306,8,0)</f>
        <v>2153</v>
      </c>
      <c r="M87" s="103">
        <f>VLOOKUP($A87,'OI(Value)'!$A$7:$O$306,9,0)</f>
        <v>-8</v>
      </c>
      <c r="N87" s="103">
        <f>VLOOKUP($A87,'OI(Value)'!$A$7:$O$306,11,0)</f>
        <v>1364</v>
      </c>
      <c r="O87" s="103">
        <f>VLOOKUP($A87,'OI(Value)'!$A$7:$O$306,12,0)</f>
        <v>9</v>
      </c>
      <c r="P87" s="179">
        <f>VLOOKUP(A87,'OI(Value)'!A87:O288,8,0)</f>
        <v>2153</v>
      </c>
      <c r="Q87" s="179">
        <f>VLOOKUP(A87,'OI(Value)'!A87:O288,9,0)</f>
        <v>-8</v>
      </c>
      <c r="R87" s="179">
        <f>VLOOKUP(A87,'OI(Value)'!A87:O288,11,0)</f>
        <v>1364</v>
      </c>
      <c r="S87" s="179">
        <f>VLOOKUP(A87,'OI(Value)'!A87:O288,11,0)</f>
        <v>1364</v>
      </c>
    </row>
    <row r="88" spans="1:19" x14ac:dyDescent="0.25">
      <c r="A88" s="105" t="str">
        <f>'Data shares'!C83</f>
        <v>HUDCO</v>
      </c>
      <c r="B88" s="143">
        <f>VLOOKUP($A88,'Data shares'!$C:$FA,118)</f>
        <v>0.9</v>
      </c>
      <c r="C88" s="143">
        <f>VLOOKUP($A88,'Data shares'!$C:$FA,119)</f>
        <v>0.91</v>
      </c>
      <c r="D88" s="143">
        <f>VLOOKUP($A88,'Data shares'!$C:$FA,121)*100</f>
        <v>-1.0999999999999999</v>
      </c>
      <c r="E88" s="143">
        <f>VLOOKUP($A88,'Data shares'!$C:$FA,124)</f>
        <v>0.42</v>
      </c>
      <c r="F88" s="143">
        <f>VLOOKUP($A88,'Data shares'!$C:$FA,125)</f>
        <v>0.37</v>
      </c>
      <c r="G88" s="143">
        <f>VLOOKUP($A88,'Data shares'!$C:$FA,127)*100</f>
        <v>13.51</v>
      </c>
      <c r="H88" s="103">
        <f>VLOOKUP($A88,'OI(Volume)'!$A$7:$O$427,8)</f>
        <v>11926950</v>
      </c>
      <c r="I88" s="103">
        <f>VLOOKUP($A88,'OI(Volume)'!$A$7:$O$427,9)</f>
        <v>210900</v>
      </c>
      <c r="J88" s="103">
        <f>VLOOKUP($A88,'OI(Volume)'!$A$7:$O$427,11)</f>
        <v>10742025</v>
      </c>
      <c r="K88" s="103">
        <f>VLOOKUP($A88,'OI(Volume)'!$A$7:$O$427,12)</f>
        <v>127650</v>
      </c>
      <c r="L88" s="103">
        <f>VLOOKUP($A88,'OI(Value)'!$A$7:$O$306,8,0)</f>
        <v>273</v>
      </c>
      <c r="M88" s="103">
        <f>VLOOKUP($A88,'OI(Value)'!$A$7:$O$306,9,0)</f>
        <v>5</v>
      </c>
      <c r="N88" s="103">
        <f>VLOOKUP($A88,'OI(Value)'!$A$7:$O$306,11,0)</f>
        <v>246</v>
      </c>
      <c r="O88" s="103">
        <f>VLOOKUP($A88,'OI(Value)'!$A$7:$O$306,12,0)</f>
        <v>3</v>
      </c>
      <c r="P88" s="179">
        <f>VLOOKUP(A88,'OI(Value)'!A88:O289,8,0)</f>
        <v>273</v>
      </c>
      <c r="Q88" s="179">
        <f>VLOOKUP(A88,'OI(Value)'!A88:O289,9,0)</f>
        <v>5</v>
      </c>
      <c r="R88" s="179">
        <f>VLOOKUP(A88,'OI(Value)'!A88:O289,11,0)</f>
        <v>246</v>
      </c>
      <c r="S88" s="179">
        <f>VLOOKUP(A88,'OI(Value)'!A88:O289,11,0)</f>
        <v>246</v>
      </c>
    </row>
    <row r="89" spans="1:19" x14ac:dyDescent="0.25">
      <c r="A89" s="105" t="str">
        <f>'Data shares'!C84</f>
        <v>ICICIBANK</v>
      </c>
      <c r="B89" s="143">
        <f>VLOOKUP($A89,'Data shares'!$C:$FA,118)</f>
        <v>0.82</v>
      </c>
      <c r="C89" s="143">
        <f>VLOOKUP($A89,'Data shares'!$C:$FA,119)</f>
        <v>0.86</v>
      </c>
      <c r="D89" s="143">
        <f>VLOOKUP($A89,'Data shares'!$C:$FA,121)*100</f>
        <v>-4.6500000000000004</v>
      </c>
      <c r="E89" s="143">
        <f>VLOOKUP($A89,'Data shares'!$C:$FA,124)</f>
        <v>0.52</v>
      </c>
      <c r="F89" s="143">
        <f>VLOOKUP($A89,'Data shares'!$C:$FA,125)</f>
        <v>0.6</v>
      </c>
      <c r="G89" s="143">
        <f>VLOOKUP($A89,'Data shares'!$C:$FA,127)*100</f>
        <v>-13.33</v>
      </c>
      <c r="H89" s="103">
        <f>VLOOKUP($A89,'OI(Volume)'!$A$7:$O$427,8)</f>
        <v>24249400</v>
      </c>
      <c r="I89" s="103">
        <f>VLOOKUP($A89,'OI(Volume)'!$A$7:$O$427,9)</f>
        <v>2590000</v>
      </c>
      <c r="J89" s="103">
        <f>VLOOKUP($A89,'OI(Volume)'!$A$7:$O$427,11)</f>
        <v>19868100</v>
      </c>
      <c r="K89" s="103">
        <f>VLOOKUP($A89,'OI(Volume)'!$A$7:$O$427,12)</f>
        <v>1140300</v>
      </c>
      <c r="L89" s="103">
        <f>VLOOKUP($A89,'OI(Value)'!$A$7:$O$306,8,0)</f>
        <v>3261</v>
      </c>
      <c r="M89" s="103">
        <f>VLOOKUP($A89,'OI(Value)'!$A$7:$O$306,9,0)</f>
        <v>348</v>
      </c>
      <c r="N89" s="103">
        <f>VLOOKUP($A89,'OI(Value)'!$A$7:$O$306,11,0)</f>
        <v>2672</v>
      </c>
      <c r="O89" s="103">
        <f>VLOOKUP($A89,'OI(Value)'!$A$7:$O$306,12,0)</f>
        <v>153</v>
      </c>
      <c r="P89" s="179">
        <f>VLOOKUP(A89,'OI(Value)'!A89:O290,8,0)</f>
        <v>3261</v>
      </c>
      <c r="Q89" s="179">
        <f>VLOOKUP(A89,'OI(Value)'!A89:O290,9,0)</f>
        <v>348</v>
      </c>
      <c r="R89" s="179">
        <f>VLOOKUP(A89,'OI(Value)'!A89:O290,11,0)</f>
        <v>2672</v>
      </c>
      <c r="S89" s="179">
        <f>VLOOKUP(A89,'OI(Value)'!A89:O290,11,0)</f>
        <v>2672</v>
      </c>
    </row>
    <row r="90" spans="1:19" x14ac:dyDescent="0.25">
      <c r="A90" s="105" t="str">
        <f>'Data shares'!C85</f>
        <v>ICICIGI</v>
      </c>
      <c r="B90" s="143">
        <f>VLOOKUP($A90,'Data shares'!$C:$FA,118)</f>
        <v>1.37</v>
      </c>
      <c r="C90" s="143">
        <f>VLOOKUP($A90,'Data shares'!$C:$FA,119)</f>
        <v>1.28</v>
      </c>
      <c r="D90" s="143">
        <f>VLOOKUP($A90,'Data shares'!$C:$FA,121)*100</f>
        <v>7.03</v>
      </c>
      <c r="E90" s="143">
        <f>VLOOKUP($A90,'Data shares'!$C:$FA,124)</f>
        <v>0.89</v>
      </c>
      <c r="F90" s="143">
        <f>VLOOKUP($A90,'Data shares'!$C:$FA,125)</f>
        <v>1.17</v>
      </c>
      <c r="G90" s="143">
        <f>VLOOKUP($A90,'Data shares'!$C:$FA,127)*100</f>
        <v>-23.93</v>
      </c>
      <c r="H90" s="103">
        <f>VLOOKUP($A90,'OI(Volume)'!$A$7:$O$427,8)</f>
        <v>355225</v>
      </c>
      <c r="I90" s="103">
        <f>VLOOKUP($A90,'OI(Volume)'!$A$7:$O$427,9)</f>
        <v>63050</v>
      </c>
      <c r="J90" s="103">
        <f>VLOOKUP($A90,'OI(Volume)'!$A$7:$O$427,11)</f>
        <v>488150</v>
      </c>
      <c r="K90" s="103">
        <f>VLOOKUP($A90,'OI(Volume)'!$A$7:$O$427,12)</f>
        <v>115050</v>
      </c>
      <c r="L90" s="103">
        <f>VLOOKUP($A90,'OI(Value)'!$A$7:$O$306,8,0)</f>
        <v>70</v>
      </c>
      <c r="M90" s="103">
        <f>VLOOKUP($A90,'OI(Value)'!$A$7:$O$306,9,0)</f>
        <v>12</v>
      </c>
      <c r="N90" s="103">
        <f>VLOOKUP($A90,'OI(Value)'!$A$7:$O$306,11,0)</f>
        <v>96</v>
      </c>
      <c r="O90" s="103">
        <f>VLOOKUP($A90,'OI(Value)'!$A$7:$O$306,12,0)</f>
        <v>23</v>
      </c>
      <c r="P90" s="179">
        <f>VLOOKUP(A90,'OI(Value)'!A90:O291,8,0)</f>
        <v>70</v>
      </c>
      <c r="Q90" s="179">
        <f>VLOOKUP(A90,'OI(Value)'!A90:O291,9,0)</f>
        <v>12</v>
      </c>
      <c r="R90" s="179">
        <f>VLOOKUP(A90,'OI(Value)'!A90:O291,11,0)</f>
        <v>96</v>
      </c>
      <c r="S90" s="179">
        <f>VLOOKUP(A90,'OI(Value)'!A90:O291,11,0)</f>
        <v>96</v>
      </c>
    </row>
    <row r="91" spans="1:19" x14ac:dyDescent="0.25">
      <c r="A91" s="105" t="str">
        <f>'Data shares'!C86</f>
        <v>ICICIPRULI</v>
      </c>
      <c r="B91" s="143">
        <f>VLOOKUP($A91,'Data shares'!$C:$FA,118)</f>
        <v>1.06</v>
      </c>
      <c r="C91" s="143">
        <f>VLOOKUP($A91,'Data shares'!$C:$FA,119)</f>
        <v>0.94</v>
      </c>
      <c r="D91" s="143">
        <f>VLOOKUP($A91,'Data shares'!$C:$FA,121)*100</f>
        <v>12.770000000000001</v>
      </c>
      <c r="E91" s="143">
        <f>VLOOKUP($A91,'Data shares'!$C:$FA,124)</f>
        <v>0.72</v>
      </c>
      <c r="F91" s="143">
        <f>VLOOKUP($A91,'Data shares'!$C:$FA,125)</f>
        <v>0.4</v>
      </c>
      <c r="G91" s="143">
        <f>VLOOKUP($A91,'Data shares'!$C:$FA,127)*100</f>
        <v>80</v>
      </c>
      <c r="H91" s="103">
        <f>VLOOKUP($A91,'OI(Volume)'!$A$7:$O$427,8)</f>
        <v>1827800</v>
      </c>
      <c r="I91" s="103">
        <f>VLOOKUP($A91,'OI(Volume)'!$A$7:$O$427,9)</f>
        <v>14800</v>
      </c>
      <c r="J91" s="103">
        <f>VLOOKUP($A91,'OI(Volume)'!$A$7:$O$427,11)</f>
        <v>1941575</v>
      </c>
      <c r="K91" s="103">
        <f>VLOOKUP($A91,'OI(Volume)'!$A$7:$O$427,12)</f>
        <v>238650</v>
      </c>
      <c r="L91" s="103">
        <f>VLOOKUP($A91,'OI(Value)'!$A$7:$O$306,8,0)</f>
        <v>124</v>
      </c>
      <c r="M91" s="103">
        <f>VLOOKUP($A91,'OI(Value)'!$A$7:$O$306,9,0)</f>
        <v>1</v>
      </c>
      <c r="N91" s="103">
        <f>VLOOKUP($A91,'OI(Value)'!$A$7:$O$306,11,0)</f>
        <v>132</v>
      </c>
      <c r="O91" s="103">
        <f>VLOOKUP($A91,'OI(Value)'!$A$7:$O$306,12,0)</f>
        <v>16</v>
      </c>
      <c r="P91" s="179">
        <f>VLOOKUP(A91,'OI(Value)'!A91:O292,8,0)</f>
        <v>124</v>
      </c>
      <c r="Q91" s="179">
        <f>VLOOKUP(A91,'OI(Value)'!A91:O292,9,0)</f>
        <v>1</v>
      </c>
      <c r="R91" s="179">
        <f>VLOOKUP(A91,'OI(Value)'!A91:O292,11,0)</f>
        <v>132</v>
      </c>
      <c r="S91" s="179">
        <f>VLOOKUP(A91,'OI(Value)'!A91:O292,11,0)</f>
        <v>132</v>
      </c>
    </row>
    <row r="92" spans="1:19" x14ac:dyDescent="0.25">
      <c r="A92" s="105" t="str">
        <f>'Data shares'!C87</f>
        <v>IDEA</v>
      </c>
      <c r="B92" s="143">
        <f>VLOOKUP($A92,'Data shares'!$C:$FA,118)</f>
        <v>0.61</v>
      </c>
      <c r="C92" s="143">
        <f>VLOOKUP($A92,'Data shares'!$C:$FA,119)</f>
        <v>0.56000000000000005</v>
      </c>
      <c r="D92" s="143">
        <f>VLOOKUP($A92,'Data shares'!$C:$FA,121)*100</f>
        <v>8.93</v>
      </c>
      <c r="E92" s="143">
        <f>VLOOKUP($A92,'Data shares'!$C:$FA,124)</f>
        <v>0.47</v>
      </c>
      <c r="F92" s="143">
        <f>VLOOKUP($A92,'Data shares'!$C:$FA,125)</f>
        <v>0.54</v>
      </c>
      <c r="G92" s="143">
        <f>VLOOKUP($A92,'Data shares'!$C:$FA,127)*100</f>
        <v>-12.959999999999999</v>
      </c>
      <c r="H92" s="103">
        <f>VLOOKUP($A92,'OI(Volume)'!$A$7:$O$427,8)</f>
        <v>2458311150</v>
      </c>
      <c r="I92" s="103">
        <f>VLOOKUP($A92,'OI(Volume)'!$A$7:$O$427,9)</f>
        <v>105711525</v>
      </c>
      <c r="J92" s="103">
        <f>VLOOKUP($A92,'OI(Volume)'!$A$7:$O$427,11)</f>
        <v>1497329775</v>
      </c>
      <c r="K92" s="103">
        <f>VLOOKUP($A92,'OI(Volume)'!$A$7:$O$427,12)</f>
        <v>183547800</v>
      </c>
      <c r="L92" s="103">
        <f>VLOOKUP($A92,'OI(Value)'!$A$7:$O$306,8,0)</f>
        <v>2879</v>
      </c>
      <c r="M92" s="103">
        <f>VLOOKUP($A92,'OI(Value)'!$A$7:$O$306,9,0)</f>
        <v>124</v>
      </c>
      <c r="N92" s="103">
        <f>VLOOKUP($A92,'OI(Value)'!$A$7:$O$306,11,0)</f>
        <v>1753</v>
      </c>
      <c r="O92" s="103">
        <f>VLOOKUP($A92,'OI(Value)'!$A$7:$O$306,12,0)</f>
        <v>215</v>
      </c>
      <c r="P92" s="179">
        <f>VLOOKUP(A92,'OI(Value)'!A92:O293,8,0)</f>
        <v>2879</v>
      </c>
      <c r="Q92" s="179">
        <f>VLOOKUP(A92,'OI(Value)'!A92:O293,9,0)</f>
        <v>124</v>
      </c>
      <c r="R92" s="179">
        <f>VLOOKUP(A92,'OI(Value)'!A92:O293,11,0)</f>
        <v>1753</v>
      </c>
      <c r="S92" s="179">
        <f>VLOOKUP(A92,'OI(Value)'!A92:O293,11,0)</f>
        <v>1753</v>
      </c>
    </row>
    <row r="93" spans="1:19" x14ac:dyDescent="0.25">
      <c r="A93" s="105" t="str">
        <f>'Data shares'!C88</f>
        <v>IDFCFIRSTB</v>
      </c>
      <c r="B93" s="143">
        <f>VLOOKUP($A93,'Data shares'!$C:$FA,118)</f>
        <v>0.65</v>
      </c>
      <c r="C93" s="143">
        <f>VLOOKUP($A93,'Data shares'!$C:$FA,119)</f>
        <v>0.66</v>
      </c>
      <c r="D93" s="143">
        <f>VLOOKUP($A93,'Data shares'!$C:$FA,121)*100</f>
        <v>-1.52</v>
      </c>
      <c r="E93" s="143">
        <f>VLOOKUP($A93,'Data shares'!$C:$FA,124)</f>
        <v>0.53</v>
      </c>
      <c r="F93" s="143">
        <f>VLOOKUP($A93,'Data shares'!$C:$FA,125)</f>
        <v>0.55000000000000004</v>
      </c>
      <c r="G93" s="143">
        <f>VLOOKUP($A93,'Data shares'!$C:$FA,127)*100</f>
        <v>-3.64</v>
      </c>
      <c r="H93" s="103">
        <f>VLOOKUP($A93,'OI(Volume)'!$A$7:$O$427,8)</f>
        <v>79616600</v>
      </c>
      <c r="I93" s="103">
        <f>VLOOKUP($A93,'OI(Volume)'!$A$7:$O$427,9)</f>
        <v>4099550</v>
      </c>
      <c r="J93" s="103">
        <f>VLOOKUP($A93,'OI(Volume)'!$A$7:$O$427,11)</f>
        <v>51513350</v>
      </c>
      <c r="K93" s="103">
        <f>VLOOKUP($A93,'OI(Volume)'!$A$7:$O$427,12)</f>
        <v>1938475</v>
      </c>
      <c r="L93" s="103">
        <f>VLOOKUP($A93,'OI(Value)'!$A$7:$O$306,8,0)</f>
        <v>686</v>
      </c>
      <c r="M93" s="103">
        <f>VLOOKUP($A93,'OI(Value)'!$A$7:$O$306,9,0)</f>
        <v>35</v>
      </c>
      <c r="N93" s="103">
        <f>VLOOKUP($A93,'OI(Value)'!$A$7:$O$306,11,0)</f>
        <v>444</v>
      </c>
      <c r="O93" s="103">
        <f>VLOOKUP($A93,'OI(Value)'!$A$7:$O$306,12,0)</f>
        <v>17</v>
      </c>
      <c r="P93" s="179">
        <f>VLOOKUP(A93,'OI(Value)'!A93:O294,8,0)</f>
        <v>686</v>
      </c>
      <c r="Q93" s="179">
        <f>VLOOKUP(A93,'OI(Value)'!A93:O294,9,0)</f>
        <v>35</v>
      </c>
      <c r="R93" s="179">
        <f>VLOOKUP(A93,'OI(Value)'!A93:O294,11,0)</f>
        <v>444</v>
      </c>
      <c r="S93" s="179">
        <f>VLOOKUP(A93,'OI(Value)'!A93:O294,11,0)</f>
        <v>444</v>
      </c>
    </row>
    <row r="94" spans="1:19" x14ac:dyDescent="0.25">
      <c r="A94" s="105" t="str">
        <f>'Data shares'!C89</f>
        <v>IEX</v>
      </c>
      <c r="B94" s="143">
        <f>VLOOKUP($A94,'Data shares'!$C:$FA,118)</f>
        <v>0.72</v>
      </c>
      <c r="C94" s="143">
        <f>VLOOKUP($A94,'Data shares'!$C:$FA,119)</f>
        <v>0.78</v>
      </c>
      <c r="D94" s="143">
        <f>VLOOKUP($A94,'Data shares'!$C:$FA,121)*100</f>
        <v>-7.6899999999999995</v>
      </c>
      <c r="E94" s="143">
        <f>VLOOKUP($A94,'Data shares'!$C:$FA,124)</f>
        <v>0.34</v>
      </c>
      <c r="F94" s="143">
        <f>VLOOKUP($A94,'Data shares'!$C:$FA,125)</f>
        <v>0.37</v>
      </c>
      <c r="G94" s="143">
        <f>VLOOKUP($A94,'Data shares'!$C:$FA,127)*100</f>
        <v>-8.1100000000000012</v>
      </c>
      <c r="H94" s="103">
        <f>VLOOKUP($A94,'OI(Volume)'!$A$7:$O$427,8)</f>
        <v>33551250</v>
      </c>
      <c r="I94" s="103">
        <f>VLOOKUP($A94,'OI(Volume)'!$A$7:$O$427,9)</f>
        <v>3281250</v>
      </c>
      <c r="J94" s="103">
        <f>VLOOKUP($A94,'OI(Volume)'!$A$7:$O$427,11)</f>
        <v>24315000</v>
      </c>
      <c r="K94" s="103">
        <f>VLOOKUP($A94,'OI(Volume)'!$A$7:$O$427,12)</f>
        <v>802500</v>
      </c>
      <c r="L94" s="103">
        <f>VLOOKUP($A94,'OI(Value)'!$A$7:$O$306,8,0)</f>
        <v>448</v>
      </c>
      <c r="M94" s="103">
        <f>VLOOKUP($A94,'OI(Value)'!$A$7:$O$306,9,0)</f>
        <v>44</v>
      </c>
      <c r="N94" s="103">
        <f>VLOOKUP($A94,'OI(Value)'!$A$7:$O$306,11,0)</f>
        <v>325</v>
      </c>
      <c r="O94" s="103">
        <f>VLOOKUP($A94,'OI(Value)'!$A$7:$O$306,12,0)</f>
        <v>11</v>
      </c>
      <c r="P94" s="179">
        <f>VLOOKUP(A94,'OI(Value)'!A94:O295,8,0)</f>
        <v>448</v>
      </c>
      <c r="Q94" s="179">
        <f>VLOOKUP(A94,'OI(Value)'!A94:O295,9,0)</f>
        <v>44</v>
      </c>
      <c r="R94" s="179">
        <f>VLOOKUP(A94,'OI(Value)'!A94:O295,11,0)</f>
        <v>325</v>
      </c>
      <c r="S94" s="179">
        <f>VLOOKUP(A94,'OI(Value)'!A94:O295,11,0)</f>
        <v>325</v>
      </c>
    </row>
    <row r="95" spans="1:19" x14ac:dyDescent="0.25">
      <c r="A95" s="105" t="str">
        <f>'Data shares'!C90</f>
        <v>IIFL</v>
      </c>
      <c r="B95" s="143">
        <f>VLOOKUP($A95,'Data shares'!$C:$FA,118)</f>
        <v>0.98</v>
      </c>
      <c r="C95" s="143">
        <f>VLOOKUP($A95,'Data shares'!$C:$FA,119)</f>
        <v>0.8</v>
      </c>
      <c r="D95" s="143">
        <f>VLOOKUP($A95,'Data shares'!$C:$FA,121)*100</f>
        <v>22.5</v>
      </c>
      <c r="E95" s="143">
        <f>VLOOKUP($A95,'Data shares'!$C:$FA,124)</f>
        <v>0.51</v>
      </c>
      <c r="F95" s="143">
        <f>VLOOKUP($A95,'Data shares'!$C:$FA,125)</f>
        <v>0.28999999999999998</v>
      </c>
      <c r="G95" s="143">
        <f>VLOOKUP($A95,'Data shares'!$C:$FA,127)*100</f>
        <v>75.86</v>
      </c>
      <c r="H95" s="103">
        <f>VLOOKUP($A95,'OI(Volume)'!$A$7:$O$427,8)</f>
        <v>3204300</v>
      </c>
      <c r="I95" s="103">
        <f>VLOOKUP($A95,'OI(Volume)'!$A$7:$O$427,9)</f>
        <v>-130350</v>
      </c>
      <c r="J95" s="103">
        <f>VLOOKUP($A95,'OI(Volume)'!$A$7:$O$427,11)</f>
        <v>3135000</v>
      </c>
      <c r="K95" s="103">
        <f>VLOOKUP($A95,'OI(Volume)'!$A$7:$O$427,12)</f>
        <v>463650</v>
      </c>
      <c r="L95" s="103">
        <f>VLOOKUP($A95,'OI(Value)'!$A$7:$O$306,8,0)</f>
        <v>199</v>
      </c>
      <c r="M95" s="103">
        <f>VLOOKUP($A95,'OI(Value)'!$A$7:$O$306,9,0)</f>
        <v>-8</v>
      </c>
      <c r="N95" s="103">
        <f>VLOOKUP($A95,'OI(Value)'!$A$7:$O$306,11,0)</f>
        <v>195</v>
      </c>
      <c r="O95" s="103">
        <f>VLOOKUP($A95,'OI(Value)'!$A$7:$O$306,12,0)</f>
        <v>29</v>
      </c>
      <c r="P95" s="179">
        <f>VLOOKUP(A95,'OI(Value)'!A95:O296,8,0)</f>
        <v>199</v>
      </c>
      <c r="Q95" s="179">
        <f>VLOOKUP(A95,'OI(Value)'!A95:O296,9,0)</f>
        <v>-8</v>
      </c>
      <c r="R95" s="179">
        <f>VLOOKUP(A95,'OI(Value)'!A95:O296,11,0)</f>
        <v>195</v>
      </c>
      <c r="S95" s="179">
        <f>VLOOKUP(A95,'OI(Value)'!A95:O296,11,0)</f>
        <v>195</v>
      </c>
    </row>
    <row r="96" spans="1:19" x14ac:dyDescent="0.25">
      <c r="A96" s="105" t="str">
        <f>'Data shares'!C91</f>
        <v>INDHOTEL</v>
      </c>
      <c r="B96" s="143">
        <f>VLOOKUP($A96,'Data shares'!$C:$FA,118)</f>
        <v>0.77</v>
      </c>
      <c r="C96" s="143">
        <f>VLOOKUP($A96,'Data shares'!$C:$FA,119)</f>
        <v>0.8</v>
      </c>
      <c r="D96" s="143">
        <f>VLOOKUP($A96,'Data shares'!$C:$FA,121)*100</f>
        <v>-3.75</v>
      </c>
      <c r="E96" s="143">
        <f>VLOOKUP($A96,'Data shares'!$C:$FA,124)</f>
        <v>0.43</v>
      </c>
      <c r="F96" s="143">
        <f>VLOOKUP($A96,'Data shares'!$C:$FA,125)</f>
        <v>0.5</v>
      </c>
      <c r="G96" s="143">
        <f>VLOOKUP($A96,'Data shares'!$C:$FA,127)*100</f>
        <v>-14.000000000000002</v>
      </c>
      <c r="H96" s="103">
        <f>VLOOKUP($A96,'OI(Volume)'!$A$7:$O$427,8)</f>
        <v>5001000</v>
      </c>
      <c r="I96" s="103">
        <f>VLOOKUP($A96,'OI(Volume)'!$A$7:$O$427,9)</f>
        <v>482000</v>
      </c>
      <c r="J96" s="103">
        <f>VLOOKUP($A96,'OI(Volume)'!$A$7:$O$427,11)</f>
        <v>3856000</v>
      </c>
      <c r="K96" s="103">
        <f>VLOOKUP($A96,'OI(Volume)'!$A$7:$O$427,12)</f>
        <v>235000</v>
      </c>
      <c r="L96" s="103">
        <f>VLOOKUP($A96,'OI(Value)'!$A$7:$O$306,8,0)</f>
        <v>371</v>
      </c>
      <c r="M96" s="103">
        <f>VLOOKUP($A96,'OI(Value)'!$A$7:$O$306,9,0)</f>
        <v>36</v>
      </c>
      <c r="N96" s="103">
        <f>VLOOKUP($A96,'OI(Value)'!$A$7:$O$306,11,0)</f>
        <v>286</v>
      </c>
      <c r="O96" s="103">
        <f>VLOOKUP($A96,'OI(Value)'!$A$7:$O$306,12,0)</f>
        <v>17</v>
      </c>
      <c r="P96" s="179">
        <f>VLOOKUP(A96,'OI(Value)'!A96:O297,8,0)</f>
        <v>371</v>
      </c>
      <c r="Q96" s="179">
        <f>VLOOKUP(A96,'OI(Value)'!A96:O297,9,0)</f>
        <v>36</v>
      </c>
      <c r="R96" s="179">
        <f>VLOOKUP(A96,'OI(Value)'!A96:O297,11,0)</f>
        <v>286</v>
      </c>
      <c r="S96" s="179">
        <f>VLOOKUP(A96,'OI(Value)'!A96:O297,11,0)</f>
        <v>286</v>
      </c>
    </row>
    <row r="97" spans="1:19" x14ac:dyDescent="0.25">
      <c r="A97" s="105" t="str">
        <f>'Data shares'!C92</f>
        <v>INDIANB</v>
      </c>
      <c r="B97" s="143">
        <f>VLOOKUP($A97,'Data shares'!$C:$FA,118)</f>
        <v>0.79</v>
      </c>
      <c r="C97" s="143">
        <f>VLOOKUP($A97,'Data shares'!$C:$FA,119)</f>
        <v>0.85</v>
      </c>
      <c r="D97" s="143">
        <f>VLOOKUP($A97,'Data shares'!$C:$FA,121)*100</f>
        <v>-7.06</v>
      </c>
      <c r="E97" s="143">
        <f>VLOOKUP($A97,'Data shares'!$C:$FA,124)</f>
        <v>0.38</v>
      </c>
      <c r="F97" s="143">
        <f>VLOOKUP($A97,'Data shares'!$C:$FA,125)</f>
        <v>0.32</v>
      </c>
      <c r="G97" s="143">
        <f>VLOOKUP($A97,'Data shares'!$C:$FA,127)*100</f>
        <v>18.75</v>
      </c>
      <c r="H97" s="103">
        <f>VLOOKUP($A97,'OI(Volume)'!$A$7:$O$427,8)</f>
        <v>3410000</v>
      </c>
      <c r="I97" s="103">
        <f>VLOOKUP($A97,'OI(Volume)'!$A$7:$O$427,9)</f>
        <v>177000</v>
      </c>
      <c r="J97" s="103">
        <f>VLOOKUP($A97,'OI(Volume)'!$A$7:$O$427,11)</f>
        <v>2688000</v>
      </c>
      <c r="K97" s="103">
        <f>VLOOKUP($A97,'OI(Volume)'!$A$7:$O$427,12)</f>
        <v>-56000</v>
      </c>
      <c r="L97" s="103">
        <f>VLOOKUP($A97,'OI(Value)'!$A$7:$O$306,8,0)</f>
        <v>286</v>
      </c>
      <c r="M97" s="103">
        <f>VLOOKUP($A97,'OI(Value)'!$A$7:$O$306,9,0)</f>
        <v>15</v>
      </c>
      <c r="N97" s="103">
        <f>VLOOKUP($A97,'OI(Value)'!$A$7:$O$306,11,0)</f>
        <v>225</v>
      </c>
      <c r="O97" s="103">
        <f>VLOOKUP($A97,'OI(Value)'!$A$7:$O$306,12,0)</f>
        <v>-5</v>
      </c>
      <c r="P97" s="179">
        <f>VLOOKUP(A97,'OI(Value)'!A97:O298,8,0)</f>
        <v>286</v>
      </c>
      <c r="Q97" s="179">
        <f>VLOOKUP(A97,'OI(Value)'!A97:O298,9,0)</f>
        <v>15</v>
      </c>
      <c r="R97" s="179">
        <f>VLOOKUP(A97,'OI(Value)'!A97:O298,11,0)</f>
        <v>225</v>
      </c>
      <c r="S97" s="179">
        <f>VLOOKUP(A97,'OI(Value)'!A97:O298,11,0)</f>
        <v>225</v>
      </c>
    </row>
    <row r="98" spans="1:19" x14ac:dyDescent="0.25">
      <c r="A98" s="105" t="str">
        <f>'Data shares'!C93</f>
        <v>INDIAVIX</v>
      </c>
      <c r="B98" s="143">
        <f>VLOOKUP($A98,'Data shares'!$C:$FA,118)</f>
        <v>0</v>
      </c>
      <c r="C98" s="143">
        <f>VLOOKUP($A98,'Data shares'!$C:$FA,119)</f>
        <v>0</v>
      </c>
      <c r="D98" s="143">
        <f>VLOOKUP($A98,'Data shares'!$C:$FA,121)*100</f>
        <v>0</v>
      </c>
      <c r="E98" s="143">
        <f>VLOOKUP($A98,'Data shares'!$C:$FA,124)</f>
        <v>0</v>
      </c>
      <c r="F98" s="143">
        <f>VLOOKUP($A98,'Data shares'!$C:$FA,125)</f>
        <v>0</v>
      </c>
      <c r="G98" s="143">
        <f>VLOOKUP($A98,'Data shares'!$C:$FA,127)*100</f>
        <v>0</v>
      </c>
      <c r="H98" s="103">
        <f>VLOOKUP($A98,'OI(Volume)'!$A$7:$O$427,8)</f>
        <v>0</v>
      </c>
      <c r="I98" s="103">
        <f>VLOOKUP($A98,'OI(Volume)'!$A$7:$O$427,9)</f>
        <v>0</v>
      </c>
      <c r="J98" s="103">
        <f>VLOOKUP($A98,'OI(Volume)'!$A$7:$O$427,11)</f>
        <v>0</v>
      </c>
      <c r="K98" s="103">
        <f>VLOOKUP($A98,'OI(Volume)'!$A$7:$O$427,12)</f>
        <v>0</v>
      </c>
      <c r="L98" s="103">
        <f>VLOOKUP($A98,'OI(Value)'!$A$7:$O$306,8,0)</f>
        <v>0</v>
      </c>
      <c r="M98" s="103">
        <f>VLOOKUP($A98,'OI(Value)'!$A$7:$O$306,9,0)</f>
        <v>0</v>
      </c>
      <c r="N98" s="103">
        <f>VLOOKUP($A98,'OI(Value)'!$A$7:$O$306,11,0)</f>
        <v>0</v>
      </c>
      <c r="O98" s="103">
        <f>VLOOKUP($A98,'OI(Value)'!$A$7:$O$306,12,0)</f>
        <v>0</v>
      </c>
      <c r="P98" s="179">
        <f>VLOOKUP(A98,'OI(Value)'!A98:O299,8,0)</f>
        <v>0</v>
      </c>
      <c r="Q98" s="179">
        <f>VLOOKUP(A98,'OI(Value)'!A98:O299,9,0)</f>
        <v>0</v>
      </c>
      <c r="R98" s="179">
        <f>VLOOKUP(A98,'OI(Value)'!A98:O299,11,0)</f>
        <v>0</v>
      </c>
      <c r="S98" s="179">
        <f>VLOOKUP(A98,'OI(Value)'!A98:O299,11,0)</f>
        <v>0</v>
      </c>
    </row>
    <row r="99" spans="1:19" x14ac:dyDescent="0.25">
      <c r="A99" s="105" t="str">
        <f>'Data shares'!C94</f>
        <v>INDIGO</v>
      </c>
      <c r="B99" s="143">
        <f>VLOOKUP($A99,'Data shares'!$C:$FA,118)</f>
        <v>0.91</v>
      </c>
      <c r="C99" s="143">
        <f>VLOOKUP($A99,'Data shares'!$C:$FA,119)</f>
        <v>0.97</v>
      </c>
      <c r="D99" s="143">
        <f>VLOOKUP($A99,'Data shares'!$C:$FA,121)*100</f>
        <v>-6.1899999999999995</v>
      </c>
      <c r="E99" s="143">
        <f>VLOOKUP($A99,'Data shares'!$C:$FA,124)</f>
        <v>0.49</v>
      </c>
      <c r="F99" s="143">
        <f>VLOOKUP($A99,'Data shares'!$C:$FA,125)</f>
        <v>0.79</v>
      </c>
      <c r="G99" s="143">
        <f>VLOOKUP($A99,'Data shares'!$C:$FA,127)*100</f>
        <v>-37.97</v>
      </c>
      <c r="H99" s="103">
        <f>VLOOKUP($A99,'OI(Volume)'!$A$7:$O$427,8)</f>
        <v>3643200</v>
      </c>
      <c r="I99" s="103">
        <f>VLOOKUP($A99,'OI(Volume)'!$A$7:$O$427,9)</f>
        <v>347250</v>
      </c>
      <c r="J99" s="103">
        <f>VLOOKUP($A99,'OI(Volume)'!$A$7:$O$427,11)</f>
        <v>3304050</v>
      </c>
      <c r="K99" s="103">
        <f>VLOOKUP($A99,'OI(Volume)'!$A$7:$O$427,12)</f>
        <v>94350</v>
      </c>
      <c r="L99" s="103">
        <f>VLOOKUP($A99,'OI(Value)'!$A$7:$O$306,8,0)</f>
        <v>1873</v>
      </c>
      <c r="M99" s="103">
        <f>VLOOKUP($A99,'OI(Value)'!$A$7:$O$306,9,0)</f>
        <v>179</v>
      </c>
      <c r="N99" s="103">
        <f>VLOOKUP($A99,'OI(Value)'!$A$7:$O$306,11,0)</f>
        <v>1699</v>
      </c>
      <c r="O99" s="103">
        <f>VLOOKUP($A99,'OI(Value)'!$A$7:$O$306,12,0)</f>
        <v>49</v>
      </c>
      <c r="P99" s="179">
        <f>VLOOKUP(A99,'OI(Value)'!A99:O300,8,0)</f>
        <v>1873</v>
      </c>
      <c r="Q99" s="179">
        <f>VLOOKUP(A99,'OI(Value)'!A99:O300,9,0)</f>
        <v>179</v>
      </c>
      <c r="R99" s="179">
        <f>VLOOKUP(A99,'OI(Value)'!A99:O300,11,0)</f>
        <v>1699</v>
      </c>
      <c r="S99" s="179">
        <f>VLOOKUP(A99,'OI(Value)'!A99:O300,11,0)</f>
        <v>1699</v>
      </c>
    </row>
    <row r="100" spans="1:19" x14ac:dyDescent="0.25">
      <c r="A100" s="105" t="str">
        <f>'Data shares'!C95</f>
        <v>INDUSINDBK</v>
      </c>
      <c r="B100" s="143">
        <f>VLOOKUP($A100,'Data shares'!$C:$FA,118)</f>
        <v>0.9</v>
      </c>
      <c r="C100" s="143">
        <f>VLOOKUP($A100,'Data shares'!$C:$FA,119)</f>
        <v>0.7</v>
      </c>
      <c r="D100" s="143">
        <f>VLOOKUP($A100,'Data shares'!$C:$FA,121)*100</f>
        <v>28.57</v>
      </c>
      <c r="E100" s="143">
        <f>VLOOKUP($A100,'Data shares'!$C:$FA,124)</f>
        <v>0.55000000000000004</v>
      </c>
      <c r="F100" s="143">
        <f>VLOOKUP($A100,'Data shares'!$C:$FA,125)</f>
        <v>0.63</v>
      </c>
      <c r="G100" s="143">
        <f>VLOOKUP($A100,'Data shares'!$C:$FA,127)*100</f>
        <v>-12.7</v>
      </c>
      <c r="H100" s="103">
        <f>VLOOKUP($A100,'OI(Volume)'!$A$7:$O$427,8)</f>
        <v>10129000</v>
      </c>
      <c r="I100" s="103">
        <f>VLOOKUP($A100,'OI(Volume)'!$A$7:$O$427,9)</f>
        <v>756700</v>
      </c>
      <c r="J100" s="103">
        <f>VLOOKUP($A100,'OI(Volume)'!$A$7:$O$427,11)</f>
        <v>9101400</v>
      </c>
      <c r="K100" s="103">
        <f>VLOOKUP($A100,'OI(Volume)'!$A$7:$O$427,12)</f>
        <v>2564100</v>
      </c>
      <c r="L100" s="103">
        <f>VLOOKUP($A100,'OI(Value)'!$A$7:$O$306,8,0)</f>
        <v>905</v>
      </c>
      <c r="M100" s="103">
        <f>VLOOKUP($A100,'OI(Value)'!$A$7:$O$306,9,0)</f>
        <v>68</v>
      </c>
      <c r="N100" s="103">
        <f>VLOOKUP($A100,'OI(Value)'!$A$7:$O$306,11,0)</f>
        <v>813</v>
      </c>
      <c r="O100" s="103">
        <f>VLOOKUP($A100,'OI(Value)'!$A$7:$O$306,12,0)</f>
        <v>229</v>
      </c>
      <c r="P100" s="179">
        <f>VLOOKUP(A100,'OI(Value)'!A100:O301,8,0)</f>
        <v>905</v>
      </c>
      <c r="Q100" s="179">
        <f>VLOOKUP(A100,'OI(Value)'!A100:O301,9,0)</f>
        <v>68</v>
      </c>
      <c r="R100" s="179">
        <f>VLOOKUP(A100,'OI(Value)'!A100:O301,11,0)</f>
        <v>813</v>
      </c>
      <c r="S100" s="179">
        <f>VLOOKUP(A100,'OI(Value)'!A100:O301,11,0)</f>
        <v>813</v>
      </c>
    </row>
    <row r="101" spans="1:19" x14ac:dyDescent="0.25">
      <c r="A101" s="105" t="str">
        <f>'Data shares'!C96</f>
        <v>INDUSTOWER</v>
      </c>
      <c r="B101" s="143">
        <f>VLOOKUP($A101,'Data shares'!$C:$FA,118)</f>
        <v>0.76</v>
      </c>
      <c r="C101" s="143">
        <f>VLOOKUP($A101,'Data shares'!$C:$FA,119)</f>
        <v>0.6</v>
      </c>
      <c r="D101" s="143">
        <f>VLOOKUP($A101,'Data shares'!$C:$FA,121)*100</f>
        <v>26.669999999999998</v>
      </c>
      <c r="E101" s="143">
        <f>VLOOKUP($A101,'Data shares'!$C:$FA,124)</f>
        <v>0.42</v>
      </c>
      <c r="F101" s="143">
        <f>VLOOKUP($A101,'Data shares'!$C:$FA,125)</f>
        <v>0.52</v>
      </c>
      <c r="G101" s="143">
        <f>VLOOKUP($A101,'Data shares'!$C:$FA,127)*100</f>
        <v>-19.23</v>
      </c>
      <c r="H101" s="103">
        <f>VLOOKUP($A101,'OI(Volume)'!$A$7:$O$427,8)</f>
        <v>20245300</v>
      </c>
      <c r="I101" s="103">
        <f>VLOOKUP($A101,'OI(Volume)'!$A$7:$O$427,9)</f>
        <v>-1672800</v>
      </c>
      <c r="J101" s="103">
        <f>VLOOKUP($A101,'OI(Volume)'!$A$7:$O$427,11)</f>
        <v>15437700</v>
      </c>
      <c r="K101" s="103">
        <f>VLOOKUP($A101,'OI(Volume)'!$A$7:$O$427,12)</f>
        <v>2327300</v>
      </c>
      <c r="L101" s="103">
        <f>VLOOKUP($A101,'OI(Value)'!$A$7:$O$306,8,0)</f>
        <v>888</v>
      </c>
      <c r="M101" s="103">
        <f>VLOOKUP($A101,'OI(Value)'!$A$7:$O$306,9,0)</f>
        <v>-73</v>
      </c>
      <c r="N101" s="103">
        <f>VLOOKUP($A101,'OI(Value)'!$A$7:$O$306,11,0)</f>
        <v>677</v>
      </c>
      <c r="O101" s="103">
        <f>VLOOKUP($A101,'OI(Value)'!$A$7:$O$306,12,0)</f>
        <v>102</v>
      </c>
      <c r="P101" s="179">
        <f>VLOOKUP(A101,'OI(Value)'!A101:O302,8,0)</f>
        <v>888</v>
      </c>
      <c r="Q101" s="179">
        <f>VLOOKUP(A101,'OI(Value)'!A101:O302,9,0)</f>
        <v>-73</v>
      </c>
      <c r="R101" s="179">
        <f>VLOOKUP(A101,'OI(Value)'!A101:O302,11,0)</f>
        <v>677</v>
      </c>
      <c r="S101" s="179">
        <f>VLOOKUP(A101,'OI(Value)'!A101:O302,11,0)</f>
        <v>677</v>
      </c>
    </row>
    <row r="102" spans="1:19" x14ac:dyDescent="0.25">
      <c r="A102" s="105" t="str">
        <f>'Data shares'!C97</f>
        <v>INFY</v>
      </c>
      <c r="B102" s="143">
        <f>VLOOKUP($A102,'Data shares'!$C:$FA,118)</f>
        <v>0.79</v>
      </c>
      <c r="C102" s="143">
        <f>VLOOKUP($A102,'Data shares'!$C:$FA,119)</f>
        <v>0.82</v>
      </c>
      <c r="D102" s="143">
        <f>VLOOKUP($A102,'Data shares'!$C:$FA,121)*100</f>
        <v>-3.66</v>
      </c>
      <c r="E102" s="143">
        <f>VLOOKUP($A102,'Data shares'!$C:$FA,124)</f>
        <v>0.44</v>
      </c>
      <c r="F102" s="143">
        <f>VLOOKUP($A102,'Data shares'!$C:$FA,125)</f>
        <v>0.51</v>
      </c>
      <c r="G102" s="143">
        <f>VLOOKUP($A102,'Data shares'!$C:$FA,127)*100</f>
        <v>-13.73</v>
      </c>
      <c r="H102" s="103">
        <f>VLOOKUP($A102,'OI(Volume)'!$A$7:$O$427,8)</f>
        <v>11748400</v>
      </c>
      <c r="I102" s="103">
        <f>VLOOKUP($A102,'OI(Volume)'!$A$7:$O$427,9)</f>
        <v>1122800</v>
      </c>
      <c r="J102" s="103">
        <f>VLOOKUP($A102,'OI(Volume)'!$A$7:$O$427,11)</f>
        <v>9275200</v>
      </c>
      <c r="K102" s="103">
        <f>VLOOKUP($A102,'OI(Volume)'!$A$7:$O$427,12)</f>
        <v>592000</v>
      </c>
      <c r="L102" s="103">
        <f>VLOOKUP($A102,'OI(Value)'!$A$7:$O$306,8,0)</f>
        <v>1924</v>
      </c>
      <c r="M102" s="103">
        <f>VLOOKUP($A102,'OI(Value)'!$A$7:$O$306,9,0)</f>
        <v>184</v>
      </c>
      <c r="N102" s="103">
        <f>VLOOKUP($A102,'OI(Value)'!$A$7:$O$306,11,0)</f>
        <v>1519</v>
      </c>
      <c r="O102" s="103">
        <f>VLOOKUP($A102,'OI(Value)'!$A$7:$O$306,12,0)</f>
        <v>97</v>
      </c>
      <c r="P102" s="179">
        <f>VLOOKUP(A102,'OI(Value)'!A102:O303,8,0)</f>
        <v>1924</v>
      </c>
      <c r="Q102" s="179">
        <f>VLOOKUP(A102,'OI(Value)'!A102:O303,9,0)</f>
        <v>184</v>
      </c>
      <c r="R102" s="179">
        <f>VLOOKUP(A102,'OI(Value)'!A102:O303,11,0)</f>
        <v>1519</v>
      </c>
      <c r="S102" s="179">
        <f>VLOOKUP(A102,'OI(Value)'!A102:O303,11,0)</f>
        <v>1519</v>
      </c>
    </row>
    <row r="103" spans="1:19" x14ac:dyDescent="0.25">
      <c r="A103" s="105" t="str">
        <f>'Data shares'!C98</f>
        <v>INOXWIND</v>
      </c>
      <c r="B103" s="143">
        <f>VLOOKUP($A103,'Data shares'!$C:$FA,118)</f>
        <v>0.78</v>
      </c>
      <c r="C103" s="143">
        <f>VLOOKUP($A103,'Data shares'!$C:$FA,119)</f>
        <v>0.81</v>
      </c>
      <c r="D103" s="143">
        <f>VLOOKUP($A103,'Data shares'!$C:$FA,121)*100</f>
        <v>-3.6999999999999997</v>
      </c>
      <c r="E103" s="143">
        <f>VLOOKUP($A103,'Data shares'!$C:$FA,124)</f>
        <v>0.38</v>
      </c>
      <c r="F103" s="143">
        <f>VLOOKUP($A103,'Data shares'!$C:$FA,125)</f>
        <v>0.44</v>
      </c>
      <c r="G103" s="143">
        <f>VLOOKUP($A103,'Data shares'!$C:$FA,127)*100</f>
        <v>-13.639999999999999</v>
      </c>
      <c r="H103" s="103">
        <f>VLOOKUP($A103,'OI(Volume)'!$A$7:$O$427,8)</f>
        <v>18089500</v>
      </c>
      <c r="I103" s="103">
        <f>VLOOKUP($A103,'OI(Volume)'!$A$7:$O$427,9)</f>
        <v>1312025</v>
      </c>
      <c r="J103" s="103">
        <f>VLOOKUP($A103,'OI(Volume)'!$A$7:$O$427,11)</f>
        <v>14078350</v>
      </c>
      <c r="K103" s="103">
        <f>VLOOKUP($A103,'OI(Volume)'!$A$7:$O$427,12)</f>
        <v>471900</v>
      </c>
      <c r="L103" s="103">
        <f>VLOOKUP($A103,'OI(Value)'!$A$7:$O$306,8,0)</f>
        <v>224</v>
      </c>
      <c r="M103" s="103">
        <f>VLOOKUP($A103,'OI(Value)'!$A$7:$O$306,9,0)</f>
        <v>16</v>
      </c>
      <c r="N103" s="103">
        <f>VLOOKUP($A103,'OI(Value)'!$A$7:$O$306,11,0)</f>
        <v>174</v>
      </c>
      <c r="O103" s="103">
        <f>VLOOKUP($A103,'OI(Value)'!$A$7:$O$306,12,0)</f>
        <v>6</v>
      </c>
      <c r="P103" s="179">
        <f>VLOOKUP(A103,'OI(Value)'!A103:O304,8,0)</f>
        <v>224</v>
      </c>
      <c r="Q103" s="179">
        <f>VLOOKUP(A103,'OI(Value)'!A103:O304,9,0)</f>
        <v>16</v>
      </c>
      <c r="R103" s="179">
        <f>VLOOKUP(A103,'OI(Value)'!A103:O304,11,0)</f>
        <v>174</v>
      </c>
      <c r="S103" s="179">
        <f>VLOOKUP(A103,'OI(Value)'!A103:O304,11,0)</f>
        <v>174</v>
      </c>
    </row>
    <row r="104" spans="1:19" x14ac:dyDescent="0.25">
      <c r="A104" s="105" t="str">
        <f>'Data shares'!C99</f>
        <v>IOC</v>
      </c>
      <c r="B104" s="143">
        <f>VLOOKUP($A104,'Data shares'!$C:$FA,118)</f>
        <v>0.68</v>
      </c>
      <c r="C104" s="143">
        <f>VLOOKUP($A104,'Data shares'!$C:$FA,119)</f>
        <v>0.72</v>
      </c>
      <c r="D104" s="143">
        <f>VLOOKUP($A104,'Data shares'!$C:$FA,121)*100</f>
        <v>-5.56</v>
      </c>
      <c r="E104" s="143">
        <f>VLOOKUP($A104,'Data shares'!$C:$FA,124)</f>
        <v>0.41</v>
      </c>
      <c r="F104" s="143">
        <f>VLOOKUP($A104,'Data shares'!$C:$FA,125)</f>
        <v>0.48</v>
      </c>
      <c r="G104" s="143">
        <f>VLOOKUP($A104,'Data shares'!$C:$FA,127)*100</f>
        <v>-14.580000000000002</v>
      </c>
      <c r="H104" s="103">
        <f>VLOOKUP($A104,'OI(Volume)'!$A$7:$O$427,8)</f>
        <v>34222500</v>
      </c>
      <c r="I104" s="103">
        <f>VLOOKUP($A104,'OI(Volume)'!$A$7:$O$427,9)</f>
        <v>4811625</v>
      </c>
      <c r="J104" s="103">
        <f>VLOOKUP($A104,'OI(Volume)'!$A$7:$O$427,11)</f>
        <v>23414625</v>
      </c>
      <c r="K104" s="103">
        <f>VLOOKUP($A104,'OI(Volume)'!$A$7:$O$427,12)</f>
        <v>2315625</v>
      </c>
      <c r="L104" s="103">
        <f>VLOOKUP($A104,'OI(Value)'!$A$7:$O$306,8,0)</f>
        <v>571</v>
      </c>
      <c r="M104" s="103">
        <f>VLOOKUP($A104,'OI(Value)'!$A$7:$O$306,9,0)</f>
        <v>80</v>
      </c>
      <c r="N104" s="103">
        <f>VLOOKUP($A104,'OI(Value)'!$A$7:$O$306,11,0)</f>
        <v>391</v>
      </c>
      <c r="O104" s="103">
        <f>VLOOKUP($A104,'OI(Value)'!$A$7:$O$306,12,0)</f>
        <v>39</v>
      </c>
      <c r="P104" s="179">
        <f>VLOOKUP(A104,'OI(Value)'!A104:O305,8,0)</f>
        <v>571</v>
      </c>
      <c r="Q104" s="179">
        <f>VLOOKUP(A104,'OI(Value)'!A104:O305,9,0)</f>
        <v>80</v>
      </c>
      <c r="R104" s="179">
        <f>VLOOKUP(A104,'OI(Value)'!A104:O305,11,0)</f>
        <v>391</v>
      </c>
      <c r="S104" s="179">
        <f>VLOOKUP(A104,'OI(Value)'!A104:O305,11,0)</f>
        <v>391</v>
      </c>
    </row>
    <row r="105" spans="1:19" x14ac:dyDescent="0.25">
      <c r="A105" s="105" t="str">
        <f>'Data shares'!C100</f>
        <v>IRCTC</v>
      </c>
      <c r="B105" s="143">
        <f>VLOOKUP($A105,'Data shares'!$C:$FA,118)</f>
        <v>0.49</v>
      </c>
      <c r="C105" s="143">
        <f>VLOOKUP($A105,'Data shares'!$C:$FA,119)</f>
        <v>0.5</v>
      </c>
      <c r="D105" s="143">
        <f>VLOOKUP($A105,'Data shares'!$C:$FA,121)*100</f>
        <v>-2</v>
      </c>
      <c r="E105" s="143">
        <f>VLOOKUP($A105,'Data shares'!$C:$FA,124)</f>
        <v>0.28000000000000003</v>
      </c>
      <c r="F105" s="143">
        <f>VLOOKUP($A105,'Data shares'!$C:$FA,125)</f>
        <v>0.28999999999999998</v>
      </c>
      <c r="G105" s="143">
        <f>VLOOKUP($A105,'Data shares'!$C:$FA,127)*100</f>
        <v>-3.45</v>
      </c>
      <c r="H105" s="103">
        <f>VLOOKUP($A105,'OI(Volume)'!$A$7:$O$427,8)</f>
        <v>16375625</v>
      </c>
      <c r="I105" s="103">
        <f>VLOOKUP($A105,'OI(Volume)'!$A$7:$O$427,9)</f>
        <v>132125</v>
      </c>
      <c r="J105" s="103">
        <f>VLOOKUP($A105,'OI(Volume)'!$A$7:$O$427,11)</f>
        <v>8079750</v>
      </c>
      <c r="K105" s="103">
        <f>VLOOKUP($A105,'OI(Volume)'!$A$7:$O$427,12)</f>
        <v>14000</v>
      </c>
      <c r="L105" s="103">
        <f>VLOOKUP($A105,'OI(Value)'!$A$7:$O$306,8,0)</f>
        <v>1128</v>
      </c>
      <c r="M105" s="103">
        <f>VLOOKUP($A105,'OI(Value)'!$A$7:$O$306,9,0)</f>
        <v>9</v>
      </c>
      <c r="N105" s="103">
        <f>VLOOKUP($A105,'OI(Value)'!$A$7:$O$306,11,0)</f>
        <v>556</v>
      </c>
      <c r="O105" s="103">
        <f>VLOOKUP($A105,'OI(Value)'!$A$7:$O$306,12,0)</f>
        <v>1</v>
      </c>
      <c r="P105" s="179">
        <f>VLOOKUP(A105,'OI(Value)'!A105:O306,8,0)</f>
        <v>1128</v>
      </c>
      <c r="Q105" s="179">
        <f>VLOOKUP(A105,'OI(Value)'!A105:O306,9,0)</f>
        <v>9</v>
      </c>
      <c r="R105" s="179">
        <f>VLOOKUP(A105,'OI(Value)'!A105:O306,11,0)</f>
        <v>556</v>
      </c>
      <c r="S105" s="179">
        <f>VLOOKUP(A105,'OI(Value)'!A105:O306,11,0)</f>
        <v>556</v>
      </c>
    </row>
    <row r="106" spans="1:19" x14ac:dyDescent="0.25">
      <c r="A106" s="105" t="str">
        <f>'Data shares'!C101</f>
        <v>IREDA</v>
      </c>
      <c r="B106" s="143">
        <f>VLOOKUP($A106,'Data shares'!$C:$FA,118)</f>
        <v>0.6</v>
      </c>
      <c r="C106" s="143">
        <f>VLOOKUP($A106,'Data shares'!$C:$FA,119)</f>
        <v>0.64</v>
      </c>
      <c r="D106" s="143">
        <f>VLOOKUP($A106,'Data shares'!$C:$FA,121)*100</f>
        <v>-6.25</v>
      </c>
      <c r="E106" s="143">
        <f>VLOOKUP($A106,'Data shares'!$C:$FA,124)</f>
        <v>0.21</v>
      </c>
      <c r="F106" s="143">
        <f>VLOOKUP($A106,'Data shares'!$C:$FA,125)</f>
        <v>0.3</v>
      </c>
      <c r="G106" s="143">
        <f>VLOOKUP($A106,'Data shares'!$C:$FA,127)*100</f>
        <v>-30</v>
      </c>
      <c r="H106" s="103">
        <f>VLOOKUP($A106,'OI(Volume)'!$A$7:$O$427,8)</f>
        <v>25191900</v>
      </c>
      <c r="I106" s="103">
        <f>VLOOKUP($A106,'OI(Volume)'!$A$7:$O$427,9)</f>
        <v>2349450</v>
      </c>
      <c r="J106" s="103">
        <f>VLOOKUP($A106,'OI(Volume)'!$A$7:$O$427,11)</f>
        <v>15062700</v>
      </c>
      <c r="K106" s="103">
        <f>VLOOKUP($A106,'OI(Volume)'!$A$7:$O$427,12)</f>
        <v>489900</v>
      </c>
      <c r="L106" s="103">
        <f>VLOOKUP($A106,'OI(Value)'!$A$7:$O$306,8,0)</f>
        <v>351</v>
      </c>
      <c r="M106" s="103">
        <f>VLOOKUP($A106,'OI(Value)'!$A$7:$O$306,9,0)</f>
        <v>33</v>
      </c>
      <c r="N106" s="103">
        <f>VLOOKUP($A106,'OI(Value)'!$A$7:$O$306,11,0)</f>
        <v>210</v>
      </c>
      <c r="O106" s="103">
        <f>VLOOKUP($A106,'OI(Value)'!$A$7:$O$306,12,0)</f>
        <v>7</v>
      </c>
      <c r="P106" s="179">
        <f>VLOOKUP(A106,'OI(Value)'!A106:O307,8,0)</f>
        <v>351</v>
      </c>
      <c r="Q106" s="179">
        <f>VLOOKUP(A106,'OI(Value)'!A106:O307,9,0)</f>
        <v>33</v>
      </c>
      <c r="R106" s="179">
        <f>VLOOKUP(A106,'OI(Value)'!A106:O307,11,0)</f>
        <v>210</v>
      </c>
      <c r="S106" s="179">
        <f>VLOOKUP(A106,'OI(Value)'!A106:O307,11,0)</f>
        <v>210</v>
      </c>
    </row>
    <row r="107" spans="1:19" x14ac:dyDescent="0.25">
      <c r="A107" s="105" t="str">
        <f>'Data shares'!C102</f>
        <v>IRFC</v>
      </c>
      <c r="B107" s="143">
        <f>VLOOKUP($A107,'Data shares'!$C:$FA,118)</f>
        <v>0.42</v>
      </c>
      <c r="C107" s="143">
        <f>VLOOKUP($A107,'Data shares'!$C:$FA,119)</f>
        <v>0.41</v>
      </c>
      <c r="D107" s="143">
        <f>VLOOKUP($A107,'Data shares'!$C:$FA,121)*100</f>
        <v>2.44</v>
      </c>
      <c r="E107" s="143">
        <f>VLOOKUP($A107,'Data shares'!$C:$FA,124)</f>
        <v>0.28000000000000003</v>
      </c>
      <c r="F107" s="143">
        <f>VLOOKUP($A107,'Data shares'!$C:$FA,125)</f>
        <v>0.28999999999999998</v>
      </c>
      <c r="G107" s="143">
        <f>VLOOKUP($A107,'Data shares'!$C:$FA,127)*100</f>
        <v>-3.45</v>
      </c>
      <c r="H107" s="103">
        <f>VLOOKUP($A107,'OI(Volume)'!$A$7:$O$427,8)</f>
        <v>73410250</v>
      </c>
      <c r="I107" s="103">
        <f>VLOOKUP($A107,'OI(Volume)'!$A$7:$O$427,9)</f>
        <v>-476000</v>
      </c>
      <c r="J107" s="103">
        <f>VLOOKUP($A107,'OI(Volume)'!$A$7:$O$427,11)</f>
        <v>30748750</v>
      </c>
      <c r="K107" s="103">
        <f>VLOOKUP($A107,'OI(Volume)'!$A$7:$O$427,12)</f>
        <v>395250</v>
      </c>
      <c r="L107" s="103">
        <f>VLOOKUP($A107,'OI(Value)'!$A$7:$O$306,8,0)</f>
        <v>929</v>
      </c>
      <c r="M107" s="103">
        <f>VLOOKUP($A107,'OI(Value)'!$A$7:$O$306,9,0)</f>
        <v>-6</v>
      </c>
      <c r="N107" s="103">
        <f>VLOOKUP($A107,'OI(Value)'!$A$7:$O$306,11,0)</f>
        <v>389</v>
      </c>
      <c r="O107" s="103">
        <f>VLOOKUP($A107,'OI(Value)'!$A$7:$O$306,12,0)</f>
        <v>5</v>
      </c>
      <c r="P107" s="179">
        <f>VLOOKUP(A107,'OI(Value)'!A107:O308,8,0)</f>
        <v>929</v>
      </c>
      <c r="Q107" s="179">
        <f>VLOOKUP(A107,'OI(Value)'!A107:O308,9,0)</f>
        <v>-6</v>
      </c>
      <c r="R107" s="179">
        <f>VLOOKUP(A107,'OI(Value)'!A107:O308,11,0)</f>
        <v>389</v>
      </c>
      <c r="S107" s="179">
        <f>VLOOKUP(A107,'OI(Value)'!A107:O308,11,0)</f>
        <v>389</v>
      </c>
    </row>
    <row r="108" spans="1:19" x14ac:dyDescent="0.25">
      <c r="A108" s="105" t="str">
        <f>'Data shares'!C103</f>
        <v>ITC</v>
      </c>
      <c r="B108" s="143">
        <f>VLOOKUP($A108,'Data shares'!$C:$FA,118)</f>
        <v>0.51</v>
      </c>
      <c r="C108" s="143">
        <f>VLOOKUP($A108,'Data shares'!$C:$FA,119)</f>
        <v>0.6</v>
      </c>
      <c r="D108" s="143">
        <f>VLOOKUP($A108,'Data shares'!$C:$FA,121)*100</f>
        <v>-15</v>
      </c>
      <c r="E108" s="143">
        <f>VLOOKUP($A108,'Data shares'!$C:$FA,124)</f>
        <v>0.88</v>
      </c>
      <c r="F108" s="143">
        <f>VLOOKUP($A108,'Data shares'!$C:$FA,125)</f>
        <v>0.4</v>
      </c>
      <c r="G108" s="143">
        <f>VLOOKUP($A108,'Data shares'!$C:$FA,127)*100</f>
        <v>120</v>
      </c>
      <c r="H108" s="103">
        <f>VLOOKUP($A108,'OI(Volume)'!$A$7:$O$427,8)</f>
        <v>183216000</v>
      </c>
      <c r="I108" s="103">
        <f>VLOOKUP($A108,'OI(Volume)'!$A$7:$O$427,9)</f>
        <v>142232000</v>
      </c>
      <c r="J108" s="103">
        <f>VLOOKUP($A108,'OI(Volume)'!$A$7:$O$427,11)</f>
        <v>93617600</v>
      </c>
      <c r="K108" s="103">
        <f>VLOOKUP($A108,'OI(Volume)'!$A$7:$O$427,12)</f>
        <v>69060800</v>
      </c>
      <c r="L108" s="103">
        <f>VLOOKUP($A108,'OI(Value)'!$A$7:$O$306,8,0)</f>
        <v>6708</v>
      </c>
      <c r="M108" s="103">
        <f>VLOOKUP($A108,'OI(Value)'!$A$7:$O$306,9,0)</f>
        <v>5207</v>
      </c>
      <c r="N108" s="103">
        <f>VLOOKUP($A108,'OI(Value)'!$A$7:$O$306,11,0)</f>
        <v>3427</v>
      </c>
      <c r="O108" s="103">
        <f>VLOOKUP($A108,'OI(Value)'!$A$7:$O$306,12,0)</f>
        <v>2528</v>
      </c>
      <c r="P108" s="179">
        <f>VLOOKUP(A108,'OI(Value)'!A108:O309,8,0)</f>
        <v>6708</v>
      </c>
      <c r="Q108" s="179">
        <f>VLOOKUP(A108,'OI(Value)'!A108:O309,9,0)</f>
        <v>5207</v>
      </c>
      <c r="R108" s="179">
        <f>VLOOKUP(A108,'OI(Value)'!A108:O309,11,0)</f>
        <v>3427</v>
      </c>
      <c r="S108" s="179">
        <f>VLOOKUP(A108,'OI(Value)'!A108:O309,11,0)</f>
        <v>3427</v>
      </c>
    </row>
    <row r="109" spans="1:19" x14ac:dyDescent="0.25">
      <c r="A109" s="105" t="str">
        <f>'Data shares'!C104</f>
        <v>JINDALSTEL</v>
      </c>
      <c r="B109" s="143">
        <f>VLOOKUP($A109,'Data shares'!$C:$FA,118)</f>
        <v>0.88</v>
      </c>
      <c r="C109" s="143">
        <f>VLOOKUP($A109,'Data shares'!$C:$FA,119)</f>
        <v>0.74</v>
      </c>
      <c r="D109" s="143">
        <f>VLOOKUP($A109,'Data shares'!$C:$FA,121)*100</f>
        <v>18.920000000000002</v>
      </c>
      <c r="E109" s="143">
        <f>VLOOKUP($A109,'Data shares'!$C:$FA,124)</f>
        <v>0.52</v>
      </c>
      <c r="F109" s="143">
        <f>VLOOKUP($A109,'Data shares'!$C:$FA,125)</f>
        <v>0.37</v>
      </c>
      <c r="G109" s="143">
        <f>VLOOKUP($A109,'Data shares'!$C:$FA,127)*100</f>
        <v>40.54</v>
      </c>
      <c r="H109" s="103">
        <f>VLOOKUP($A109,'OI(Volume)'!$A$7:$O$427,8)</f>
        <v>3941250</v>
      </c>
      <c r="I109" s="103">
        <f>VLOOKUP($A109,'OI(Volume)'!$A$7:$O$427,9)</f>
        <v>-361875</v>
      </c>
      <c r="J109" s="103">
        <f>VLOOKUP($A109,'OI(Volume)'!$A$7:$O$427,11)</f>
        <v>3477500</v>
      </c>
      <c r="K109" s="103">
        <f>VLOOKUP($A109,'OI(Volume)'!$A$7:$O$427,12)</f>
        <v>281250</v>
      </c>
      <c r="L109" s="103">
        <f>VLOOKUP($A109,'OI(Value)'!$A$7:$O$306,8,0)</f>
        <v>423</v>
      </c>
      <c r="M109" s="103">
        <f>VLOOKUP($A109,'OI(Value)'!$A$7:$O$306,9,0)</f>
        <v>-39</v>
      </c>
      <c r="N109" s="103">
        <f>VLOOKUP($A109,'OI(Value)'!$A$7:$O$306,11,0)</f>
        <v>373</v>
      </c>
      <c r="O109" s="103">
        <f>VLOOKUP($A109,'OI(Value)'!$A$7:$O$306,12,0)</f>
        <v>30</v>
      </c>
      <c r="P109" s="179">
        <f>VLOOKUP(A109,'OI(Value)'!A109:O310,8,0)</f>
        <v>423</v>
      </c>
      <c r="Q109" s="179">
        <f>VLOOKUP(A109,'OI(Value)'!A109:O310,9,0)</f>
        <v>-39</v>
      </c>
      <c r="R109" s="179">
        <f>VLOOKUP(A109,'OI(Value)'!A109:O310,11,0)</f>
        <v>373</v>
      </c>
      <c r="S109" s="179">
        <f>VLOOKUP(A109,'OI(Value)'!A109:O310,11,0)</f>
        <v>373</v>
      </c>
    </row>
    <row r="110" spans="1:19" x14ac:dyDescent="0.25">
      <c r="A110" s="105" t="str">
        <f>'Data shares'!C105</f>
        <v>JIOFIN</v>
      </c>
      <c r="B110" s="143">
        <f>VLOOKUP($A110,'Data shares'!$C:$FA,118)</f>
        <v>0.9</v>
      </c>
      <c r="C110" s="143">
        <f>VLOOKUP($A110,'Data shares'!$C:$FA,119)</f>
        <v>0.93</v>
      </c>
      <c r="D110" s="143">
        <f>VLOOKUP($A110,'Data shares'!$C:$FA,121)*100</f>
        <v>-3.2300000000000004</v>
      </c>
      <c r="E110" s="143">
        <f>VLOOKUP($A110,'Data shares'!$C:$FA,124)</f>
        <v>0.37</v>
      </c>
      <c r="F110" s="143">
        <f>VLOOKUP($A110,'Data shares'!$C:$FA,125)</f>
        <v>0.46</v>
      </c>
      <c r="G110" s="143">
        <f>VLOOKUP($A110,'Data shares'!$C:$FA,127)*100</f>
        <v>-19.57</v>
      </c>
      <c r="H110" s="103">
        <f>VLOOKUP($A110,'OI(Volume)'!$A$7:$O$427,8)</f>
        <v>37961900</v>
      </c>
      <c r="I110" s="103">
        <f>VLOOKUP($A110,'OI(Volume)'!$A$7:$O$427,9)</f>
        <v>1988100</v>
      </c>
      <c r="J110" s="103">
        <f>VLOOKUP($A110,'OI(Volume)'!$A$7:$O$427,11)</f>
        <v>33992750</v>
      </c>
      <c r="K110" s="103">
        <f>VLOOKUP($A110,'OI(Volume)'!$A$7:$O$427,12)</f>
        <v>498200</v>
      </c>
      <c r="L110" s="103">
        <f>VLOOKUP($A110,'OI(Value)'!$A$7:$O$306,8,0)</f>
        <v>1130</v>
      </c>
      <c r="M110" s="103">
        <f>VLOOKUP($A110,'OI(Value)'!$A$7:$O$306,9,0)</f>
        <v>59</v>
      </c>
      <c r="N110" s="103">
        <f>VLOOKUP($A110,'OI(Value)'!$A$7:$O$306,11,0)</f>
        <v>1012</v>
      </c>
      <c r="O110" s="103">
        <f>VLOOKUP($A110,'OI(Value)'!$A$7:$O$306,12,0)</f>
        <v>15</v>
      </c>
      <c r="P110" s="179">
        <f>VLOOKUP(A110,'OI(Value)'!A110:O311,8,0)</f>
        <v>1130</v>
      </c>
      <c r="Q110" s="179">
        <f>VLOOKUP(A110,'OI(Value)'!A110:O311,9,0)</f>
        <v>59</v>
      </c>
      <c r="R110" s="179">
        <f>VLOOKUP(A110,'OI(Value)'!A110:O311,11,0)</f>
        <v>1012</v>
      </c>
      <c r="S110" s="179">
        <f>VLOOKUP(A110,'OI(Value)'!A110:O311,11,0)</f>
        <v>1012</v>
      </c>
    </row>
    <row r="111" spans="1:19" x14ac:dyDescent="0.25">
      <c r="A111" s="105" t="str">
        <f>'Data shares'!C106</f>
        <v>JSWENERGY</v>
      </c>
      <c r="B111" s="143">
        <f>VLOOKUP($A111,'Data shares'!$C:$FA,118)</f>
        <v>1.1100000000000001</v>
      </c>
      <c r="C111" s="143">
        <f>VLOOKUP($A111,'Data shares'!$C:$FA,119)</f>
        <v>1.07</v>
      </c>
      <c r="D111" s="143">
        <f>VLOOKUP($A111,'Data shares'!$C:$FA,121)*100</f>
        <v>3.74</v>
      </c>
      <c r="E111" s="143">
        <f>VLOOKUP($A111,'Data shares'!$C:$FA,124)</f>
        <v>0.33</v>
      </c>
      <c r="F111" s="143">
        <f>VLOOKUP($A111,'Data shares'!$C:$FA,125)</f>
        <v>0.42</v>
      </c>
      <c r="G111" s="143">
        <f>VLOOKUP($A111,'Data shares'!$C:$FA,127)*100</f>
        <v>-21.43</v>
      </c>
      <c r="H111" s="103">
        <f>VLOOKUP($A111,'OI(Volume)'!$A$7:$O$427,8)</f>
        <v>6175000</v>
      </c>
      <c r="I111" s="103">
        <f>VLOOKUP($A111,'OI(Volume)'!$A$7:$O$427,9)</f>
        <v>968000</v>
      </c>
      <c r="J111" s="103">
        <f>VLOOKUP($A111,'OI(Volume)'!$A$7:$O$427,11)</f>
        <v>6846000</v>
      </c>
      <c r="K111" s="103">
        <f>VLOOKUP($A111,'OI(Volume)'!$A$7:$O$427,12)</f>
        <v>1275000</v>
      </c>
      <c r="L111" s="103">
        <f>VLOOKUP($A111,'OI(Value)'!$A$7:$O$306,8,0)</f>
        <v>312</v>
      </c>
      <c r="M111" s="103">
        <f>VLOOKUP($A111,'OI(Value)'!$A$7:$O$306,9,0)</f>
        <v>49</v>
      </c>
      <c r="N111" s="103">
        <f>VLOOKUP($A111,'OI(Value)'!$A$7:$O$306,11,0)</f>
        <v>346</v>
      </c>
      <c r="O111" s="103">
        <f>VLOOKUP($A111,'OI(Value)'!$A$7:$O$306,12,0)</f>
        <v>64</v>
      </c>
      <c r="P111" s="179">
        <f>VLOOKUP(A111,'OI(Value)'!A111:O312,8,0)</f>
        <v>312</v>
      </c>
      <c r="Q111" s="179">
        <f>VLOOKUP(A111,'OI(Value)'!A111:O312,9,0)</f>
        <v>49</v>
      </c>
      <c r="R111" s="179">
        <f>VLOOKUP(A111,'OI(Value)'!A111:O312,11,0)</f>
        <v>346</v>
      </c>
      <c r="S111" s="179">
        <f>VLOOKUP(A111,'OI(Value)'!A111:O312,11,0)</f>
        <v>346</v>
      </c>
    </row>
    <row r="112" spans="1:19" x14ac:dyDescent="0.25">
      <c r="A112" s="105" t="str">
        <f>'Data shares'!C107</f>
        <v>JSWSTEEL</v>
      </c>
      <c r="B112" s="143">
        <f>VLOOKUP($A112,'Data shares'!$C:$FA,118)</f>
        <v>0.96</v>
      </c>
      <c r="C112" s="143">
        <f>VLOOKUP($A112,'Data shares'!$C:$FA,119)</f>
        <v>0.89</v>
      </c>
      <c r="D112" s="143">
        <f>VLOOKUP($A112,'Data shares'!$C:$FA,121)*100</f>
        <v>7.870000000000001</v>
      </c>
      <c r="E112" s="143">
        <f>VLOOKUP($A112,'Data shares'!$C:$FA,124)</f>
        <v>1.05</v>
      </c>
      <c r="F112" s="143">
        <f>VLOOKUP($A112,'Data shares'!$C:$FA,125)</f>
        <v>0.48</v>
      </c>
      <c r="G112" s="143">
        <f>VLOOKUP($A112,'Data shares'!$C:$FA,127)*100</f>
        <v>118.75</v>
      </c>
      <c r="H112" s="103">
        <f>VLOOKUP($A112,'OI(Volume)'!$A$7:$O$427,8)</f>
        <v>8535375</v>
      </c>
      <c r="I112" s="103">
        <f>VLOOKUP($A112,'OI(Volume)'!$A$7:$O$427,9)</f>
        <v>-163350</v>
      </c>
      <c r="J112" s="103">
        <f>VLOOKUP($A112,'OI(Volume)'!$A$7:$O$427,11)</f>
        <v>8189775</v>
      </c>
      <c r="K112" s="103">
        <f>VLOOKUP($A112,'OI(Volume)'!$A$7:$O$427,12)</f>
        <v>433350</v>
      </c>
      <c r="L112" s="103">
        <f>VLOOKUP($A112,'OI(Value)'!$A$7:$O$306,8,0)</f>
        <v>1005</v>
      </c>
      <c r="M112" s="103">
        <f>VLOOKUP($A112,'OI(Value)'!$A$7:$O$306,9,0)</f>
        <v>-19</v>
      </c>
      <c r="N112" s="103">
        <f>VLOOKUP($A112,'OI(Value)'!$A$7:$O$306,11,0)</f>
        <v>965</v>
      </c>
      <c r="O112" s="103">
        <f>VLOOKUP($A112,'OI(Value)'!$A$7:$O$306,12,0)</f>
        <v>51</v>
      </c>
      <c r="P112" s="179">
        <f>VLOOKUP(A112,'OI(Value)'!A112:O313,8,0)</f>
        <v>1005</v>
      </c>
      <c r="Q112" s="179">
        <f>VLOOKUP(A112,'OI(Value)'!A112:O313,9,0)</f>
        <v>-19</v>
      </c>
      <c r="R112" s="179">
        <f>VLOOKUP(A112,'OI(Value)'!A112:O313,11,0)</f>
        <v>965</v>
      </c>
      <c r="S112" s="179">
        <f>VLOOKUP(A112,'OI(Value)'!A112:O313,11,0)</f>
        <v>965</v>
      </c>
    </row>
    <row r="113" spans="1:19" x14ac:dyDescent="0.25">
      <c r="A113" s="105" t="str">
        <f>'Data shares'!C108</f>
        <v>JUBLFOOD</v>
      </c>
      <c r="B113" s="143">
        <f>VLOOKUP($A113,'Data shares'!$C:$FA,118)</f>
        <v>0.72</v>
      </c>
      <c r="C113" s="143">
        <f>VLOOKUP($A113,'Data shares'!$C:$FA,119)</f>
        <v>0.71</v>
      </c>
      <c r="D113" s="143">
        <f>VLOOKUP($A113,'Data shares'!$C:$FA,121)*100</f>
        <v>1.41</v>
      </c>
      <c r="E113" s="143">
        <f>VLOOKUP($A113,'Data shares'!$C:$FA,124)</f>
        <v>0.8</v>
      </c>
      <c r="F113" s="143">
        <f>VLOOKUP($A113,'Data shares'!$C:$FA,125)</f>
        <v>0.53</v>
      </c>
      <c r="G113" s="143">
        <f>VLOOKUP($A113,'Data shares'!$C:$FA,127)*100</f>
        <v>50.94</v>
      </c>
      <c r="H113" s="103">
        <f>VLOOKUP($A113,'OI(Volume)'!$A$7:$O$427,8)</f>
        <v>7958750</v>
      </c>
      <c r="I113" s="103">
        <f>VLOOKUP($A113,'OI(Volume)'!$A$7:$O$427,9)</f>
        <v>678750</v>
      </c>
      <c r="J113" s="103">
        <f>VLOOKUP($A113,'OI(Volume)'!$A$7:$O$427,11)</f>
        <v>5727500</v>
      </c>
      <c r="K113" s="103">
        <f>VLOOKUP($A113,'OI(Volume)'!$A$7:$O$427,12)</f>
        <v>572500</v>
      </c>
      <c r="L113" s="103">
        <f>VLOOKUP($A113,'OI(Value)'!$A$7:$O$306,8,0)</f>
        <v>439</v>
      </c>
      <c r="M113" s="103">
        <f>VLOOKUP($A113,'OI(Value)'!$A$7:$O$306,9,0)</f>
        <v>37</v>
      </c>
      <c r="N113" s="103">
        <f>VLOOKUP($A113,'OI(Value)'!$A$7:$O$306,11,0)</f>
        <v>316</v>
      </c>
      <c r="O113" s="103">
        <f>VLOOKUP($A113,'OI(Value)'!$A$7:$O$306,12,0)</f>
        <v>32</v>
      </c>
      <c r="P113" s="179">
        <f>VLOOKUP(A113,'OI(Value)'!A113:O314,8,0)</f>
        <v>439</v>
      </c>
      <c r="Q113" s="179">
        <f>VLOOKUP(A113,'OI(Value)'!A113:O314,9,0)</f>
        <v>37</v>
      </c>
      <c r="R113" s="179">
        <f>VLOOKUP(A113,'OI(Value)'!A113:O314,11,0)</f>
        <v>316</v>
      </c>
      <c r="S113" s="179">
        <f>VLOOKUP(A113,'OI(Value)'!A113:O314,11,0)</f>
        <v>316</v>
      </c>
    </row>
    <row r="114" spans="1:19" x14ac:dyDescent="0.25">
      <c r="A114" s="105" t="str">
        <f>'Data shares'!C109</f>
        <v>KALYANKJIL</v>
      </c>
      <c r="B114" s="143">
        <f>VLOOKUP($A114,'Data shares'!$C:$FA,118)</f>
        <v>0.67</v>
      </c>
      <c r="C114" s="143">
        <f>VLOOKUP($A114,'Data shares'!$C:$FA,119)</f>
        <v>0.71</v>
      </c>
      <c r="D114" s="143">
        <f>VLOOKUP($A114,'Data shares'!$C:$FA,121)*100</f>
        <v>-5.63</v>
      </c>
      <c r="E114" s="143">
        <f>VLOOKUP($A114,'Data shares'!$C:$FA,124)</f>
        <v>0.34</v>
      </c>
      <c r="F114" s="143">
        <f>VLOOKUP($A114,'Data shares'!$C:$FA,125)</f>
        <v>0.48</v>
      </c>
      <c r="G114" s="143">
        <f>VLOOKUP($A114,'Data shares'!$C:$FA,127)*100</f>
        <v>-29.17</v>
      </c>
      <c r="H114" s="103">
        <f>VLOOKUP($A114,'OI(Volume)'!$A$7:$O$427,8)</f>
        <v>3661300</v>
      </c>
      <c r="I114" s="103">
        <f>VLOOKUP($A114,'OI(Volume)'!$A$7:$O$427,9)</f>
        <v>323125</v>
      </c>
      <c r="J114" s="103">
        <f>VLOOKUP($A114,'OI(Volume)'!$A$7:$O$427,11)</f>
        <v>2456925</v>
      </c>
      <c r="K114" s="103">
        <f>VLOOKUP($A114,'OI(Volume)'!$A$7:$O$427,12)</f>
        <v>103400</v>
      </c>
      <c r="L114" s="103">
        <f>VLOOKUP($A114,'OI(Value)'!$A$7:$O$306,8,0)</f>
        <v>179</v>
      </c>
      <c r="M114" s="103">
        <f>VLOOKUP($A114,'OI(Value)'!$A$7:$O$306,9,0)</f>
        <v>16</v>
      </c>
      <c r="N114" s="103">
        <f>VLOOKUP($A114,'OI(Value)'!$A$7:$O$306,11,0)</f>
        <v>120</v>
      </c>
      <c r="O114" s="103">
        <f>VLOOKUP($A114,'OI(Value)'!$A$7:$O$306,12,0)</f>
        <v>5</v>
      </c>
      <c r="P114" s="179">
        <f>VLOOKUP(A114,'OI(Value)'!A114:O315,8,0)</f>
        <v>179</v>
      </c>
      <c r="Q114" s="179">
        <f>VLOOKUP(A114,'OI(Value)'!A114:O315,9,0)</f>
        <v>16</v>
      </c>
      <c r="R114" s="179">
        <f>VLOOKUP(A114,'OI(Value)'!A114:O315,11,0)</f>
        <v>120</v>
      </c>
      <c r="S114" s="179">
        <f>VLOOKUP(A114,'OI(Value)'!A114:O315,11,0)</f>
        <v>120</v>
      </c>
    </row>
    <row r="115" spans="1:19" x14ac:dyDescent="0.25">
      <c r="A115" s="105" t="str">
        <f>'Data shares'!C110</f>
        <v>KAYNES</v>
      </c>
      <c r="B115" s="143">
        <f>VLOOKUP($A115,'Data shares'!$C:$FA,118)</f>
        <v>0.52</v>
      </c>
      <c r="C115" s="143">
        <f>VLOOKUP($A115,'Data shares'!$C:$FA,119)</f>
        <v>0.55000000000000004</v>
      </c>
      <c r="D115" s="143">
        <f>VLOOKUP($A115,'Data shares'!$C:$FA,121)*100</f>
        <v>-5.45</v>
      </c>
      <c r="E115" s="143">
        <f>VLOOKUP($A115,'Data shares'!$C:$FA,124)</f>
        <v>0.57999999999999996</v>
      </c>
      <c r="F115" s="143">
        <f>VLOOKUP($A115,'Data shares'!$C:$FA,125)</f>
        <v>0.5</v>
      </c>
      <c r="G115" s="143">
        <f>VLOOKUP($A115,'Data shares'!$C:$FA,127)*100</f>
        <v>16</v>
      </c>
      <c r="H115" s="103">
        <f>VLOOKUP($A115,'OI(Volume)'!$A$7:$O$427,8)</f>
        <v>2048900</v>
      </c>
      <c r="I115" s="103">
        <f>VLOOKUP($A115,'OI(Volume)'!$A$7:$O$427,9)</f>
        <v>285000</v>
      </c>
      <c r="J115" s="103">
        <f>VLOOKUP($A115,'OI(Volume)'!$A$7:$O$427,11)</f>
        <v>1062200</v>
      </c>
      <c r="K115" s="103">
        <f>VLOOKUP($A115,'OI(Volume)'!$A$7:$O$427,12)</f>
        <v>94100</v>
      </c>
      <c r="L115" s="103">
        <f>VLOOKUP($A115,'OI(Value)'!$A$7:$O$306,8,0)</f>
        <v>811</v>
      </c>
      <c r="M115" s="103">
        <f>VLOOKUP($A115,'OI(Value)'!$A$7:$O$306,9,0)</f>
        <v>113</v>
      </c>
      <c r="N115" s="103">
        <f>VLOOKUP($A115,'OI(Value)'!$A$7:$O$306,11,0)</f>
        <v>420</v>
      </c>
      <c r="O115" s="103">
        <f>VLOOKUP($A115,'OI(Value)'!$A$7:$O$306,12,0)</f>
        <v>37</v>
      </c>
      <c r="P115" s="179">
        <f>VLOOKUP(A115,'OI(Value)'!A115:O316,8,0)</f>
        <v>811</v>
      </c>
      <c r="Q115" s="179">
        <f>VLOOKUP(A115,'OI(Value)'!A115:O316,9,0)</f>
        <v>113</v>
      </c>
      <c r="R115" s="179">
        <f>VLOOKUP(A115,'OI(Value)'!A115:O316,11,0)</f>
        <v>420</v>
      </c>
      <c r="S115" s="179">
        <f>VLOOKUP(A115,'OI(Value)'!A115:O316,11,0)</f>
        <v>420</v>
      </c>
    </row>
    <row r="116" spans="1:19" x14ac:dyDescent="0.25">
      <c r="A116" s="105" t="str">
        <f>'Data shares'!C111</f>
        <v>KEI</v>
      </c>
      <c r="B116" s="143">
        <f>VLOOKUP($A116,'Data shares'!$C:$FA,118)</f>
        <v>0.69</v>
      </c>
      <c r="C116" s="143">
        <f>VLOOKUP($A116,'Data shares'!$C:$FA,119)</f>
        <v>0.51</v>
      </c>
      <c r="D116" s="143">
        <f>VLOOKUP($A116,'Data shares'!$C:$FA,121)*100</f>
        <v>35.29</v>
      </c>
      <c r="E116" s="143">
        <f>VLOOKUP($A116,'Data shares'!$C:$FA,124)</f>
        <v>0.34</v>
      </c>
      <c r="F116" s="143">
        <f>VLOOKUP($A116,'Data shares'!$C:$FA,125)</f>
        <v>0.3</v>
      </c>
      <c r="G116" s="143">
        <f>VLOOKUP($A116,'Data shares'!$C:$FA,127)*100</f>
        <v>13.33</v>
      </c>
      <c r="H116" s="103">
        <f>VLOOKUP($A116,'OI(Volume)'!$A$7:$O$427,8)</f>
        <v>304150</v>
      </c>
      <c r="I116" s="103">
        <f>VLOOKUP($A116,'OI(Volume)'!$A$7:$O$427,9)</f>
        <v>37625</v>
      </c>
      <c r="J116" s="103">
        <f>VLOOKUP($A116,'OI(Volume)'!$A$7:$O$427,11)</f>
        <v>210000</v>
      </c>
      <c r="K116" s="103">
        <f>VLOOKUP($A116,'OI(Volume)'!$A$7:$O$427,12)</f>
        <v>73675</v>
      </c>
      <c r="L116" s="103">
        <f>VLOOKUP($A116,'OI(Value)'!$A$7:$O$306,8,0)</f>
        <v>138</v>
      </c>
      <c r="M116" s="103">
        <f>VLOOKUP($A116,'OI(Value)'!$A$7:$O$306,9,0)</f>
        <v>17</v>
      </c>
      <c r="N116" s="103">
        <f>VLOOKUP($A116,'OI(Value)'!$A$7:$O$306,11,0)</f>
        <v>95</v>
      </c>
      <c r="O116" s="103">
        <f>VLOOKUP($A116,'OI(Value)'!$A$7:$O$306,12,0)</f>
        <v>33</v>
      </c>
      <c r="P116" s="179">
        <f>VLOOKUP(A116,'OI(Value)'!A116:O317,8,0)</f>
        <v>138</v>
      </c>
      <c r="Q116" s="179">
        <f>VLOOKUP(A116,'OI(Value)'!A116:O317,9,0)</f>
        <v>17</v>
      </c>
      <c r="R116" s="179">
        <f>VLOOKUP(A116,'OI(Value)'!A116:O317,11,0)</f>
        <v>95</v>
      </c>
      <c r="S116" s="179">
        <f>VLOOKUP(A116,'OI(Value)'!A116:O317,11,0)</f>
        <v>95</v>
      </c>
    </row>
    <row r="117" spans="1:19" x14ac:dyDescent="0.25">
      <c r="A117" s="105" t="str">
        <f>'Data shares'!C112</f>
        <v>KFINTECH</v>
      </c>
      <c r="B117" s="143">
        <f>VLOOKUP($A117,'Data shares'!$C:$FA,118)</f>
        <v>0.74</v>
      </c>
      <c r="C117" s="143">
        <f>VLOOKUP($A117,'Data shares'!$C:$FA,119)</f>
        <v>0.74</v>
      </c>
      <c r="D117" s="143">
        <f>VLOOKUP($A117,'Data shares'!$C:$FA,121)*100</f>
        <v>0</v>
      </c>
      <c r="E117" s="143">
        <f>VLOOKUP($A117,'Data shares'!$C:$FA,124)</f>
        <v>0.33</v>
      </c>
      <c r="F117" s="143">
        <f>VLOOKUP($A117,'Data shares'!$C:$FA,125)</f>
        <v>0.57999999999999996</v>
      </c>
      <c r="G117" s="143">
        <f>VLOOKUP($A117,'Data shares'!$C:$FA,127)*100</f>
        <v>-43.1</v>
      </c>
      <c r="H117" s="103">
        <f>VLOOKUP($A117,'OI(Volume)'!$A$7:$O$427,8)</f>
        <v>821500</v>
      </c>
      <c r="I117" s="103">
        <f>VLOOKUP($A117,'OI(Volume)'!$A$7:$O$427,9)</f>
        <v>50000</v>
      </c>
      <c r="J117" s="103">
        <f>VLOOKUP($A117,'OI(Volume)'!$A$7:$O$427,11)</f>
        <v>609500</v>
      </c>
      <c r="K117" s="103">
        <f>VLOOKUP($A117,'OI(Volume)'!$A$7:$O$427,12)</f>
        <v>36500</v>
      </c>
      <c r="L117" s="103">
        <f>VLOOKUP($A117,'OI(Value)'!$A$7:$O$306,8,0)</f>
        <v>89</v>
      </c>
      <c r="M117" s="103">
        <f>VLOOKUP($A117,'OI(Value)'!$A$7:$O$306,9,0)</f>
        <v>5</v>
      </c>
      <c r="N117" s="103">
        <f>VLOOKUP($A117,'OI(Value)'!$A$7:$O$306,11,0)</f>
        <v>66</v>
      </c>
      <c r="O117" s="103">
        <f>VLOOKUP($A117,'OI(Value)'!$A$7:$O$306,12,0)</f>
        <v>4</v>
      </c>
      <c r="P117" s="179">
        <f>VLOOKUP(A117,'OI(Value)'!A117:O318,8,0)</f>
        <v>89</v>
      </c>
      <c r="Q117" s="179">
        <f>VLOOKUP(A117,'OI(Value)'!A117:O318,9,0)</f>
        <v>5</v>
      </c>
      <c r="R117" s="179">
        <f>VLOOKUP(A117,'OI(Value)'!A117:O318,11,0)</f>
        <v>66</v>
      </c>
      <c r="S117" s="179">
        <f>VLOOKUP(A117,'OI(Value)'!A117:O318,11,0)</f>
        <v>66</v>
      </c>
    </row>
    <row r="118" spans="1:19" x14ac:dyDescent="0.25">
      <c r="A118" s="105" t="str">
        <f>'Data shares'!C113</f>
        <v>KOTAKBANK</v>
      </c>
      <c r="B118" s="143">
        <f>VLOOKUP($A118,'Data shares'!$C:$FA,118)</f>
        <v>0.8</v>
      </c>
      <c r="C118" s="143">
        <f>VLOOKUP($A118,'Data shares'!$C:$FA,119)</f>
        <v>0.8</v>
      </c>
      <c r="D118" s="143">
        <f>VLOOKUP($A118,'Data shares'!$C:$FA,121)*100</f>
        <v>0</v>
      </c>
      <c r="E118" s="143">
        <f>VLOOKUP($A118,'Data shares'!$C:$FA,124)</f>
        <v>0.48</v>
      </c>
      <c r="F118" s="143">
        <f>VLOOKUP($A118,'Data shares'!$C:$FA,125)</f>
        <v>0.47</v>
      </c>
      <c r="G118" s="143">
        <f>VLOOKUP($A118,'Data shares'!$C:$FA,127)*100</f>
        <v>2.13</v>
      </c>
      <c r="H118" s="103">
        <f>VLOOKUP($A118,'OI(Volume)'!$A$7:$O$427,8)</f>
        <v>4691200</v>
      </c>
      <c r="I118" s="103">
        <f>VLOOKUP($A118,'OI(Volume)'!$A$7:$O$427,9)</f>
        <v>750800</v>
      </c>
      <c r="J118" s="103">
        <f>VLOOKUP($A118,'OI(Volume)'!$A$7:$O$427,11)</f>
        <v>3743200</v>
      </c>
      <c r="K118" s="103">
        <f>VLOOKUP($A118,'OI(Volume)'!$A$7:$O$427,12)</f>
        <v>588800</v>
      </c>
      <c r="L118" s="103">
        <f>VLOOKUP($A118,'OI(Value)'!$A$7:$O$306,8,0)</f>
        <v>1044</v>
      </c>
      <c r="M118" s="103">
        <f>VLOOKUP($A118,'OI(Value)'!$A$7:$O$306,9,0)</f>
        <v>167</v>
      </c>
      <c r="N118" s="103">
        <f>VLOOKUP($A118,'OI(Value)'!$A$7:$O$306,11,0)</f>
        <v>833</v>
      </c>
      <c r="O118" s="103">
        <f>VLOOKUP($A118,'OI(Value)'!$A$7:$O$306,12,0)</f>
        <v>131</v>
      </c>
      <c r="P118" s="179">
        <f>VLOOKUP(A118,'OI(Value)'!A118:O319,8,0)</f>
        <v>1044</v>
      </c>
      <c r="Q118" s="179">
        <f>VLOOKUP(A118,'OI(Value)'!A118:O319,9,0)</f>
        <v>167</v>
      </c>
      <c r="R118" s="179">
        <f>VLOOKUP(A118,'OI(Value)'!A118:O319,11,0)</f>
        <v>833</v>
      </c>
      <c r="S118" s="179">
        <f>VLOOKUP(A118,'OI(Value)'!A118:O319,11,0)</f>
        <v>833</v>
      </c>
    </row>
    <row r="119" spans="1:19" x14ac:dyDescent="0.25">
      <c r="A119" s="105" t="str">
        <f>'Data shares'!C114</f>
        <v>KPITTECH</v>
      </c>
      <c r="B119" s="143">
        <f>VLOOKUP($A119,'Data shares'!$C:$FA,118)</f>
        <v>0.88</v>
      </c>
      <c r="C119" s="143">
        <f>VLOOKUP($A119,'Data shares'!$C:$FA,119)</f>
        <v>1</v>
      </c>
      <c r="D119" s="143">
        <f>VLOOKUP($A119,'Data shares'!$C:$FA,121)*100</f>
        <v>-12</v>
      </c>
      <c r="E119" s="143">
        <f>VLOOKUP($A119,'Data shares'!$C:$FA,124)</f>
        <v>0.47</v>
      </c>
      <c r="F119" s="143">
        <f>VLOOKUP($A119,'Data shares'!$C:$FA,125)</f>
        <v>0.6</v>
      </c>
      <c r="G119" s="143">
        <f>VLOOKUP($A119,'Data shares'!$C:$FA,127)*100</f>
        <v>-21.67</v>
      </c>
      <c r="H119" s="103">
        <f>VLOOKUP($A119,'OI(Volume)'!$A$7:$O$427,8)</f>
        <v>966875</v>
      </c>
      <c r="I119" s="103">
        <f>VLOOKUP($A119,'OI(Volume)'!$A$7:$O$427,9)</f>
        <v>173400</v>
      </c>
      <c r="J119" s="103">
        <f>VLOOKUP($A119,'OI(Volume)'!$A$7:$O$427,11)</f>
        <v>847025</v>
      </c>
      <c r="K119" s="103">
        <f>VLOOKUP($A119,'OI(Volume)'!$A$7:$O$427,12)</f>
        <v>51425</v>
      </c>
      <c r="L119" s="103">
        <f>VLOOKUP($A119,'OI(Value)'!$A$7:$O$306,8,0)</f>
        <v>113</v>
      </c>
      <c r="M119" s="103">
        <f>VLOOKUP($A119,'OI(Value)'!$A$7:$O$306,9,0)</f>
        <v>20</v>
      </c>
      <c r="N119" s="103">
        <f>VLOOKUP($A119,'OI(Value)'!$A$7:$O$306,11,0)</f>
        <v>99</v>
      </c>
      <c r="O119" s="103">
        <f>VLOOKUP($A119,'OI(Value)'!$A$7:$O$306,12,0)</f>
        <v>6</v>
      </c>
      <c r="P119" s="179">
        <f>VLOOKUP(A119,'OI(Value)'!A119:O320,8,0)</f>
        <v>113</v>
      </c>
      <c r="Q119" s="179">
        <f>VLOOKUP(A119,'OI(Value)'!A119:O320,9,0)</f>
        <v>20</v>
      </c>
      <c r="R119" s="179">
        <f>VLOOKUP(A119,'OI(Value)'!A119:O320,11,0)</f>
        <v>99</v>
      </c>
      <c r="S119" s="179">
        <f>VLOOKUP(A119,'OI(Value)'!A119:O320,11,0)</f>
        <v>99</v>
      </c>
    </row>
    <row r="120" spans="1:19" x14ac:dyDescent="0.25">
      <c r="A120" s="105" t="str">
        <f>'Data shares'!C115</f>
        <v>LAURUSLABS</v>
      </c>
      <c r="B120" s="143">
        <f>VLOOKUP($A120,'Data shares'!$C:$FA,118)</f>
        <v>0.75</v>
      </c>
      <c r="C120" s="143">
        <f>VLOOKUP($A120,'Data shares'!$C:$FA,119)</f>
        <v>0.76</v>
      </c>
      <c r="D120" s="143">
        <f>VLOOKUP($A120,'Data shares'!$C:$FA,121)*100</f>
        <v>-1.32</v>
      </c>
      <c r="E120" s="143">
        <f>VLOOKUP($A120,'Data shares'!$C:$FA,124)</f>
        <v>0.62</v>
      </c>
      <c r="F120" s="143">
        <f>VLOOKUP($A120,'Data shares'!$C:$FA,125)</f>
        <v>0.61</v>
      </c>
      <c r="G120" s="143">
        <f>VLOOKUP($A120,'Data shares'!$C:$FA,127)*100</f>
        <v>1.6400000000000001</v>
      </c>
      <c r="H120" s="103">
        <f>VLOOKUP($A120,'OI(Volume)'!$A$7:$O$427,8)</f>
        <v>4515200</v>
      </c>
      <c r="I120" s="103">
        <f>VLOOKUP($A120,'OI(Volume)'!$A$7:$O$427,9)</f>
        <v>314500</v>
      </c>
      <c r="J120" s="103">
        <f>VLOOKUP($A120,'OI(Volume)'!$A$7:$O$427,11)</f>
        <v>3394900</v>
      </c>
      <c r="K120" s="103">
        <f>VLOOKUP($A120,'OI(Volume)'!$A$7:$O$427,12)</f>
        <v>213350</v>
      </c>
      <c r="L120" s="103">
        <f>VLOOKUP($A120,'OI(Value)'!$A$7:$O$306,8,0)</f>
        <v>504</v>
      </c>
      <c r="M120" s="103">
        <f>VLOOKUP($A120,'OI(Value)'!$A$7:$O$306,9,0)</f>
        <v>35</v>
      </c>
      <c r="N120" s="103">
        <f>VLOOKUP($A120,'OI(Value)'!$A$7:$O$306,11,0)</f>
        <v>379</v>
      </c>
      <c r="O120" s="103">
        <f>VLOOKUP($A120,'OI(Value)'!$A$7:$O$306,12,0)</f>
        <v>24</v>
      </c>
      <c r="P120" s="179">
        <f>VLOOKUP(A120,'OI(Value)'!A120:O321,8,0)</f>
        <v>504</v>
      </c>
      <c r="Q120" s="179">
        <f>VLOOKUP(A120,'OI(Value)'!A120:O321,9,0)</f>
        <v>35</v>
      </c>
      <c r="R120" s="179">
        <f>VLOOKUP(A120,'OI(Value)'!A120:O321,11,0)</f>
        <v>379</v>
      </c>
      <c r="S120" s="179">
        <f>VLOOKUP(A120,'OI(Value)'!A120:O321,11,0)</f>
        <v>379</v>
      </c>
    </row>
    <row r="121" spans="1:19" x14ac:dyDescent="0.25">
      <c r="A121" s="105" t="str">
        <f>'Data shares'!C116</f>
        <v>LICHSGFIN</v>
      </c>
      <c r="B121" s="143">
        <f>VLOOKUP($A121,'Data shares'!$C:$FA,118)</f>
        <v>1.1299999999999999</v>
      </c>
      <c r="C121" s="143">
        <f>VLOOKUP($A121,'Data shares'!$C:$FA,119)</f>
        <v>1.17</v>
      </c>
      <c r="D121" s="143">
        <f>VLOOKUP($A121,'Data shares'!$C:$FA,121)*100</f>
        <v>-3.42</v>
      </c>
      <c r="E121" s="143">
        <f>VLOOKUP($A121,'Data shares'!$C:$FA,124)</f>
        <v>0.51</v>
      </c>
      <c r="F121" s="143">
        <f>VLOOKUP($A121,'Data shares'!$C:$FA,125)</f>
        <v>0.73</v>
      </c>
      <c r="G121" s="143">
        <f>VLOOKUP($A121,'Data shares'!$C:$FA,127)*100</f>
        <v>-30.14</v>
      </c>
      <c r="H121" s="103">
        <f>VLOOKUP($A121,'OI(Volume)'!$A$7:$O$427,8)</f>
        <v>6152000</v>
      </c>
      <c r="I121" s="103">
        <f>VLOOKUP($A121,'OI(Volume)'!$A$7:$O$427,9)</f>
        <v>338000</v>
      </c>
      <c r="J121" s="103">
        <f>VLOOKUP($A121,'OI(Volume)'!$A$7:$O$427,11)</f>
        <v>6973000</v>
      </c>
      <c r="K121" s="103">
        <f>VLOOKUP($A121,'OI(Volume)'!$A$7:$O$427,12)</f>
        <v>181000</v>
      </c>
      <c r="L121" s="103">
        <f>VLOOKUP($A121,'OI(Value)'!$A$7:$O$306,8,0)</f>
        <v>331</v>
      </c>
      <c r="M121" s="103">
        <f>VLOOKUP($A121,'OI(Value)'!$A$7:$O$306,9,0)</f>
        <v>18</v>
      </c>
      <c r="N121" s="103">
        <f>VLOOKUP($A121,'OI(Value)'!$A$7:$O$306,11,0)</f>
        <v>375</v>
      </c>
      <c r="O121" s="103">
        <f>VLOOKUP($A121,'OI(Value)'!$A$7:$O$306,12,0)</f>
        <v>10</v>
      </c>
      <c r="P121" s="179">
        <f>VLOOKUP(A121,'OI(Value)'!A121:O322,8,0)</f>
        <v>331</v>
      </c>
      <c r="Q121" s="179">
        <f>VLOOKUP(A121,'OI(Value)'!A121:O322,9,0)</f>
        <v>18</v>
      </c>
      <c r="R121" s="179">
        <f>VLOOKUP(A121,'OI(Value)'!A121:O322,11,0)</f>
        <v>375</v>
      </c>
      <c r="S121" s="179">
        <f>VLOOKUP(A121,'OI(Value)'!A121:O322,11,0)</f>
        <v>375</v>
      </c>
    </row>
    <row r="122" spans="1:19" x14ac:dyDescent="0.25">
      <c r="A122" s="105" t="str">
        <f>'Data shares'!C117</f>
        <v>LICI</v>
      </c>
      <c r="B122" s="143">
        <f>VLOOKUP($A122,'Data shares'!$C:$FA,118)</f>
        <v>0.74</v>
      </c>
      <c r="C122" s="143">
        <f>VLOOKUP($A122,'Data shares'!$C:$FA,119)</f>
        <v>0.75</v>
      </c>
      <c r="D122" s="143">
        <f>VLOOKUP($A122,'Data shares'!$C:$FA,121)*100</f>
        <v>-1.3299999999999998</v>
      </c>
      <c r="E122" s="143">
        <f>VLOOKUP($A122,'Data shares'!$C:$FA,124)</f>
        <v>0.43</v>
      </c>
      <c r="F122" s="143">
        <f>VLOOKUP($A122,'Data shares'!$C:$FA,125)</f>
        <v>0.61</v>
      </c>
      <c r="G122" s="143">
        <f>VLOOKUP($A122,'Data shares'!$C:$FA,127)*100</f>
        <v>-29.509999999999998</v>
      </c>
      <c r="H122" s="103">
        <f>VLOOKUP($A122,'OI(Volume)'!$A$7:$O$427,8)</f>
        <v>3658200</v>
      </c>
      <c r="I122" s="103">
        <f>VLOOKUP($A122,'OI(Volume)'!$A$7:$O$427,9)</f>
        <v>135800</v>
      </c>
      <c r="J122" s="103">
        <f>VLOOKUP($A122,'OI(Volume)'!$A$7:$O$427,11)</f>
        <v>2692200</v>
      </c>
      <c r="K122" s="103">
        <f>VLOOKUP($A122,'OI(Volume)'!$A$7:$O$427,12)</f>
        <v>45500</v>
      </c>
      <c r="L122" s="103">
        <f>VLOOKUP($A122,'OI(Value)'!$A$7:$O$306,8,0)</f>
        <v>314</v>
      </c>
      <c r="M122" s="103">
        <f>VLOOKUP($A122,'OI(Value)'!$A$7:$O$306,9,0)</f>
        <v>12</v>
      </c>
      <c r="N122" s="103">
        <f>VLOOKUP($A122,'OI(Value)'!$A$7:$O$306,11,0)</f>
        <v>231</v>
      </c>
      <c r="O122" s="103">
        <f>VLOOKUP($A122,'OI(Value)'!$A$7:$O$306,12,0)</f>
        <v>4</v>
      </c>
      <c r="P122" s="179">
        <f>VLOOKUP(A122,'OI(Value)'!A122:O323,8,0)</f>
        <v>314</v>
      </c>
      <c r="Q122" s="179">
        <f>VLOOKUP(A122,'OI(Value)'!A122:O323,9,0)</f>
        <v>12</v>
      </c>
      <c r="R122" s="179">
        <f>VLOOKUP(A122,'OI(Value)'!A122:O323,11,0)</f>
        <v>231</v>
      </c>
      <c r="S122" s="179">
        <f>VLOOKUP(A122,'OI(Value)'!A122:O323,11,0)</f>
        <v>231</v>
      </c>
    </row>
    <row r="123" spans="1:19" x14ac:dyDescent="0.25">
      <c r="A123" s="105" t="str">
        <f>'Data shares'!C118</f>
        <v>LODHA</v>
      </c>
      <c r="B123" s="143">
        <f>VLOOKUP($A123,'Data shares'!$C:$FA,118)</f>
        <v>1.02</v>
      </c>
      <c r="C123" s="143">
        <f>VLOOKUP($A123,'Data shares'!$C:$FA,119)</f>
        <v>1.07</v>
      </c>
      <c r="D123" s="143">
        <f>VLOOKUP($A123,'Data shares'!$C:$FA,121)*100</f>
        <v>-4.67</v>
      </c>
      <c r="E123" s="143">
        <f>VLOOKUP($A123,'Data shares'!$C:$FA,124)</f>
        <v>0.4</v>
      </c>
      <c r="F123" s="143">
        <f>VLOOKUP($A123,'Data shares'!$C:$FA,125)</f>
        <v>0.46</v>
      </c>
      <c r="G123" s="143">
        <f>VLOOKUP($A123,'Data shares'!$C:$FA,127)*100</f>
        <v>-13.04</v>
      </c>
      <c r="H123" s="103">
        <f>VLOOKUP($A123,'OI(Volume)'!$A$7:$O$427,8)</f>
        <v>1200150</v>
      </c>
      <c r="I123" s="103">
        <f>VLOOKUP($A123,'OI(Volume)'!$A$7:$O$427,9)</f>
        <v>108000</v>
      </c>
      <c r="J123" s="103">
        <f>VLOOKUP($A123,'OI(Volume)'!$A$7:$O$427,11)</f>
        <v>1226250</v>
      </c>
      <c r="K123" s="103">
        <f>VLOOKUP($A123,'OI(Volume)'!$A$7:$O$427,12)</f>
        <v>62100</v>
      </c>
      <c r="L123" s="103">
        <f>VLOOKUP($A123,'OI(Value)'!$A$7:$O$306,8,0)</f>
        <v>129</v>
      </c>
      <c r="M123" s="103">
        <f>VLOOKUP($A123,'OI(Value)'!$A$7:$O$306,9,0)</f>
        <v>12</v>
      </c>
      <c r="N123" s="103">
        <f>VLOOKUP($A123,'OI(Value)'!$A$7:$O$306,11,0)</f>
        <v>132</v>
      </c>
      <c r="O123" s="103">
        <f>VLOOKUP($A123,'OI(Value)'!$A$7:$O$306,12,0)</f>
        <v>7</v>
      </c>
      <c r="P123" s="179">
        <f>VLOOKUP(A123,'OI(Value)'!A123:O324,8,0)</f>
        <v>129</v>
      </c>
      <c r="Q123" s="179">
        <f>VLOOKUP(A123,'OI(Value)'!A123:O324,9,0)</f>
        <v>12</v>
      </c>
      <c r="R123" s="179">
        <f>VLOOKUP(A123,'OI(Value)'!A123:O324,11,0)</f>
        <v>132</v>
      </c>
      <c r="S123" s="179">
        <f>VLOOKUP(A123,'OI(Value)'!A123:O324,11,0)</f>
        <v>132</v>
      </c>
    </row>
    <row r="124" spans="1:19" x14ac:dyDescent="0.25">
      <c r="A124" s="105" t="str">
        <f>'Data shares'!C119</f>
        <v>LT</v>
      </c>
      <c r="B124" s="143">
        <f>VLOOKUP($A124,'Data shares'!$C:$FA,118)</f>
        <v>0.71</v>
      </c>
      <c r="C124" s="143">
        <f>VLOOKUP($A124,'Data shares'!$C:$FA,119)</f>
        <v>0.73</v>
      </c>
      <c r="D124" s="143">
        <f>VLOOKUP($A124,'Data shares'!$C:$FA,121)*100</f>
        <v>-2.74</v>
      </c>
      <c r="E124" s="143">
        <f>VLOOKUP($A124,'Data shares'!$C:$FA,124)</f>
        <v>0.46</v>
      </c>
      <c r="F124" s="143">
        <f>VLOOKUP($A124,'Data shares'!$C:$FA,125)</f>
        <v>0.55000000000000004</v>
      </c>
      <c r="G124" s="143">
        <f>VLOOKUP($A124,'Data shares'!$C:$FA,127)*100</f>
        <v>-16.36</v>
      </c>
      <c r="H124" s="103">
        <f>VLOOKUP($A124,'OI(Volume)'!$A$7:$O$427,8)</f>
        <v>2754675</v>
      </c>
      <c r="I124" s="103">
        <f>VLOOKUP($A124,'OI(Volume)'!$A$7:$O$427,9)</f>
        <v>678300</v>
      </c>
      <c r="J124" s="103">
        <f>VLOOKUP($A124,'OI(Volume)'!$A$7:$O$427,11)</f>
        <v>1953525</v>
      </c>
      <c r="K124" s="103">
        <f>VLOOKUP($A124,'OI(Volume)'!$A$7:$O$427,12)</f>
        <v>432775</v>
      </c>
      <c r="L124" s="103">
        <f>VLOOKUP($A124,'OI(Value)'!$A$7:$O$306,8,0)</f>
        <v>1145</v>
      </c>
      <c r="M124" s="103">
        <f>VLOOKUP($A124,'OI(Value)'!$A$7:$O$306,9,0)</f>
        <v>282</v>
      </c>
      <c r="N124" s="103">
        <f>VLOOKUP($A124,'OI(Value)'!$A$7:$O$306,11,0)</f>
        <v>812</v>
      </c>
      <c r="O124" s="103">
        <f>VLOOKUP($A124,'OI(Value)'!$A$7:$O$306,12,0)</f>
        <v>180</v>
      </c>
      <c r="P124" s="179">
        <f>VLOOKUP(A124,'OI(Value)'!A124:O325,8,0)</f>
        <v>1145</v>
      </c>
      <c r="Q124" s="179">
        <f>VLOOKUP(A124,'OI(Value)'!A124:O325,9,0)</f>
        <v>282</v>
      </c>
      <c r="R124" s="179">
        <f>VLOOKUP(A124,'OI(Value)'!A124:O325,11,0)</f>
        <v>812</v>
      </c>
      <c r="S124" s="179">
        <f>VLOOKUP(A124,'OI(Value)'!A124:O325,11,0)</f>
        <v>812</v>
      </c>
    </row>
    <row r="125" spans="1:19" x14ac:dyDescent="0.25">
      <c r="A125" s="105" t="str">
        <f>'Data shares'!C120</f>
        <v>LTF</v>
      </c>
      <c r="B125" s="143">
        <f>VLOOKUP($A125,'Data shares'!$C:$FA,118)</f>
        <v>0.73</v>
      </c>
      <c r="C125" s="143">
        <f>VLOOKUP($A125,'Data shares'!$C:$FA,119)</f>
        <v>0.69</v>
      </c>
      <c r="D125" s="143">
        <f>VLOOKUP($A125,'Data shares'!$C:$FA,121)*100</f>
        <v>5.8000000000000007</v>
      </c>
      <c r="E125" s="143">
        <f>VLOOKUP($A125,'Data shares'!$C:$FA,124)</f>
        <v>0.39</v>
      </c>
      <c r="F125" s="143">
        <f>VLOOKUP($A125,'Data shares'!$C:$FA,125)</f>
        <v>0.37</v>
      </c>
      <c r="G125" s="143">
        <f>VLOOKUP($A125,'Data shares'!$C:$FA,127)*100</f>
        <v>5.41</v>
      </c>
      <c r="H125" s="103">
        <f>VLOOKUP($A125,'OI(Volume)'!$A$7:$O$427,8)</f>
        <v>18416250</v>
      </c>
      <c r="I125" s="103">
        <f>VLOOKUP($A125,'OI(Volume)'!$A$7:$O$427,9)</f>
        <v>713250</v>
      </c>
      <c r="J125" s="103">
        <f>VLOOKUP($A125,'OI(Volume)'!$A$7:$O$427,11)</f>
        <v>13533750</v>
      </c>
      <c r="K125" s="103">
        <f>VLOOKUP($A125,'OI(Volume)'!$A$7:$O$427,12)</f>
        <v>1275750</v>
      </c>
      <c r="L125" s="103">
        <f>VLOOKUP($A125,'OI(Value)'!$A$7:$O$306,8,0)</f>
        <v>587</v>
      </c>
      <c r="M125" s="103">
        <f>VLOOKUP($A125,'OI(Value)'!$A$7:$O$306,9,0)</f>
        <v>23</v>
      </c>
      <c r="N125" s="103">
        <f>VLOOKUP($A125,'OI(Value)'!$A$7:$O$306,11,0)</f>
        <v>431</v>
      </c>
      <c r="O125" s="103">
        <f>VLOOKUP($A125,'OI(Value)'!$A$7:$O$306,12,0)</f>
        <v>41</v>
      </c>
      <c r="P125" s="179">
        <f>VLOOKUP(A125,'OI(Value)'!A125:O326,8,0)</f>
        <v>587</v>
      </c>
      <c r="Q125" s="179">
        <f>VLOOKUP(A125,'OI(Value)'!A125:O326,9,0)</f>
        <v>23</v>
      </c>
      <c r="R125" s="179">
        <f>VLOOKUP(A125,'OI(Value)'!A125:O326,11,0)</f>
        <v>431</v>
      </c>
      <c r="S125" s="179">
        <f>VLOOKUP(A125,'OI(Value)'!A125:O326,11,0)</f>
        <v>431</v>
      </c>
    </row>
    <row r="126" spans="1:19" x14ac:dyDescent="0.25">
      <c r="A126" s="105" t="str">
        <f>'Data shares'!C121</f>
        <v>LTIM</v>
      </c>
      <c r="B126" s="143">
        <f>VLOOKUP($A126,'Data shares'!$C:$FA,118)</f>
        <v>0.87</v>
      </c>
      <c r="C126" s="143">
        <f>VLOOKUP($A126,'Data shares'!$C:$FA,119)</f>
        <v>1.03</v>
      </c>
      <c r="D126" s="143">
        <f>VLOOKUP($A126,'Data shares'!$C:$FA,121)*100</f>
        <v>-15.53</v>
      </c>
      <c r="E126" s="143">
        <f>VLOOKUP($A126,'Data shares'!$C:$FA,124)</f>
        <v>0.5</v>
      </c>
      <c r="F126" s="143">
        <f>VLOOKUP($A126,'Data shares'!$C:$FA,125)</f>
        <v>0.63</v>
      </c>
      <c r="G126" s="143">
        <f>VLOOKUP($A126,'Data shares'!$C:$FA,127)*100</f>
        <v>-20.630000000000003</v>
      </c>
      <c r="H126" s="103">
        <f>VLOOKUP($A126,'OI(Volume)'!$A$7:$O$427,8)</f>
        <v>468600</v>
      </c>
      <c r="I126" s="103">
        <f>VLOOKUP($A126,'OI(Volume)'!$A$7:$O$427,9)</f>
        <v>97350</v>
      </c>
      <c r="J126" s="103">
        <f>VLOOKUP($A126,'OI(Volume)'!$A$7:$O$427,11)</f>
        <v>407850</v>
      </c>
      <c r="K126" s="103">
        <f>VLOOKUP($A126,'OI(Volume)'!$A$7:$O$427,12)</f>
        <v>26400</v>
      </c>
      <c r="L126" s="103">
        <f>VLOOKUP($A126,'OI(Value)'!$A$7:$O$306,8,0)</f>
        <v>287</v>
      </c>
      <c r="M126" s="103">
        <f>VLOOKUP($A126,'OI(Value)'!$A$7:$O$306,9,0)</f>
        <v>60</v>
      </c>
      <c r="N126" s="103">
        <f>VLOOKUP($A126,'OI(Value)'!$A$7:$O$306,11,0)</f>
        <v>250</v>
      </c>
      <c r="O126" s="103">
        <f>VLOOKUP($A126,'OI(Value)'!$A$7:$O$306,12,0)</f>
        <v>16</v>
      </c>
      <c r="P126" s="179">
        <f>VLOOKUP(A126,'OI(Value)'!A126:O327,8,0)</f>
        <v>287</v>
      </c>
      <c r="Q126" s="179">
        <f>VLOOKUP(A126,'OI(Value)'!A126:O327,9,0)</f>
        <v>60</v>
      </c>
      <c r="R126" s="179">
        <f>VLOOKUP(A126,'OI(Value)'!A126:O327,11,0)</f>
        <v>250</v>
      </c>
      <c r="S126" s="179">
        <f>VLOOKUP(A126,'OI(Value)'!A126:O327,11,0)</f>
        <v>250</v>
      </c>
    </row>
    <row r="127" spans="1:19" x14ac:dyDescent="0.25">
      <c r="A127" s="105" t="str">
        <f>'Data shares'!C122</f>
        <v>LUPIN</v>
      </c>
      <c r="B127" s="143">
        <f>VLOOKUP($A127,'Data shares'!$C:$FA,118)</f>
        <v>0.86</v>
      </c>
      <c r="C127" s="143">
        <f>VLOOKUP($A127,'Data shares'!$C:$FA,119)</f>
        <v>0.9</v>
      </c>
      <c r="D127" s="143">
        <f>VLOOKUP($A127,'Data shares'!$C:$FA,121)*100</f>
        <v>-4.4400000000000004</v>
      </c>
      <c r="E127" s="143">
        <f>VLOOKUP($A127,'Data shares'!$C:$FA,124)</f>
        <v>0.5</v>
      </c>
      <c r="F127" s="143">
        <f>VLOOKUP($A127,'Data shares'!$C:$FA,125)</f>
        <v>0.53</v>
      </c>
      <c r="G127" s="143">
        <f>VLOOKUP($A127,'Data shares'!$C:$FA,127)*100</f>
        <v>-5.66</v>
      </c>
      <c r="H127" s="103">
        <f>VLOOKUP($A127,'OI(Volume)'!$A$7:$O$427,8)</f>
        <v>1164925</v>
      </c>
      <c r="I127" s="103">
        <f>VLOOKUP($A127,'OI(Volume)'!$A$7:$O$427,9)</f>
        <v>136850</v>
      </c>
      <c r="J127" s="103">
        <f>VLOOKUP($A127,'OI(Volume)'!$A$7:$O$427,11)</f>
        <v>1003425</v>
      </c>
      <c r="K127" s="103">
        <f>VLOOKUP($A127,'OI(Volume)'!$A$7:$O$427,12)</f>
        <v>78625</v>
      </c>
      <c r="L127" s="103">
        <f>VLOOKUP($A127,'OI(Value)'!$A$7:$O$306,8,0)</f>
        <v>246</v>
      </c>
      <c r="M127" s="103">
        <f>VLOOKUP($A127,'OI(Value)'!$A$7:$O$306,9,0)</f>
        <v>29</v>
      </c>
      <c r="N127" s="103">
        <f>VLOOKUP($A127,'OI(Value)'!$A$7:$O$306,11,0)</f>
        <v>212</v>
      </c>
      <c r="O127" s="103">
        <f>VLOOKUP($A127,'OI(Value)'!$A$7:$O$306,12,0)</f>
        <v>17</v>
      </c>
      <c r="P127" s="179">
        <f>VLOOKUP(A127,'OI(Value)'!A127:O328,8,0)</f>
        <v>246</v>
      </c>
      <c r="Q127" s="179">
        <f>VLOOKUP(A127,'OI(Value)'!A127:O328,9,0)</f>
        <v>29</v>
      </c>
      <c r="R127" s="179">
        <f>VLOOKUP(A127,'OI(Value)'!A127:O328,11,0)</f>
        <v>212</v>
      </c>
      <c r="S127" s="179">
        <f>VLOOKUP(A127,'OI(Value)'!A127:O328,11,0)</f>
        <v>212</v>
      </c>
    </row>
    <row r="128" spans="1:19" x14ac:dyDescent="0.25">
      <c r="A128" s="105" t="str">
        <f>'Data shares'!C123</f>
        <v>M&amp;M</v>
      </c>
      <c r="B128" s="143">
        <f>VLOOKUP($A128,'Data shares'!$C:$FA,118)</f>
        <v>0.72</v>
      </c>
      <c r="C128" s="143">
        <f>VLOOKUP($A128,'Data shares'!$C:$FA,119)</f>
        <v>0.79</v>
      </c>
      <c r="D128" s="143">
        <f>VLOOKUP($A128,'Data shares'!$C:$FA,121)*100</f>
        <v>-8.86</v>
      </c>
      <c r="E128" s="143">
        <f>VLOOKUP($A128,'Data shares'!$C:$FA,124)</f>
        <v>0.34</v>
      </c>
      <c r="F128" s="143">
        <f>VLOOKUP($A128,'Data shares'!$C:$FA,125)</f>
        <v>0.46</v>
      </c>
      <c r="G128" s="143">
        <f>VLOOKUP($A128,'Data shares'!$C:$FA,127)*100</f>
        <v>-26.090000000000003</v>
      </c>
      <c r="H128" s="103">
        <f>VLOOKUP($A128,'OI(Volume)'!$A$7:$O$427,8)</f>
        <v>2533200</v>
      </c>
      <c r="I128" s="103">
        <f>VLOOKUP($A128,'OI(Volume)'!$A$7:$O$427,9)</f>
        <v>468600</v>
      </c>
      <c r="J128" s="103">
        <f>VLOOKUP($A128,'OI(Volume)'!$A$7:$O$427,11)</f>
        <v>1815000</v>
      </c>
      <c r="K128" s="103">
        <f>VLOOKUP($A128,'OI(Volume)'!$A$7:$O$427,12)</f>
        <v>189800</v>
      </c>
      <c r="L128" s="103">
        <f>VLOOKUP($A128,'OI(Value)'!$A$7:$O$306,8,0)</f>
        <v>958</v>
      </c>
      <c r="M128" s="103">
        <f>VLOOKUP($A128,'OI(Value)'!$A$7:$O$306,9,0)</f>
        <v>177</v>
      </c>
      <c r="N128" s="103">
        <f>VLOOKUP($A128,'OI(Value)'!$A$7:$O$306,11,0)</f>
        <v>687</v>
      </c>
      <c r="O128" s="103">
        <f>VLOOKUP($A128,'OI(Value)'!$A$7:$O$306,12,0)</f>
        <v>72</v>
      </c>
      <c r="P128" s="179">
        <f>VLOOKUP(A128,'OI(Value)'!A128:O329,8,0)</f>
        <v>958</v>
      </c>
      <c r="Q128" s="179">
        <f>VLOOKUP(A128,'OI(Value)'!A128:O329,9,0)</f>
        <v>177</v>
      </c>
      <c r="R128" s="179">
        <f>VLOOKUP(A128,'OI(Value)'!A128:O329,11,0)</f>
        <v>687</v>
      </c>
      <c r="S128" s="179">
        <f>VLOOKUP(A128,'OI(Value)'!A128:O329,11,0)</f>
        <v>687</v>
      </c>
    </row>
    <row r="129" spans="1:19" x14ac:dyDescent="0.25">
      <c r="A129" s="105" t="str">
        <f>'Data shares'!C124</f>
        <v>MANAPPURAM</v>
      </c>
      <c r="B129" s="143">
        <f>VLOOKUP($A129,'Data shares'!$C:$FA,118)</f>
        <v>0.66</v>
      </c>
      <c r="C129" s="143">
        <f>VLOOKUP($A129,'Data shares'!$C:$FA,119)</f>
        <v>0.56999999999999995</v>
      </c>
      <c r="D129" s="143">
        <f>VLOOKUP($A129,'Data shares'!$C:$FA,121)*100</f>
        <v>15.790000000000001</v>
      </c>
      <c r="E129" s="143">
        <f>VLOOKUP($A129,'Data shares'!$C:$FA,124)</f>
        <v>0.38</v>
      </c>
      <c r="F129" s="143">
        <f>VLOOKUP($A129,'Data shares'!$C:$FA,125)</f>
        <v>0.55000000000000004</v>
      </c>
      <c r="G129" s="143">
        <f>VLOOKUP($A129,'Data shares'!$C:$FA,127)*100</f>
        <v>-30.91</v>
      </c>
      <c r="H129" s="103">
        <f>VLOOKUP($A129,'OI(Volume)'!$A$7:$O$427,8)</f>
        <v>10845000</v>
      </c>
      <c r="I129" s="103">
        <f>VLOOKUP($A129,'OI(Volume)'!$A$7:$O$427,9)</f>
        <v>36000</v>
      </c>
      <c r="J129" s="103">
        <f>VLOOKUP($A129,'OI(Volume)'!$A$7:$O$427,11)</f>
        <v>7104000</v>
      </c>
      <c r="K129" s="103">
        <f>VLOOKUP($A129,'OI(Volume)'!$A$7:$O$427,12)</f>
        <v>945000</v>
      </c>
      <c r="L129" s="103">
        <f>VLOOKUP($A129,'OI(Value)'!$A$7:$O$306,8,0)</f>
        <v>342</v>
      </c>
      <c r="M129" s="103">
        <f>VLOOKUP($A129,'OI(Value)'!$A$7:$O$306,9,0)</f>
        <v>1</v>
      </c>
      <c r="N129" s="103">
        <f>VLOOKUP($A129,'OI(Value)'!$A$7:$O$306,11,0)</f>
        <v>224</v>
      </c>
      <c r="O129" s="103">
        <f>VLOOKUP($A129,'OI(Value)'!$A$7:$O$306,12,0)</f>
        <v>30</v>
      </c>
      <c r="P129" s="179">
        <f>VLOOKUP(A129,'OI(Value)'!A129:O330,8,0)</f>
        <v>342</v>
      </c>
      <c r="Q129" s="179">
        <f>VLOOKUP(A129,'OI(Value)'!A129:O330,9,0)</f>
        <v>1</v>
      </c>
      <c r="R129" s="179">
        <f>VLOOKUP(A129,'OI(Value)'!A129:O330,11,0)</f>
        <v>224</v>
      </c>
      <c r="S129" s="179">
        <f>VLOOKUP(A129,'OI(Value)'!A129:O330,11,0)</f>
        <v>224</v>
      </c>
    </row>
    <row r="130" spans="1:19" x14ac:dyDescent="0.25">
      <c r="A130" s="105" t="str">
        <f>'Data shares'!C125</f>
        <v>MANKIND</v>
      </c>
      <c r="B130" s="143">
        <f>VLOOKUP($A130,'Data shares'!$C:$FA,118)</f>
        <v>0.82</v>
      </c>
      <c r="C130" s="143">
        <f>VLOOKUP($A130,'Data shares'!$C:$FA,119)</f>
        <v>0.9</v>
      </c>
      <c r="D130" s="143">
        <f>VLOOKUP($A130,'Data shares'!$C:$FA,121)*100</f>
        <v>-8.89</v>
      </c>
      <c r="E130" s="143">
        <f>VLOOKUP($A130,'Data shares'!$C:$FA,124)</f>
        <v>0.39</v>
      </c>
      <c r="F130" s="143">
        <f>VLOOKUP($A130,'Data shares'!$C:$FA,125)</f>
        <v>0.3</v>
      </c>
      <c r="G130" s="143">
        <f>VLOOKUP($A130,'Data shares'!$C:$FA,127)*100</f>
        <v>30</v>
      </c>
      <c r="H130" s="103">
        <f>VLOOKUP($A130,'OI(Volume)'!$A$7:$O$427,8)</f>
        <v>328725</v>
      </c>
      <c r="I130" s="103">
        <f>VLOOKUP($A130,'OI(Volume)'!$A$7:$O$427,9)</f>
        <v>38475</v>
      </c>
      <c r="J130" s="103">
        <f>VLOOKUP($A130,'OI(Volume)'!$A$7:$O$427,11)</f>
        <v>267975</v>
      </c>
      <c r="K130" s="103">
        <f>VLOOKUP($A130,'OI(Volume)'!$A$7:$O$427,12)</f>
        <v>8100</v>
      </c>
      <c r="L130" s="103">
        <f>VLOOKUP($A130,'OI(Value)'!$A$7:$O$306,8,0)</f>
        <v>71</v>
      </c>
      <c r="M130" s="103">
        <f>VLOOKUP($A130,'OI(Value)'!$A$7:$O$306,9,0)</f>
        <v>8</v>
      </c>
      <c r="N130" s="103">
        <f>VLOOKUP($A130,'OI(Value)'!$A$7:$O$306,11,0)</f>
        <v>58</v>
      </c>
      <c r="O130" s="103">
        <f>VLOOKUP($A130,'OI(Value)'!$A$7:$O$306,12,0)</f>
        <v>2</v>
      </c>
      <c r="P130" s="179">
        <f>VLOOKUP(A130,'OI(Value)'!A130:O331,8,0)</f>
        <v>71</v>
      </c>
      <c r="Q130" s="179">
        <f>VLOOKUP(A130,'OI(Value)'!A130:O331,9,0)</f>
        <v>8</v>
      </c>
      <c r="R130" s="179">
        <f>VLOOKUP(A130,'OI(Value)'!A130:O331,11,0)</f>
        <v>58</v>
      </c>
      <c r="S130" s="179">
        <f>VLOOKUP(A130,'OI(Value)'!A130:O331,11,0)</f>
        <v>58</v>
      </c>
    </row>
    <row r="131" spans="1:19" x14ac:dyDescent="0.25">
      <c r="A131" s="105" t="str">
        <f>'Data shares'!C126</f>
        <v>MARICO</v>
      </c>
      <c r="B131" s="143">
        <f>VLOOKUP($A131,'Data shares'!$C:$FA,118)</f>
        <v>0.69</v>
      </c>
      <c r="C131" s="143">
        <f>VLOOKUP($A131,'Data shares'!$C:$FA,119)</f>
        <v>0.57999999999999996</v>
      </c>
      <c r="D131" s="143">
        <f>VLOOKUP($A131,'Data shares'!$C:$FA,121)*100</f>
        <v>18.970000000000002</v>
      </c>
      <c r="E131" s="143">
        <f>VLOOKUP($A131,'Data shares'!$C:$FA,124)</f>
        <v>0.42</v>
      </c>
      <c r="F131" s="143">
        <f>VLOOKUP($A131,'Data shares'!$C:$FA,125)</f>
        <v>0.33</v>
      </c>
      <c r="G131" s="143">
        <f>VLOOKUP($A131,'Data shares'!$C:$FA,127)*100</f>
        <v>27.27</v>
      </c>
      <c r="H131" s="103">
        <f>VLOOKUP($A131,'OI(Volume)'!$A$7:$O$427,8)</f>
        <v>3096000</v>
      </c>
      <c r="I131" s="103">
        <f>VLOOKUP($A131,'OI(Volume)'!$A$7:$O$427,9)</f>
        <v>597600</v>
      </c>
      <c r="J131" s="103">
        <f>VLOOKUP($A131,'OI(Volume)'!$A$7:$O$427,11)</f>
        <v>2139600</v>
      </c>
      <c r="K131" s="103">
        <f>VLOOKUP($A131,'OI(Volume)'!$A$7:$O$427,12)</f>
        <v>693600</v>
      </c>
      <c r="L131" s="103">
        <f>VLOOKUP($A131,'OI(Value)'!$A$7:$O$306,8,0)</f>
        <v>237</v>
      </c>
      <c r="M131" s="103">
        <f>VLOOKUP($A131,'OI(Value)'!$A$7:$O$306,9,0)</f>
        <v>46</v>
      </c>
      <c r="N131" s="103">
        <f>VLOOKUP($A131,'OI(Value)'!$A$7:$O$306,11,0)</f>
        <v>164</v>
      </c>
      <c r="O131" s="103">
        <f>VLOOKUP($A131,'OI(Value)'!$A$7:$O$306,12,0)</f>
        <v>53</v>
      </c>
      <c r="P131" s="179">
        <f>VLOOKUP(A131,'OI(Value)'!A131:O332,8,0)</f>
        <v>237</v>
      </c>
      <c r="Q131" s="179">
        <f>VLOOKUP(A131,'OI(Value)'!A131:O332,9,0)</f>
        <v>46</v>
      </c>
      <c r="R131" s="179">
        <f>VLOOKUP(A131,'OI(Value)'!A131:O332,11,0)</f>
        <v>164</v>
      </c>
      <c r="S131" s="179">
        <f>VLOOKUP(A131,'OI(Value)'!A131:O332,11,0)</f>
        <v>164</v>
      </c>
    </row>
    <row r="132" spans="1:19" x14ac:dyDescent="0.25">
      <c r="A132" s="105" t="str">
        <f>'Data shares'!C127</f>
        <v>MARUTI</v>
      </c>
      <c r="B132" s="143">
        <f>VLOOKUP($A132,'Data shares'!$C:$FA,118)</f>
        <v>0.91</v>
      </c>
      <c r="C132" s="143">
        <f>VLOOKUP($A132,'Data shares'!$C:$FA,119)</f>
        <v>0.93</v>
      </c>
      <c r="D132" s="143">
        <f>VLOOKUP($A132,'Data shares'!$C:$FA,121)*100</f>
        <v>-2.15</v>
      </c>
      <c r="E132" s="143">
        <f>VLOOKUP($A132,'Data shares'!$C:$FA,124)</f>
        <v>0.68</v>
      </c>
      <c r="F132" s="143">
        <f>VLOOKUP($A132,'Data shares'!$C:$FA,125)</f>
        <v>0.64</v>
      </c>
      <c r="G132" s="143">
        <f>VLOOKUP($A132,'Data shares'!$C:$FA,127)*100</f>
        <v>6.25</v>
      </c>
      <c r="H132" s="103">
        <f>VLOOKUP($A132,'OI(Volume)'!$A$7:$O$427,8)</f>
        <v>779050</v>
      </c>
      <c r="I132" s="103">
        <f>VLOOKUP($A132,'OI(Volume)'!$A$7:$O$427,9)</f>
        <v>126500</v>
      </c>
      <c r="J132" s="103">
        <f>VLOOKUP($A132,'OI(Volume)'!$A$7:$O$427,11)</f>
        <v>710050</v>
      </c>
      <c r="K132" s="103">
        <f>VLOOKUP($A132,'OI(Volume)'!$A$7:$O$427,12)</f>
        <v>100400</v>
      </c>
      <c r="L132" s="103">
        <f>VLOOKUP($A132,'OI(Value)'!$A$7:$O$306,8,0)</f>
        <v>1308</v>
      </c>
      <c r="M132" s="103">
        <f>VLOOKUP($A132,'OI(Value)'!$A$7:$O$306,9,0)</f>
        <v>212</v>
      </c>
      <c r="N132" s="103">
        <f>VLOOKUP($A132,'OI(Value)'!$A$7:$O$306,11,0)</f>
        <v>1192</v>
      </c>
      <c r="O132" s="103">
        <f>VLOOKUP($A132,'OI(Value)'!$A$7:$O$306,12,0)</f>
        <v>169</v>
      </c>
      <c r="P132" s="179">
        <f>VLOOKUP(A132,'OI(Value)'!A132:O333,8,0)</f>
        <v>1308</v>
      </c>
      <c r="Q132" s="179">
        <f>VLOOKUP(A132,'OI(Value)'!A132:O333,9,0)</f>
        <v>212</v>
      </c>
      <c r="R132" s="179">
        <f>VLOOKUP(A132,'OI(Value)'!A132:O333,11,0)</f>
        <v>1192</v>
      </c>
      <c r="S132" s="179">
        <f>VLOOKUP(A132,'OI(Value)'!A132:O333,11,0)</f>
        <v>1192</v>
      </c>
    </row>
    <row r="133" spans="1:19" x14ac:dyDescent="0.25">
      <c r="A133" s="105" t="str">
        <f>'Data shares'!C128</f>
        <v>MAXHEALTH</v>
      </c>
      <c r="B133" s="143">
        <f>VLOOKUP($A133,'Data shares'!$C:$FA,118)</f>
        <v>0.85</v>
      </c>
      <c r="C133" s="143">
        <f>VLOOKUP($A133,'Data shares'!$C:$FA,119)</f>
        <v>0.89</v>
      </c>
      <c r="D133" s="143">
        <f>VLOOKUP($A133,'Data shares'!$C:$FA,121)*100</f>
        <v>-4.49</v>
      </c>
      <c r="E133" s="143">
        <f>VLOOKUP($A133,'Data shares'!$C:$FA,124)</f>
        <v>0.37</v>
      </c>
      <c r="F133" s="143">
        <f>VLOOKUP($A133,'Data shares'!$C:$FA,125)</f>
        <v>0.55000000000000004</v>
      </c>
      <c r="G133" s="143">
        <f>VLOOKUP($A133,'Data shares'!$C:$FA,127)*100</f>
        <v>-32.729999999999997</v>
      </c>
      <c r="H133" s="103">
        <f>VLOOKUP($A133,'OI(Volume)'!$A$7:$O$427,8)</f>
        <v>2226000</v>
      </c>
      <c r="I133" s="103">
        <f>VLOOKUP($A133,'OI(Volume)'!$A$7:$O$427,9)</f>
        <v>225225</v>
      </c>
      <c r="J133" s="103">
        <f>VLOOKUP($A133,'OI(Volume)'!$A$7:$O$427,11)</f>
        <v>1892100</v>
      </c>
      <c r="K133" s="103">
        <f>VLOOKUP($A133,'OI(Volume)'!$A$7:$O$427,12)</f>
        <v>120750</v>
      </c>
      <c r="L133" s="103">
        <f>VLOOKUP($A133,'OI(Value)'!$A$7:$O$306,8,0)</f>
        <v>235</v>
      </c>
      <c r="M133" s="103">
        <f>VLOOKUP($A133,'OI(Value)'!$A$7:$O$306,9,0)</f>
        <v>24</v>
      </c>
      <c r="N133" s="103">
        <f>VLOOKUP($A133,'OI(Value)'!$A$7:$O$306,11,0)</f>
        <v>199</v>
      </c>
      <c r="O133" s="103">
        <f>VLOOKUP($A133,'OI(Value)'!$A$7:$O$306,12,0)</f>
        <v>13</v>
      </c>
      <c r="P133" s="179">
        <f>VLOOKUP(A133,'OI(Value)'!A133:O334,8,0)</f>
        <v>235</v>
      </c>
      <c r="Q133" s="179">
        <f>VLOOKUP(A133,'OI(Value)'!A133:O334,9,0)</f>
        <v>24</v>
      </c>
      <c r="R133" s="179">
        <f>VLOOKUP(A133,'OI(Value)'!A133:O334,11,0)</f>
        <v>199</v>
      </c>
      <c r="S133" s="179">
        <f>VLOOKUP(A133,'OI(Value)'!A133:O334,11,0)</f>
        <v>199</v>
      </c>
    </row>
    <row r="134" spans="1:19" x14ac:dyDescent="0.25">
      <c r="A134" s="105" t="str">
        <f>'Data shares'!C129</f>
        <v>MAZDOCK</v>
      </c>
      <c r="B134" s="143">
        <f>VLOOKUP($A134,'Data shares'!$C:$FA,118)</f>
        <v>0.49</v>
      </c>
      <c r="C134" s="143">
        <f>VLOOKUP($A134,'Data shares'!$C:$FA,119)</f>
        <v>0.51</v>
      </c>
      <c r="D134" s="143">
        <f>VLOOKUP($A134,'Data shares'!$C:$FA,121)*100</f>
        <v>-3.92</v>
      </c>
      <c r="E134" s="143">
        <f>VLOOKUP($A134,'Data shares'!$C:$FA,124)</f>
        <v>0.39</v>
      </c>
      <c r="F134" s="143">
        <f>VLOOKUP($A134,'Data shares'!$C:$FA,125)</f>
        <v>0.36</v>
      </c>
      <c r="G134" s="143">
        <f>VLOOKUP($A134,'Data shares'!$C:$FA,127)*100</f>
        <v>8.33</v>
      </c>
      <c r="H134" s="103">
        <f>VLOOKUP($A134,'OI(Volume)'!$A$7:$O$427,8)</f>
        <v>3726800</v>
      </c>
      <c r="I134" s="103">
        <f>VLOOKUP($A134,'OI(Volume)'!$A$7:$O$427,9)</f>
        <v>204000</v>
      </c>
      <c r="J134" s="103">
        <f>VLOOKUP($A134,'OI(Volume)'!$A$7:$O$427,11)</f>
        <v>1829200</v>
      </c>
      <c r="K134" s="103">
        <f>VLOOKUP($A134,'OI(Volume)'!$A$7:$O$427,12)</f>
        <v>26600</v>
      </c>
      <c r="L134" s="103">
        <f>VLOOKUP($A134,'OI(Value)'!$A$7:$O$306,8,0)</f>
        <v>929</v>
      </c>
      <c r="M134" s="103">
        <f>VLOOKUP($A134,'OI(Value)'!$A$7:$O$306,9,0)</f>
        <v>51</v>
      </c>
      <c r="N134" s="103">
        <f>VLOOKUP($A134,'OI(Value)'!$A$7:$O$306,11,0)</f>
        <v>456</v>
      </c>
      <c r="O134" s="103">
        <f>VLOOKUP($A134,'OI(Value)'!$A$7:$O$306,12,0)</f>
        <v>7</v>
      </c>
      <c r="P134" s="179">
        <f>VLOOKUP(A134,'OI(Value)'!A134:O335,8,0)</f>
        <v>929</v>
      </c>
      <c r="Q134" s="179">
        <f>VLOOKUP(A134,'OI(Value)'!A134:O335,9,0)</f>
        <v>51</v>
      </c>
      <c r="R134" s="179">
        <f>VLOOKUP(A134,'OI(Value)'!A134:O335,11,0)</f>
        <v>456</v>
      </c>
      <c r="S134" s="179">
        <f>VLOOKUP(A134,'OI(Value)'!A134:O335,11,0)</f>
        <v>456</v>
      </c>
    </row>
    <row r="135" spans="1:19" x14ac:dyDescent="0.25">
      <c r="A135" s="105" t="str">
        <f>'Data shares'!C130</f>
        <v>MCX</v>
      </c>
      <c r="B135" s="143">
        <f>VLOOKUP($A135,'Data shares'!$C:$FA,118)</f>
        <v>0.66</v>
      </c>
      <c r="C135" s="143">
        <f>VLOOKUP($A135,'Data shares'!$C:$FA,119)</f>
        <v>0.69</v>
      </c>
      <c r="D135" s="143">
        <f>VLOOKUP($A135,'Data shares'!$C:$FA,121)*100</f>
        <v>-4.3499999999999996</v>
      </c>
      <c r="E135" s="143">
        <f>VLOOKUP($A135,'Data shares'!$C:$FA,124)</f>
        <v>0.88</v>
      </c>
      <c r="F135" s="143">
        <f>VLOOKUP($A135,'Data shares'!$C:$FA,125)</f>
        <v>0.46</v>
      </c>
      <c r="G135" s="143">
        <f>VLOOKUP($A135,'Data shares'!$C:$FA,127)*100</f>
        <v>91.3</v>
      </c>
      <c r="H135" s="103">
        <f>VLOOKUP($A135,'OI(Volume)'!$A$7:$O$427,8)</f>
        <v>1875375</v>
      </c>
      <c r="I135" s="103">
        <f>VLOOKUP($A135,'OI(Volume)'!$A$7:$O$427,9)</f>
        <v>172750</v>
      </c>
      <c r="J135" s="103">
        <f>VLOOKUP($A135,'OI(Volume)'!$A$7:$O$427,11)</f>
        <v>1246500</v>
      </c>
      <c r="K135" s="103">
        <f>VLOOKUP($A135,'OI(Volume)'!$A$7:$O$427,12)</f>
        <v>78625</v>
      </c>
      <c r="L135" s="103">
        <f>VLOOKUP($A135,'OI(Value)'!$A$7:$O$306,8,0)</f>
        <v>2075</v>
      </c>
      <c r="M135" s="103">
        <f>VLOOKUP($A135,'OI(Value)'!$A$7:$O$306,9,0)</f>
        <v>191</v>
      </c>
      <c r="N135" s="103">
        <f>VLOOKUP($A135,'OI(Value)'!$A$7:$O$306,11,0)</f>
        <v>1379</v>
      </c>
      <c r="O135" s="103">
        <f>VLOOKUP($A135,'OI(Value)'!$A$7:$O$306,12,0)</f>
        <v>87</v>
      </c>
      <c r="P135" s="179">
        <f>VLOOKUP(A135,'OI(Value)'!A135:O336,8,0)</f>
        <v>2075</v>
      </c>
      <c r="Q135" s="179">
        <f>VLOOKUP(A135,'OI(Value)'!A135:O336,9,0)</f>
        <v>191</v>
      </c>
      <c r="R135" s="179">
        <f>VLOOKUP(A135,'OI(Value)'!A135:O336,11,0)</f>
        <v>1379</v>
      </c>
      <c r="S135" s="179">
        <f>VLOOKUP(A135,'OI(Value)'!A135:O336,11,0)</f>
        <v>1379</v>
      </c>
    </row>
    <row r="136" spans="1:19" x14ac:dyDescent="0.25">
      <c r="A136" s="105" t="str">
        <f>'Data shares'!C131</f>
        <v>MFSL</v>
      </c>
      <c r="B136" s="143">
        <f>VLOOKUP($A136,'Data shares'!$C:$FA,118)</f>
        <v>0.75</v>
      </c>
      <c r="C136" s="143">
        <f>VLOOKUP($A136,'Data shares'!$C:$FA,119)</f>
        <v>0.78</v>
      </c>
      <c r="D136" s="143">
        <f>VLOOKUP($A136,'Data shares'!$C:$FA,121)*100</f>
        <v>-3.85</v>
      </c>
      <c r="E136" s="143">
        <f>VLOOKUP($A136,'Data shares'!$C:$FA,124)</f>
        <v>0.6</v>
      </c>
      <c r="F136" s="143">
        <f>VLOOKUP($A136,'Data shares'!$C:$FA,125)</f>
        <v>0.97</v>
      </c>
      <c r="G136" s="143">
        <f>VLOOKUP($A136,'Data shares'!$C:$FA,127)*100</f>
        <v>-38.14</v>
      </c>
      <c r="H136" s="103">
        <f>VLOOKUP($A136,'OI(Volume)'!$A$7:$O$427,8)</f>
        <v>465600</v>
      </c>
      <c r="I136" s="103">
        <f>VLOOKUP($A136,'OI(Volume)'!$A$7:$O$427,9)</f>
        <v>64800</v>
      </c>
      <c r="J136" s="103">
        <f>VLOOKUP($A136,'OI(Volume)'!$A$7:$O$427,11)</f>
        <v>348000</v>
      </c>
      <c r="K136" s="103">
        <f>VLOOKUP($A136,'OI(Volume)'!$A$7:$O$427,12)</f>
        <v>36400</v>
      </c>
      <c r="L136" s="103">
        <f>VLOOKUP($A136,'OI(Value)'!$A$7:$O$306,8,0)</f>
        <v>78</v>
      </c>
      <c r="M136" s="103">
        <f>VLOOKUP($A136,'OI(Value)'!$A$7:$O$306,9,0)</f>
        <v>11</v>
      </c>
      <c r="N136" s="103">
        <f>VLOOKUP($A136,'OI(Value)'!$A$7:$O$306,11,0)</f>
        <v>59</v>
      </c>
      <c r="O136" s="103">
        <f>VLOOKUP($A136,'OI(Value)'!$A$7:$O$306,12,0)</f>
        <v>6</v>
      </c>
      <c r="P136" s="179">
        <f>VLOOKUP(A136,'OI(Value)'!A136:O337,8,0)</f>
        <v>78</v>
      </c>
      <c r="Q136" s="179">
        <f>VLOOKUP(A136,'OI(Value)'!A136:O337,9,0)</f>
        <v>11</v>
      </c>
      <c r="R136" s="179">
        <f>VLOOKUP(A136,'OI(Value)'!A136:O337,11,0)</f>
        <v>59</v>
      </c>
      <c r="S136" s="179">
        <f>VLOOKUP(A136,'OI(Value)'!A136:O337,11,0)</f>
        <v>59</v>
      </c>
    </row>
    <row r="137" spans="1:19" x14ac:dyDescent="0.25">
      <c r="A137" s="105" t="str">
        <f>'Data shares'!C132</f>
        <v>MIDCPNIFTY</v>
      </c>
      <c r="B137" s="143">
        <f>VLOOKUP($A137,'Data shares'!$C:$FA,118)</f>
        <v>1.1599999999999999</v>
      </c>
      <c r="C137" s="143">
        <f>VLOOKUP($A137,'Data shares'!$C:$FA,119)</f>
        <v>1.08</v>
      </c>
      <c r="D137" s="143">
        <f>VLOOKUP($A137,'Data shares'!$C:$FA,121)*100</f>
        <v>7.41</v>
      </c>
      <c r="E137" s="143">
        <f>VLOOKUP($A137,'Data shares'!$C:$FA,124)</f>
        <v>0.98</v>
      </c>
      <c r="F137" s="143">
        <f>VLOOKUP($A137,'Data shares'!$C:$FA,125)</f>
        <v>0.96</v>
      </c>
      <c r="G137" s="143">
        <f>VLOOKUP($A137,'Data shares'!$C:$FA,127)*100</f>
        <v>2.08</v>
      </c>
      <c r="H137" s="103">
        <f>VLOOKUP($A137,'OI(Volume)'!$A$7:$O$427,8)</f>
        <v>4088400</v>
      </c>
      <c r="I137" s="103">
        <f>VLOOKUP($A137,'OI(Volume)'!$A$7:$O$427,9)</f>
        <v>440160</v>
      </c>
      <c r="J137" s="103">
        <f>VLOOKUP($A137,'OI(Volume)'!$A$7:$O$427,11)</f>
        <v>4727880</v>
      </c>
      <c r="K137" s="103">
        <f>VLOOKUP($A137,'OI(Volume)'!$A$7:$O$427,12)</f>
        <v>782760</v>
      </c>
      <c r="L137" s="103">
        <f>VLOOKUP($A137,'OI(Value)'!$A$7:$O$306,8,0)</f>
        <v>5683</v>
      </c>
      <c r="M137" s="103">
        <f>VLOOKUP($A137,'OI(Value)'!$A$7:$O$306,9,0)</f>
        <v>612</v>
      </c>
      <c r="N137" s="103">
        <f>VLOOKUP($A137,'OI(Value)'!$A$7:$O$306,11,0)</f>
        <v>6571</v>
      </c>
      <c r="O137" s="103">
        <f>VLOOKUP($A137,'OI(Value)'!$A$7:$O$306,12,0)</f>
        <v>1088</v>
      </c>
      <c r="P137" s="179">
        <f>VLOOKUP(A137,'OI(Value)'!A137:O338,8,0)</f>
        <v>5683</v>
      </c>
      <c r="Q137" s="179">
        <f>VLOOKUP(A137,'OI(Value)'!A137:O338,9,0)</f>
        <v>612</v>
      </c>
      <c r="R137" s="179">
        <f>VLOOKUP(A137,'OI(Value)'!A137:O338,11,0)</f>
        <v>6571</v>
      </c>
      <c r="S137" s="179">
        <f>VLOOKUP(A137,'OI(Value)'!A137:O338,11,0)</f>
        <v>6571</v>
      </c>
    </row>
    <row r="138" spans="1:19" x14ac:dyDescent="0.25">
      <c r="A138" s="105" t="str">
        <f>'Data shares'!C133</f>
        <v>MOTHERSON</v>
      </c>
      <c r="B138" s="143">
        <f>VLOOKUP($A138,'Data shares'!$C:$FA,118)</f>
        <v>0.73</v>
      </c>
      <c r="C138" s="143">
        <f>VLOOKUP($A138,'Data shares'!$C:$FA,119)</f>
        <v>0.61</v>
      </c>
      <c r="D138" s="143">
        <f>VLOOKUP($A138,'Data shares'!$C:$FA,121)*100</f>
        <v>19.670000000000002</v>
      </c>
      <c r="E138" s="143">
        <f>VLOOKUP($A138,'Data shares'!$C:$FA,124)</f>
        <v>0.33</v>
      </c>
      <c r="F138" s="143">
        <f>VLOOKUP($A138,'Data shares'!$C:$FA,125)</f>
        <v>0.36</v>
      </c>
      <c r="G138" s="143">
        <f>VLOOKUP($A138,'Data shares'!$C:$FA,127)*100</f>
        <v>-8.33</v>
      </c>
      <c r="H138" s="103">
        <f>VLOOKUP($A138,'OI(Volume)'!$A$7:$O$427,8)</f>
        <v>33166950</v>
      </c>
      <c r="I138" s="103">
        <f>VLOOKUP($A138,'OI(Volume)'!$A$7:$O$427,9)</f>
        <v>2158650</v>
      </c>
      <c r="J138" s="103">
        <f>VLOOKUP($A138,'OI(Volume)'!$A$7:$O$427,11)</f>
        <v>24280200</v>
      </c>
      <c r="K138" s="103">
        <f>VLOOKUP($A138,'OI(Volume)'!$A$7:$O$427,12)</f>
        <v>5381250</v>
      </c>
      <c r="L138" s="103">
        <f>VLOOKUP($A138,'OI(Value)'!$A$7:$O$306,8,0)</f>
        <v>409</v>
      </c>
      <c r="M138" s="103">
        <f>VLOOKUP($A138,'OI(Value)'!$A$7:$O$306,9,0)</f>
        <v>27</v>
      </c>
      <c r="N138" s="103">
        <f>VLOOKUP($A138,'OI(Value)'!$A$7:$O$306,11,0)</f>
        <v>299</v>
      </c>
      <c r="O138" s="103">
        <f>VLOOKUP($A138,'OI(Value)'!$A$7:$O$306,12,0)</f>
        <v>66</v>
      </c>
      <c r="P138" s="179">
        <f>VLOOKUP(A138,'OI(Value)'!A138:O339,8,0)</f>
        <v>409</v>
      </c>
      <c r="Q138" s="179">
        <f>VLOOKUP(A138,'OI(Value)'!A138:O339,9,0)</f>
        <v>27</v>
      </c>
      <c r="R138" s="179">
        <f>VLOOKUP(A138,'OI(Value)'!A138:O339,11,0)</f>
        <v>299</v>
      </c>
      <c r="S138" s="179">
        <f>VLOOKUP(A138,'OI(Value)'!A138:O339,11,0)</f>
        <v>299</v>
      </c>
    </row>
    <row r="139" spans="1:19" x14ac:dyDescent="0.25">
      <c r="A139" s="105" t="str">
        <f>'Data shares'!C134</f>
        <v>MPHASIS</v>
      </c>
      <c r="B139" s="143">
        <f>VLOOKUP($A139,'Data shares'!$C:$FA,118)</f>
        <v>0.67</v>
      </c>
      <c r="C139" s="143">
        <f>VLOOKUP($A139,'Data shares'!$C:$FA,119)</f>
        <v>0.68</v>
      </c>
      <c r="D139" s="143">
        <f>VLOOKUP($A139,'Data shares'!$C:$FA,121)*100</f>
        <v>-1.47</v>
      </c>
      <c r="E139" s="143">
        <f>VLOOKUP($A139,'Data shares'!$C:$FA,124)</f>
        <v>0.28000000000000003</v>
      </c>
      <c r="F139" s="143">
        <f>VLOOKUP($A139,'Data shares'!$C:$FA,125)</f>
        <v>0.34</v>
      </c>
      <c r="G139" s="143">
        <f>VLOOKUP($A139,'Data shares'!$C:$FA,127)*100</f>
        <v>-17.649999999999999</v>
      </c>
      <c r="H139" s="103">
        <f>VLOOKUP($A139,'OI(Volume)'!$A$7:$O$427,8)</f>
        <v>723250</v>
      </c>
      <c r="I139" s="103">
        <f>VLOOKUP($A139,'OI(Volume)'!$A$7:$O$427,9)</f>
        <v>27775</v>
      </c>
      <c r="J139" s="103">
        <f>VLOOKUP($A139,'OI(Volume)'!$A$7:$O$427,11)</f>
        <v>484275</v>
      </c>
      <c r="K139" s="103">
        <f>VLOOKUP($A139,'OI(Volume)'!$A$7:$O$427,12)</f>
        <v>13200</v>
      </c>
      <c r="L139" s="103">
        <f>VLOOKUP($A139,'OI(Value)'!$A$7:$O$306,8,0)</f>
        <v>205</v>
      </c>
      <c r="M139" s="103">
        <f>VLOOKUP($A139,'OI(Value)'!$A$7:$O$306,9,0)</f>
        <v>8</v>
      </c>
      <c r="N139" s="103">
        <f>VLOOKUP($A139,'OI(Value)'!$A$7:$O$306,11,0)</f>
        <v>137</v>
      </c>
      <c r="O139" s="103">
        <f>VLOOKUP($A139,'OI(Value)'!$A$7:$O$306,12,0)</f>
        <v>4</v>
      </c>
      <c r="P139" s="179">
        <f>VLOOKUP(A139,'OI(Value)'!A139:O340,8,0)</f>
        <v>205</v>
      </c>
      <c r="Q139" s="179">
        <f>VLOOKUP(A139,'OI(Value)'!A139:O340,9,0)</f>
        <v>8</v>
      </c>
      <c r="R139" s="179">
        <f>VLOOKUP(A139,'OI(Value)'!A139:O340,11,0)</f>
        <v>137</v>
      </c>
      <c r="S139" s="179">
        <f>VLOOKUP(A139,'OI(Value)'!A139:O340,11,0)</f>
        <v>137</v>
      </c>
    </row>
    <row r="140" spans="1:19" x14ac:dyDescent="0.25">
      <c r="A140" s="105" t="str">
        <f>'Data shares'!C135</f>
        <v>MUTHOOTFIN</v>
      </c>
      <c r="B140" s="143">
        <f>VLOOKUP($A140,'Data shares'!$C:$FA,118)</f>
        <v>0.62</v>
      </c>
      <c r="C140" s="143">
        <f>VLOOKUP($A140,'Data shares'!$C:$FA,119)</f>
        <v>0.6</v>
      </c>
      <c r="D140" s="143">
        <f>VLOOKUP($A140,'Data shares'!$C:$FA,121)*100</f>
        <v>3.3300000000000005</v>
      </c>
      <c r="E140" s="143">
        <f>VLOOKUP($A140,'Data shares'!$C:$FA,124)</f>
        <v>0.66</v>
      </c>
      <c r="F140" s="143">
        <f>VLOOKUP($A140,'Data shares'!$C:$FA,125)</f>
        <v>0.63</v>
      </c>
      <c r="G140" s="143">
        <f>VLOOKUP($A140,'Data shares'!$C:$FA,127)*100</f>
        <v>4.7600000000000007</v>
      </c>
      <c r="H140" s="103">
        <f>VLOOKUP($A140,'OI(Volume)'!$A$7:$O$427,8)</f>
        <v>1722325</v>
      </c>
      <c r="I140" s="103">
        <f>VLOOKUP($A140,'OI(Volume)'!$A$7:$O$427,9)</f>
        <v>-6325</v>
      </c>
      <c r="J140" s="103">
        <f>VLOOKUP($A140,'OI(Volume)'!$A$7:$O$427,11)</f>
        <v>1065350</v>
      </c>
      <c r="K140" s="103">
        <f>VLOOKUP($A140,'OI(Volume)'!$A$7:$O$427,12)</f>
        <v>33550</v>
      </c>
      <c r="L140" s="103">
        <f>VLOOKUP($A140,'OI(Value)'!$A$7:$O$306,8,0)</f>
        <v>664</v>
      </c>
      <c r="M140" s="103">
        <f>VLOOKUP($A140,'OI(Value)'!$A$7:$O$306,9,0)</f>
        <v>-2</v>
      </c>
      <c r="N140" s="103">
        <f>VLOOKUP($A140,'OI(Value)'!$A$7:$O$306,11,0)</f>
        <v>411</v>
      </c>
      <c r="O140" s="103">
        <f>VLOOKUP($A140,'OI(Value)'!$A$7:$O$306,12,0)</f>
        <v>13</v>
      </c>
      <c r="P140" s="179">
        <f>VLOOKUP(A140,'OI(Value)'!A140:O341,8,0)</f>
        <v>664</v>
      </c>
      <c r="Q140" s="179">
        <f>VLOOKUP(A140,'OI(Value)'!A140:O341,9,0)</f>
        <v>-2</v>
      </c>
      <c r="R140" s="179">
        <f>VLOOKUP(A140,'OI(Value)'!A140:O341,11,0)</f>
        <v>411</v>
      </c>
      <c r="S140" s="179">
        <f>VLOOKUP(A140,'OI(Value)'!A140:O341,11,0)</f>
        <v>411</v>
      </c>
    </row>
    <row r="141" spans="1:19" x14ac:dyDescent="0.25">
      <c r="A141" s="105" t="str">
        <f>'Data shares'!C136</f>
        <v>NATIONALUM</v>
      </c>
      <c r="B141" s="143">
        <f>VLOOKUP($A141,'Data shares'!$C:$FA,118)</f>
        <v>0.75</v>
      </c>
      <c r="C141" s="143">
        <f>VLOOKUP($A141,'Data shares'!$C:$FA,119)</f>
        <v>0.78</v>
      </c>
      <c r="D141" s="143">
        <f>VLOOKUP($A141,'Data shares'!$C:$FA,121)*100</f>
        <v>-3.85</v>
      </c>
      <c r="E141" s="143">
        <f>VLOOKUP($A141,'Data shares'!$C:$FA,124)</f>
        <v>0.51</v>
      </c>
      <c r="F141" s="143">
        <f>VLOOKUP($A141,'Data shares'!$C:$FA,125)</f>
        <v>0.36</v>
      </c>
      <c r="G141" s="143">
        <f>VLOOKUP($A141,'Data shares'!$C:$FA,127)*100</f>
        <v>41.67</v>
      </c>
      <c r="H141" s="103">
        <f>VLOOKUP($A141,'OI(Volume)'!$A$7:$O$427,8)</f>
        <v>32107500</v>
      </c>
      <c r="I141" s="103">
        <f>VLOOKUP($A141,'OI(Volume)'!$A$7:$O$427,9)</f>
        <v>423750</v>
      </c>
      <c r="J141" s="103">
        <f>VLOOKUP($A141,'OI(Volume)'!$A$7:$O$427,11)</f>
        <v>24071250</v>
      </c>
      <c r="K141" s="103">
        <f>VLOOKUP($A141,'OI(Volume)'!$A$7:$O$427,12)</f>
        <v>-780000</v>
      </c>
      <c r="L141" s="103">
        <f>VLOOKUP($A141,'OI(Value)'!$A$7:$O$306,8,0)</f>
        <v>1015</v>
      </c>
      <c r="M141" s="103">
        <f>VLOOKUP($A141,'OI(Value)'!$A$7:$O$306,9,0)</f>
        <v>13</v>
      </c>
      <c r="N141" s="103">
        <f>VLOOKUP($A141,'OI(Value)'!$A$7:$O$306,11,0)</f>
        <v>761</v>
      </c>
      <c r="O141" s="103">
        <f>VLOOKUP($A141,'OI(Value)'!$A$7:$O$306,12,0)</f>
        <v>-25</v>
      </c>
      <c r="P141" s="179">
        <f>VLOOKUP(A141,'OI(Value)'!A141:O342,8,0)</f>
        <v>1015</v>
      </c>
      <c r="Q141" s="179">
        <f>VLOOKUP(A141,'OI(Value)'!A141:O342,9,0)</f>
        <v>13</v>
      </c>
      <c r="R141" s="179">
        <f>VLOOKUP(A141,'OI(Value)'!A141:O342,11,0)</f>
        <v>761</v>
      </c>
      <c r="S141" s="179">
        <f>VLOOKUP(A141,'OI(Value)'!A141:O342,11,0)</f>
        <v>761</v>
      </c>
    </row>
    <row r="142" spans="1:19" x14ac:dyDescent="0.25">
      <c r="A142" s="105" t="str">
        <f>'Data shares'!C137</f>
        <v>NAUKRI</v>
      </c>
      <c r="B142" s="143">
        <f>VLOOKUP($A142,'Data shares'!$C:$FA,118)</f>
        <v>0.8</v>
      </c>
      <c r="C142" s="143">
        <f>VLOOKUP($A142,'Data shares'!$C:$FA,119)</f>
        <v>0.7</v>
      </c>
      <c r="D142" s="143">
        <f>VLOOKUP($A142,'Data shares'!$C:$FA,121)*100</f>
        <v>14.29</v>
      </c>
      <c r="E142" s="143">
        <f>VLOOKUP($A142,'Data shares'!$C:$FA,124)</f>
        <v>0.85</v>
      </c>
      <c r="F142" s="143">
        <f>VLOOKUP($A142,'Data shares'!$C:$FA,125)</f>
        <v>0.69</v>
      </c>
      <c r="G142" s="143">
        <f>VLOOKUP($A142,'Data shares'!$C:$FA,127)*100</f>
        <v>23.189999999999998</v>
      </c>
      <c r="H142" s="103">
        <f>VLOOKUP($A142,'OI(Volume)'!$A$7:$O$427,8)</f>
        <v>1466250</v>
      </c>
      <c r="I142" s="103">
        <f>VLOOKUP($A142,'OI(Volume)'!$A$7:$O$427,9)</f>
        <v>83625</v>
      </c>
      <c r="J142" s="103">
        <f>VLOOKUP($A142,'OI(Volume)'!$A$7:$O$427,11)</f>
        <v>1175250</v>
      </c>
      <c r="K142" s="103">
        <f>VLOOKUP($A142,'OI(Volume)'!$A$7:$O$427,12)</f>
        <v>202500</v>
      </c>
      <c r="L142" s="103">
        <f>VLOOKUP($A142,'OI(Value)'!$A$7:$O$306,8,0)</f>
        <v>198</v>
      </c>
      <c r="M142" s="103">
        <f>VLOOKUP($A142,'OI(Value)'!$A$7:$O$306,9,0)</f>
        <v>11</v>
      </c>
      <c r="N142" s="103">
        <f>VLOOKUP($A142,'OI(Value)'!$A$7:$O$306,11,0)</f>
        <v>158</v>
      </c>
      <c r="O142" s="103">
        <f>VLOOKUP($A142,'OI(Value)'!$A$7:$O$306,12,0)</f>
        <v>27</v>
      </c>
      <c r="P142" s="179">
        <f>VLOOKUP(A142,'OI(Value)'!A142:O343,8,0)</f>
        <v>198</v>
      </c>
      <c r="Q142" s="179">
        <f>VLOOKUP(A142,'OI(Value)'!A142:O343,9,0)</f>
        <v>11</v>
      </c>
      <c r="R142" s="179">
        <f>VLOOKUP(A142,'OI(Value)'!A142:O343,11,0)</f>
        <v>158</v>
      </c>
      <c r="S142" s="179">
        <f>VLOOKUP(A142,'OI(Value)'!A142:O343,11,0)</f>
        <v>158</v>
      </c>
    </row>
    <row r="143" spans="1:19" x14ac:dyDescent="0.25">
      <c r="A143" s="105" t="str">
        <f>'Data shares'!C138</f>
        <v>NBCC</v>
      </c>
      <c r="B143" s="143">
        <f>VLOOKUP($A143,'Data shares'!$C:$FA,118)</f>
        <v>0.51</v>
      </c>
      <c r="C143" s="143">
        <f>VLOOKUP($A143,'Data shares'!$C:$FA,119)</f>
        <v>0.52</v>
      </c>
      <c r="D143" s="143">
        <f>VLOOKUP($A143,'Data shares'!$C:$FA,121)*100</f>
        <v>-1.92</v>
      </c>
      <c r="E143" s="143">
        <f>VLOOKUP($A143,'Data shares'!$C:$FA,124)</f>
        <v>0.35</v>
      </c>
      <c r="F143" s="143">
        <f>VLOOKUP($A143,'Data shares'!$C:$FA,125)</f>
        <v>0.37</v>
      </c>
      <c r="G143" s="143">
        <f>VLOOKUP($A143,'Data shares'!$C:$FA,127)*100</f>
        <v>-5.41</v>
      </c>
      <c r="H143" s="103">
        <f>VLOOKUP($A143,'OI(Volume)'!$A$7:$O$427,8)</f>
        <v>40092000</v>
      </c>
      <c r="I143" s="103">
        <f>VLOOKUP($A143,'OI(Volume)'!$A$7:$O$427,9)</f>
        <v>2444000</v>
      </c>
      <c r="J143" s="103">
        <f>VLOOKUP($A143,'OI(Volume)'!$A$7:$O$427,11)</f>
        <v>20332000</v>
      </c>
      <c r="K143" s="103">
        <f>VLOOKUP($A143,'OI(Volume)'!$A$7:$O$427,12)</f>
        <v>825500</v>
      </c>
      <c r="L143" s="103">
        <f>VLOOKUP($A143,'OI(Value)'!$A$7:$O$306,8,0)</f>
        <v>492</v>
      </c>
      <c r="M143" s="103">
        <f>VLOOKUP($A143,'OI(Value)'!$A$7:$O$306,9,0)</f>
        <v>30</v>
      </c>
      <c r="N143" s="103">
        <f>VLOOKUP($A143,'OI(Value)'!$A$7:$O$306,11,0)</f>
        <v>250</v>
      </c>
      <c r="O143" s="103">
        <f>VLOOKUP($A143,'OI(Value)'!$A$7:$O$306,12,0)</f>
        <v>10</v>
      </c>
      <c r="P143" s="179">
        <f>VLOOKUP(A143,'OI(Value)'!A143:O344,8,0)</f>
        <v>492</v>
      </c>
      <c r="Q143" s="179">
        <f>VLOOKUP(A143,'OI(Value)'!A143:O344,9,0)</f>
        <v>30</v>
      </c>
      <c r="R143" s="179">
        <f>VLOOKUP(A143,'OI(Value)'!A143:O344,11,0)</f>
        <v>250</v>
      </c>
      <c r="S143" s="179">
        <f>VLOOKUP(A143,'OI(Value)'!A143:O344,11,0)</f>
        <v>250</v>
      </c>
    </row>
    <row r="144" spans="1:19" x14ac:dyDescent="0.25">
      <c r="A144" s="105" t="str">
        <f>'Data shares'!C139</f>
        <v>NESTLEIND</v>
      </c>
      <c r="B144" s="143">
        <f>VLOOKUP($A144,'Data shares'!$C:$FA,118)</f>
        <v>0.53</v>
      </c>
      <c r="C144" s="143">
        <f>VLOOKUP($A144,'Data shares'!$C:$FA,119)</f>
        <v>0.56999999999999995</v>
      </c>
      <c r="D144" s="143">
        <f>VLOOKUP($A144,'Data shares'!$C:$FA,121)*100</f>
        <v>-7.02</v>
      </c>
      <c r="E144" s="143">
        <f>VLOOKUP($A144,'Data shares'!$C:$FA,124)</f>
        <v>0.34</v>
      </c>
      <c r="F144" s="143">
        <f>VLOOKUP($A144,'Data shares'!$C:$FA,125)</f>
        <v>0.4</v>
      </c>
      <c r="G144" s="143">
        <f>VLOOKUP($A144,'Data shares'!$C:$FA,127)*100</f>
        <v>-15</v>
      </c>
      <c r="H144" s="103">
        <f>VLOOKUP($A144,'OI(Volume)'!$A$7:$O$427,8)</f>
        <v>1884500</v>
      </c>
      <c r="I144" s="103">
        <f>VLOOKUP($A144,'OI(Volume)'!$A$7:$O$427,9)</f>
        <v>289500</v>
      </c>
      <c r="J144" s="103">
        <f>VLOOKUP($A144,'OI(Volume)'!$A$7:$O$427,11)</f>
        <v>1001500</v>
      </c>
      <c r="K144" s="103">
        <f>VLOOKUP($A144,'OI(Volume)'!$A$7:$O$427,12)</f>
        <v>90000</v>
      </c>
      <c r="L144" s="103">
        <f>VLOOKUP($A144,'OI(Value)'!$A$7:$O$306,8,0)</f>
        <v>245</v>
      </c>
      <c r="M144" s="103">
        <f>VLOOKUP($A144,'OI(Value)'!$A$7:$O$306,9,0)</f>
        <v>38</v>
      </c>
      <c r="N144" s="103">
        <f>VLOOKUP($A144,'OI(Value)'!$A$7:$O$306,11,0)</f>
        <v>130</v>
      </c>
      <c r="O144" s="103">
        <f>VLOOKUP($A144,'OI(Value)'!$A$7:$O$306,12,0)</f>
        <v>12</v>
      </c>
      <c r="P144" s="179">
        <f>VLOOKUP(A144,'OI(Value)'!A144:O345,8,0)</f>
        <v>245</v>
      </c>
      <c r="Q144" s="179">
        <f>VLOOKUP(A144,'OI(Value)'!A144:O345,9,0)</f>
        <v>38</v>
      </c>
      <c r="R144" s="179">
        <f>VLOOKUP(A144,'OI(Value)'!A144:O345,11,0)</f>
        <v>130</v>
      </c>
      <c r="S144" s="179">
        <f>VLOOKUP(A144,'OI(Value)'!A144:O345,11,0)</f>
        <v>130</v>
      </c>
    </row>
    <row r="145" spans="1:19" x14ac:dyDescent="0.25">
      <c r="A145" s="105" t="str">
        <f>'Data shares'!C140</f>
        <v>NHPC</v>
      </c>
      <c r="B145" s="143">
        <f>VLOOKUP($A145,'Data shares'!$C:$FA,118)</f>
        <v>0.48</v>
      </c>
      <c r="C145" s="143">
        <f>VLOOKUP($A145,'Data shares'!$C:$FA,119)</f>
        <v>0.42</v>
      </c>
      <c r="D145" s="143">
        <f>VLOOKUP($A145,'Data shares'!$C:$FA,121)*100</f>
        <v>14.29</v>
      </c>
      <c r="E145" s="143">
        <f>VLOOKUP($A145,'Data shares'!$C:$FA,124)</f>
        <v>0.39</v>
      </c>
      <c r="F145" s="143">
        <f>VLOOKUP($A145,'Data shares'!$C:$FA,125)</f>
        <v>0.28999999999999998</v>
      </c>
      <c r="G145" s="143">
        <f>VLOOKUP($A145,'Data shares'!$C:$FA,127)*100</f>
        <v>34.479999999999997</v>
      </c>
      <c r="H145" s="103">
        <f>VLOOKUP($A145,'OI(Volume)'!$A$7:$O$427,8)</f>
        <v>25561600</v>
      </c>
      <c r="I145" s="103">
        <f>VLOOKUP($A145,'OI(Volume)'!$A$7:$O$427,9)</f>
        <v>320000</v>
      </c>
      <c r="J145" s="103">
        <f>VLOOKUP($A145,'OI(Volume)'!$A$7:$O$427,11)</f>
        <v>12358400</v>
      </c>
      <c r="K145" s="103">
        <f>VLOOKUP($A145,'OI(Volume)'!$A$7:$O$427,12)</f>
        <v>1747200</v>
      </c>
      <c r="L145" s="103">
        <f>VLOOKUP($A145,'OI(Value)'!$A$7:$O$306,8,0)</f>
        <v>205</v>
      </c>
      <c r="M145" s="103">
        <f>VLOOKUP($A145,'OI(Value)'!$A$7:$O$306,9,0)</f>
        <v>3</v>
      </c>
      <c r="N145" s="103">
        <f>VLOOKUP($A145,'OI(Value)'!$A$7:$O$306,11,0)</f>
        <v>99</v>
      </c>
      <c r="O145" s="103">
        <f>VLOOKUP($A145,'OI(Value)'!$A$7:$O$306,12,0)</f>
        <v>14</v>
      </c>
      <c r="P145" s="179">
        <f>VLOOKUP(A145,'OI(Value)'!A145:O346,8,0)</f>
        <v>205</v>
      </c>
      <c r="Q145" s="179">
        <f>VLOOKUP(A145,'OI(Value)'!A145:O346,9,0)</f>
        <v>3</v>
      </c>
      <c r="R145" s="179">
        <f>VLOOKUP(A145,'OI(Value)'!A145:O346,11,0)</f>
        <v>99</v>
      </c>
      <c r="S145" s="179">
        <f>VLOOKUP(A145,'OI(Value)'!A145:O346,11,0)</f>
        <v>99</v>
      </c>
    </row>
    <row r="146" spans="1:19" x14ac:dyDescent="0.25">
      <c r="A146" s="105" t="str">
        <f>'Data shares'!C141</f>
        <v>NIFTY</v>
      </c>
      <c r="B146" s="143">
        <f>VLOOKUP($A146,'Data shares'!$C:$FA,118)</f>
        <v>1.1299999999999999</v>
      </c>
      <c r="C146" s="143">
        <f>VLOOKUP($A146,'Data shares'!$C:$FA,119)</f>
        <v>1.27</v>
      </c>
      <c r="D146" s="143">
        <f>VLOOKUP($A146,'Data shares'!$C:$FA,121)*100</f>
        <v>-11.020000000000001</v>
      </c>
      <c r="E146" s="143">
        <f>VLOOKUP($A146,'Data shares'!$C:$FA,124)</f>
        <v>1.05</v>
      </c>
      <c r="F146" s="143">
        <f>VLOOKUP($A146,'Data shares'!$C:$FA,125)</f>
        <v>0.88</v>
      </c>
      <c r="G146" s="143">
        <f>VLOOKUP($A146,'Data shares'!$C:$FA,127)*100</f>
        <v>19.32</v>
      </c>
      <c r="H146" s="103">
        <f>VLOOKUP($A146,'OI(Volume)'!$A$7:$O$427,8)</f>
        <v>210725375</v>
      </c>
      <c r="I146" s="103">
        <f>VLOOKUP($A146,'OI(Volume)'!$A$7:$O$427,9)</f>
        <v>44683765</v>
      </c>
      <c r="J146" s="103">
        <f>VLOOKUP($A146,'OI(Volume)'!$A$7:$O$427,11)</f>
        <v>238406035</v>
      </c>
      <c r="K146" s="103">
        <f>VLOOKUP($A146,'OI(Volume)'!$A$7:$O$427,12)</f>
        <v>28150995</v>
      </c>
      <c r="L146" s="103">
        <f>VLOOKUP($A146,'OI(Value)'!$A$7:$O$306,8,0)</f>
        <v>554005</v>
      </c>
      <c r="M146" s="103">
        <f>VLOOKUP($A146,'OI(Value)'!$A$7:$O$306,9,0)</f>
        <v>117475</v>
      </c>
      <c r="N146" s="103">
        <f>VLOOKUP($A146,'OI(Value)'!$A$7:$O$306,11,0)</f>
        <v>626779</v>
      </c>
      <c r="O146" s="103">
        <f>VLOOKUP($A146,'OI(Value)'!$A$7:$O$306,12,0)</f>
        <v>74010</v>
      </c>
      <c r="P146" s="179">
        <f>VLOOKUP(A146,'OI(Value)'!A146:O347,8,0)</f>
        <v>554005</v>
      </c>
      <c r="Q146" s="179">
        <f>VLOOKUP(A146,'OI(Value)'!A146:O347,9,0)</f>
        <v>117475</v>
      </c>
      <c r="R146" s="179">
        <f>VLOOKUP(A146,'OI(Value)'!A146:O347,11,0)</f>
        <v>626779</v>
      </c>
      <c r="S146" s="179">
        <f>VLOOKUP(A146,'OI(Value)'!A146:O347,11,0)</f>
        <v>626779</v>
      </c>
    </row>
    <row r="147" spans="1:19" x14ac:dyDescent="0.25">
      <c r="A147" s="105" t="str">
        <f>'Data shares'!C142</f>
        <v>NIFTYNXT50</v>
      </c>
      <c r="B147" s="143">
        <f>VLOOKUP($A147,'Data shares'!$C:$FA,118)</f>
        <v>0.54</v>
      </c>
      <c r="C147" s="143">
        <f>VLOOKUP($A147,'Data shares'!$C:$FA,119)</f>
        <v>0.78</v>
      </c>
      <c r="D147" s="143">
        <f>VLOOKUP($A147,'Data shares'!$C:$FA,121)*100</f>
        <v>-30.769999999999996</v>
      </c>
      <c r="E147" s="143">
        <f>VLOOKUP($A147,'Data shares'!$C:$FA,124)</f>
        <v>0.65</v>
      </c>
      <c r="F147" s="143">
        <f>VLOOKUP($A147,'Data shares'!$C:$FA,125)</f>
        <v>0.32</v>
      </c>
      <c r="G147" s="143">
        <f>VLOOKUP($A147,'Data shares'!$C:$FA,127)*100</f>
        <v>103.13000000000001</v>
      </c>
      <c r="H147" s="103">
        <f>VLOOKUP($A147,'OI(Volume)'!$A$7:$O$427,8)</f>
        <v>2000</v>
      </c>
      <c r="I147" s="103">
        <f>VLOOKUP($A147,'OI(Volume)'!$A$7:$O$427,9)</f>
        <v>875</v>
      </c>
      <c r="J147" s="103">
        <f>VLOOKUP($A147,'OI(Volume)'!$A$7:$O$427,11)</f>
        <v>1075</v>
      </c>
      <c r="K147" s="103">
        <f>VLOOKUP($A147,'OI(Volume)'!$A$7:$O$427,12)</f>
        <v>200</v>
      </c>
      <c r="L147" s="103">
        <f>VLOOKUP($A147,'OI(Value)'!$A$7:$O$306,8,0)</f>
        <v>14</v>
      </c>
      <c r="M147" s="103">
        <f>VLOOKUP($A147,'OI(Value)'!$A$7:$O$306,9,0)</f>
        <v>6</v>
      </c>
      <c r="N147" s="103">
        <f>VLOOKUP($A147,'OI(Value)'!$A$7:$O$306,11,0)</f>
        <v>8</v>
      </c>
      <c r="O147" s="103">
        <f>VLOOKUP($A147,'OI(Value)'!$A$7:$O$306,12,0)</f>
        <v>1</v>
      </c>
      <c r="P147" s="179">
        <f>VLOOKUP(A147,'OI(Value)'!A147:O348,8,0)</f>
        <v>14</v>
      </c>
      <c r="Q147" s="179">
        <f>VLOOKUP(A147,'OI(Value)'!A147:O348,9,0)</f>
        <v>6</v>
      </c>
      <c r="R147" s="179">
        <f>VLOOKUP(A147,'OI(Value)'!A147:O348,11,0)</f>
        <v>8</v>
      </c>
      <c r="S147" s="179">
        <f>VLOOKUP(A147,'OI(Value)'!A147:O348,11,0)</f>
        <v>8</v>
      </c>
    </row>
    <row r="148" spans="1:19" x14ac:dyDescent="0.25">
      <c r="A148" s="105" t="str">
        <f>'Data shares'!C143</f>
        <v>NMDC</v>
      </c>
      <c r="B148" s="143">
        <f>VLOOKUP($A148,'Data shares'!$C:$FA,118)</f>
        <v>0.41</v>
      </c>
      <c r="C148" s="143">
        <f>VLOOKUP($A148,'Data shares'!$C:$FA,119)</f>
        <v>0.39</v>
      </c>
      <c r="D148" s="143">
        <f>VLOOKUP($A148,'Data shares'!$C:$FA,121)*100</f>
        <v>5.13</v>
      </c>
      <c r="E148" s="143">
        <f>VLOOKUP($A148,'Data shares'!$C:$FA,124)</f>
        <v>0.42</v>
      </c>
      <c r="F148" s="143">
        <f>VLOOKUP($A148,'Data shares'!$C:$FA,125)</f>
        <v>0.42</v>
      </c>
      <c r="G148" s="143">
        <f>VLOOKUP($A148,'Data shares'!$C:$FA,127)*100</f>
        <v>0</v>
      </c>
      <c r="H148" s="103">
        <f>VLOOKUP($A148,'OI(Volume)'!$A$7:$O$427,8)</f>
        <v>119988000</v>
      </c>
      <c r="I148" s="103">
        <f>VLOOKUP($A148,'OI(Volume)'!$A$7:$O$427,9)</f>
        <v>1620000</v>
      </c>
      <c r="J148" s="103">
        <f>VLOOKUP($A148,'OI(Volume)'!$A$7:$O$427,11)</f>
        <v>49646250</v>
      </c>
      <c r="K148" s="103">
        <f>VLOOKUP($A148,'OI(Volume)'!$A$7:$O$427,12)</f>
        <v>2949750</v>
      </c>
      <c r="L148" s="103">
        <f>VLOOKUP($A148,'OI(Value)'!$A$7:$O$306,8,0)</f>
        <v>1011</v>
      </c>
      <c r="M148" s="103">
        <f>VLOOKUP($A148,'OI(Value)'!$A$7:$O$306,9,0)</f>
        <v>14</v>
      </c>
      <c r="N148" s="103">
        <f>VLOOKUP($A148,'OI(Value)'!$A$7:$O$306,11,0)</f>
        <v>418</v>
      </c>
      <c r="O148" s="103">
        <f>VLOOKUP($A148,'OI(Value)'!$A$7:$O$306,12,0)</f>
        <v>25</v>
      </c>
      <c r="P148" s="179">
        <f>VLOOKUP(A148,'OI(Value)'!A148:O349,8,0)</f>
        <v>1011</v>
      </c>
      <c r="Q148" s="179">
        <f>VLOOKUP(A148,'OI(Value)'!A148:O349,9,0)</f>
        <v>14</v>
      </c>
      <c r="R148" s="179">
        <f>VLOOKUP(A148,'OI(Value)'!A148:O349,11,0)</f>
        <v>418</v>
      </c>
      <c r="S148" s="179">
        <f>VLOOKUP(A148,'OI(Value)'!A148:O349,11,0)</f>
        <v>418</v>
      </c>
    </row>
    <row r="149" spans="1:19" x14ac:dyDescent="0.25">
      <c r="A149" s="105" t="str">
        <f>'Data shares'!C144</f>
        <v>NTPC</v>
      </c>
      <c r="B149" s="143">
        <f>VLOOKUP($A149,'Data shares'!$C:$FA,118)</f>
        <v>0.86</v>
      </c>
      <c r="C149" s="143">
        <f>VLOOKUP($A149,'Data shares'!$C:$FA,119)</f>
        <v>0.85</v>
      </c>
      <c r="D149" s="143">
        <f>VLOOKUP($A149,'Data shares'!$C:$FA,121)*100</f>
        <v>1.18</v>
      </c>
      <c r="E149" s="143">
        <f>VLOOKUP($A149,'Data shares'!$C:$FA,124)</f>
        <v>0.48</v>
      </c>
      <c r="F149" s="143">
        <f>VLOOKUP($A149,'Data shares'!$C:$FA,125)</f>
        <v>0.48</v>
      </c>
      <c r="G149" s="143">
        <f>VLOOKUP($A149,'Data shares'!$C:$FA,127)*100</f>
        <v>0</v>
      </c>
      <c r="H149" s="103">
        <f>VLOOKUP($A149,'OI(Volume)'!$A$7:$O$427,8)</f>
        <v>22195500</v>
      </c>
      <c r="I149" s="103">
        <f>VLOOKUP($A149,'OI(Volume)'!$A$7:$O$427,9)</f>
        <v>3370500</v>
      </c>
      <c r="J149" s="103">
        <f>VLOOKUP($A149,'OI(Volume)'!$A$7:$O$427,11)</f>
        <v>19140000</v>
      </c>
      <c r="K149" s="103">
        <f>VLOOKUP($A149,'OI(Volume)'!$A$7:$O$427,12)</f>
        <v>3178500</v>
      </c>
      <c r="L149" s="103">
        <f>VLOOKUP($A149,'OI(Value)'!$A$7:$O$306,8,0)</f>
        <v>748</v>
      </c>
      <c r="M149" s="103">
        <f>VLOOKUP($A149,'OI(Value)'!$A$7:$O$306,9,0)</f>
        <v>114</v>
      </c>
      <c r="N149" s="103">
        <f>VLOOKUP($A149,'OI(Value)'!$A$7:$O$306,11,0)</f>
        <v>645</v>
      </c>
      <c r="O149" s="103">
        <f>VLOOKUP($A149,'OI(Value)'!$A$7:$O$306,12,0)</f>
        <v>107</v>
      </c>
      <c r="P149" s="179">
        <f>VLOOKUP(A149,'OI(Value)'!A149:O350,8,0)</f>
        <v>748</v>
      </c>
      <c r="Q149" s="179">
        <f>VLOOKUP(A149,'OI(Value)'!A149:O350,9,0)</f>
        <v>114</v>
      </c>
      <c r="R149" s="179">
        <f>VLOOKUP(A149,'OI(Value)'!A149:O350,11,0)</f>
        <v>645</v>
      </c>
      <c r="S149" s="179">
        <f>VLOOKUP(A149,'OI(Value)'!A149:O350,11,0)</f>
        <v>645</v>
      </c>
    </row>
    <row r="150" spans="1:19" x14ac:dyDescent="0.25">
      <c r="A150" s="105" t="str">
        <f>'Data shares'!C145</f>
        <v>NUVAMA</v>
      </c>
      <c r="B150" s="143">
        <f>VLOOKUP($A150,'Data shares'!$C:$FA,118)</f>
        <v>0.51</v>
      </c>
      <c r="C150" s="143">
        <f>VLOOKUP($A150,'Data shares'!$C:$FA,119)</f>
        <v>0.55000000000000004</v>
      </c>
      <c r="D150" s="143">
        <f>VLOOKUP($A150,'Data shares'!$C:$FA,121)*100</f>
        <v>-7.2700000000000005</v>
      </c>
      <c r="E150" s="143">
        <f>VLOOKUP($A150,'Data shares'!$C:$FA,124)</f>
        <v>0.61</v>
      </c>
      <c r="F150" s="143">
        <f>VLOOKUP($A150,'Data shares'!$C:$FA,125)</f>
        <v>0.4</v>
      </c>
      <c r="G150" s="143">
        <f>VLOOKUP($A150,'Data shares'!$C:$FA,127)*100</f>
        <v>52.5</v>
      </c>
      <c r="H150" s="103">
        <f>VLOOKUP($A150,'OI(Volume)'!$A$7:$O$427,8)</f>
        <v>1201000</v>
      </c>
      <c r="I150" s="103">
        <f>VLOOKUP($A150,'OI(Volume)'!$A$7:$O$427,9)</f>
        <v>116500</v>
      </c>
      <c r="J150" s="103">
        <f>VLOOKUP($A150,'OI(Volume)'!$A$7:$O$427,11)</f>
        <v>616500</v>
      </c>
      <c r="K150" s="103">
        <f>VLOOKUP($A150,'OI(Volume)'!$A$7:$O$427,12)</f>
        <v>18500</v>
      </c>
      <c r="L150" s="103">
        <f>VLOOKUP($A150,'OI(Value)'!$A$7:$O$306,8,0)</f>
        <v>176</v>
      </c>
      <c r="M150" s="103">
        <f>VLOOKUP($A150,'OI(Value)'!$A$7:$O$306,9,0)</f>
        <v>17</v>
      </c>
      <c r="N150" s="103">
        <f>VLOOKUP($A150,'OI(Value)'!$A$7:$O$306,11,0)</f>
        <v>90</v>
      </c>
      <c r="O150" s="103">
        <f>VLOOKUP($A150,'OI(Value)'!$A$7:$O$306,12,0)</f>
        <v>3</v>
      </c>
      <c r="P150" s="179">
        <f>VLOOKUP(A150,'OI(Value)'!A150:O351,8,0)</f>
        <v>176</v>
      </c>
      <c r="Q150" s="179">
        <f>VLOOKUP(A150,'OI(Value)'!A150:O351,9,0)</f>
        <v>17</v>
      </c>
      <c r="R150" s="179">
        <f>VLOOKUP(A150,'OI(Value)'!A150:O351,11,0)</f>
        <v>90</v>
      </c>
      <c r="S150" s="179">
        <f>VLOOKUP(A150,'OI(Value)'!A150:O351,11,0)</f>
        <v>90</v>
      </c>
    </row>
    <row r="151" spans="1:19" x14ac:dyDescent="0.25">
      <c r="A151" s="105" t="str">
        <f>'Data shares'!C146</f>
        <v>NYKAA</v>
      </c>
      <c r="B151" s="143">
        <f>VLOOKUP($A151,'Data shares'!$C:$FA,118)</f>
        <v>0.66</v>
      </c>
      <c r="C151" s="143">
        <f>VLOOKUP($A151,'Data shares'!$C:$FA,119)</f>
        <v>0.6</v>
      </c>
      <c r="D151" s="143">
        <f>VLOOKUP($A151,'Data shares'!$C:$FA,121)*100</f>
        <v>10</v>
      </c>
      <c r="E151" s="143">
        <f>VLOOKUP($A151,'Data shares'!$C:$FA,124)</f>
        <v>0.34</v>
      </c>
      <c r="F151" s="143">
        <f>VLOOKUP($A151,'Data shares'!$C:$FA,125)</f>
        <v>0.3</v>
      </c>
      <c r="G151" s="143">
        <f>VLOOKUP($A151,'Data shares'!$C:$FA,127)*100</f>
        <v>13.33</v>
      </c>
      <c r="H151" s="103">
        <f>VLOOKUP($A151,'OI(Volume)'!$A$7:$O$427,8)</f>
        <v>8037500</v>
      </c>
      <c r="I151" s="103">
        <f>VLOOKUP($A151,'OI(Volume)'!$A$7:$O$427,9)</f>
        <v>-759375</v>
      </c>
      <c r="J151" s="103">
        <f>VLOOKUP($A151,'OI(Volume)'!$A$7:$O$427,11)</f>
        <v>5265625</v>
      </c>
      <c r="K151" s="103">
        <f>VLOOKUP($A151,'OI(Volume)'!$A$7:$O$427,12)</f>
        <v>-31250</v>
      </c>
      <c r="L151" s="103">
        <f>VLOOKUP($A151,'OI(Value)'!$A$7:$O$306,8,0)</f>
        <v>214</v>
      </c>
      <c r="M151" s="103">
        <f>VLOOKUP($A151,'OI(Value)'!$A$7:$O$306,9,0)</f>
        <v>-20</v>
      </c>
      <c r="N151" s="103">
        <f>VLOOKUP($A151,'OI(Value)'!$A$7:$O$306,11,0)</f>
        <v>140</v>
      </c>
      <c r="O151" s="103">
        <f>VLOOKUP($A151,'OI(Value)'!$A$7:$O$306,12,0)</f>
        <v>-1</v>
      </c>
      <c r="P151" s="179">
        <f>VLOOKUP(A151,'OI(Value)'!A151:O352,8,0)</f>
        <v>214</v>
      </c>
      <c r="Q151" s="179">
        <f>VLOOKUP(A151,'OI(Value)'!A151:O352,9,0)</f>
        <v>-20</v>
      </c>
      <c r="R151" s="179">
        <f>VLOOKUP(A151,'OI(Value)'!A151:O352,11,0)</f>
        <v>140</v>
      </c>
      <c r="S151" s="179">
        <f>VLOOKUP(A151,'OI(Value)'!A151:O352,11,0)</f>
        <v>140</v>
      </c>
    </row>
    <row r="152" spans="1:19" x14ac:dyDescent="0.25">
      <c r="A152" s="105" t="str">
        <f>'Data shares'!C147</f>
        <v>OBEROIRLTY</v>
      </c>
      <c r="B152" s="143">
        <f>VLOOKUP($A152,'Data shares'!$C:$FA,118)</f>
        <v>0.92</v>
      </c>
      <c r="C152" s="143">
        <f>VLOOKUP($A152,'Data shares'!$C:$FA,119)</f>
        <v>1.03</v>
      </c>
      <c r="D152" s="143">
        <f>VLOOKUP($A152,'Data shares'!$C:$FA,121)*100</f>
        <v>-10.68</v>
      </c>
      <c r="E152" s="143">
        <f>VLOOKUP($A152,'Data shares'!$C:$FA,124)</f>
        <v>0.31</v>
      </c>
      <c r="F152" s="143">
        <f>VLOOKUP($A152,'Data shares'!$C:$FA,125)</f>
        <v>0.54</v>
      </c>
      <c r="G152" s="143">
        <f>VLOOKUP($A152,'Data shares'!$C:$FA,127)*100</f>
        <v>-42.59</v>
      </c>
      <c r="H152" s="103">
        <f>VLOOKUP($A152,'OI(Volume)'!$A$7:$O$427,8)</f>
        <v>620900</v>
      </c>
      <c r="I152" s="103">
        <f>VLOOKUP($A152,'OI(Volume)'!$A$7:$O$427,9)</f>
        <v>98000</v>
      </c>
      <c r="J152" s="103">
        <f>VLOOKUP($A152,'OI(Volume)'!$A$7:$O$427,11)</f>
        <v>573650</v>
      </c>
      <c r="K152" s="103">
        <f>VLOOKUP($A152,'OI(Volume)'!$A$7:$O$427,12)</f>
        <v>33250</v>
      </c>
      <c r="L152" s="103">
        <f>VLOOKUP($A152,'OI(Value)'!$A$7:$O$306,8,0)</f>
        <v>105</v>
      </c>
      <c r="M152" s="103">
        <f>VLOOKUP($A152,'OI(Value)'!$A$7:$O$306,9,0)</f>
        <v>17</v>
      </c>
      <c r="N152" s="103">
        <f>VLOOKUP($A152,'OI(Value)'!$A$7:$O$306,11,0)</f>
        <v>97</v>
      </c>
      <c r="O152" s="103">
        <f>VLOOKUP($A152,'OI(Value)'!$A$7:$O$306,12,0)</f>
        <v>6</v>
      </c>
      <c r="P152" s="179">
        <f>VLOOKUP(A152,'OI(Value)'!A152:O353,8,0)</f>
        <v>105</v>
      </c>
      <c r="Q152" s="179">
        <f>VLOOKUP(A152,'OI(Value)'!A152:O353,9,0)</f>
        <v>17</v>
      </c>
      <c r="R152" s="179">
        <f>VLOOKUP(A152,'OI(Value)'!A152:O353,11,0)</f>
        <v>97</v>
      </c>
      <c r="S152" s="179">
        <f>VLOOKUP(A152,'OI(Value)'!A152:O353,11,0)</f>
        <v>97</v>
      </c>
    </row>
    <row r="153" spans="1:19" x14ac:dyDescent="0.25">
      <c r="A153" s="105" t="str">
        <f>'Data shares'!C148</f>
        <v>OFSS</v>
      </c>
      <c r="B153" s="143">
        <f>VLOOKUP($A153,'Data shares'!$C:$FA,118)</f>
        <v>0.85</v>
      </c>
      <c r="C153" s="143">
        <f>VLOOKUP($A153,'Data shares'!$C:$FA,119)</f>
        <v>0.92</v>
      </c>
      <c r="D153" s="143">
        <f>VLOOKUP($A153,'Data shares'!$C:$FA,121)*100</f>
        <v>-7.61</v>
      </c>
      <c r="E153" s="143">
        <f>VLOOKUP($A153,'Data shares'!$C:$FA,124)</f>
        <v>0.81</v>
      </c>
      <c r="F153" s="143">
        <f>VLOOKUP($A153,'Data shares'!$C:$FA,125)</f>
        <v>0.84</v>
      </c>
      <c r="G153" s="143">
        <f>VLOOKUP($A153,'Data shares'!$C:$FA,127)*100</f>
        <v>-3.5700000000000003</v>
      </c>
      <c r="H153" s="103">
        <f>VLOOKUP($A153,'OI(Volume)'!$A$7:$O$427,8)</f>
        <v>312375</v>
      </c>
      <c r="I153" s="103">
        <f>VLOOKUP($A153,'OI(Volume)'!$A$7:$O$427,9)</f>
        <v>38025</v>
      </c>
      <c r="J153" s="103">
        <f>VLOOKUP($A153,'OI(Volume)'!$A$7:$O$427,11)</f>
        <v>267000</v>
      </c>
      <c r="K153" s="103">
        <f>VLOOKUP($A153,'OI(Volume)'!$A$7:$O$427,12)</f>
        <v>15000</v>
      </c>
      <c r="L153" s="103">
        <f>VLOOKUP($A153,'OI(Value)'!$A$7:$O$306,8,0)</f>
        <v>241</v>
      </c>
      <c r="M153" s="103">
        <f>VLOOKUP($A153,'OI(Value)'!$A$7:$O$306,9,0)</f>
        <v>29</v>
      </c>
      <c r="N153" s="103">
        <f>VLOOKUP($A153,'OI(Value)'!$A$7:$O$306,11,0)</f>
        <v>206</v>
      </c>
      <c r="O153" s="103">
        <f>VLOOKUP($A153,'OI(Value)'!$A$7:$O$306,12,0)</f>
        <v>12</v>
      </c>
      <c r="P153" s="179">
        <f>VLOOKUP(A153,'OI(Value)'!A153:O354,8,0)</f>
        <v>241</v>
      </c>
      <c r="Q153" s="179">
        <f>VLOOKUP(A153,'OI(Value)'!A153:O354,9,0)</f>
        <v>29</v>
      </c>
      <c r="R153" s="179">
        <f>VLOOKUP(A153,'OI(Value)'!A153:O354,11,0)</f>
        <v>206</v>
      </c>
      <c r="S153" s="179">
        <f>VLOOKUP(A153,'OI(Value)'!A153:O354,11,0)</f>
        <v>206</v>
      </c>
    </row>
    <row r="154" spans="1:19" x14ac:dyDescent="0.25">
      <c r="A154" s="105" t="str">
        <f>'Data shares'!C149</f>
        <v>OIL</v>
      </c>
      <c r="B154" s="143">
        <f>VLOOKUP($A154,'Data shares'!$C:$FA,118)</f>
        <v>0.53</v>
      </c>
      <c r="C154" s="143">
        <f>VLOOKUP($A154,'Data shares'!$C:$FA,119)</f>
        <v>0.52</v>
      </c>
      <c r="D154" s="143">
        <f>VLOOKUP($A154,'Data shares'!$C:$FA,121)*100</f>
        <v>1.92</v>
      </c>
      <c r="E154" s="143">
        <f>VLOOKUP($A154,'Data shares'!$C:$FA,124)</f>
        <v>0.46</v>
      </c>
      <c r="F154" s="143">
        <f>VLOOKUP($A154,'Data shares'!$C:$FA,125)</f>
        <v>0.28999999999999998</v>
      </c>
      <c r="G154" s="143">
        <f>VLOOKUP($A154,'Data shares'!$C:$FA,127)*100</f>
        <v>58.620000000000005</v>
      </c>
      <c r="H154" s="103">
        <f>VLOOKUP($A154,'OI(Volume)'!$A$7:$O$427,8)</f>
        <v>4055800</v>
      </c>
      <c r="I154" s="103">
        <f>VLOOKUP($A154,'OI(Volume)'!$A$7:$O$427,9)</f>
        <v>166600</v>
      </c>
      <c r="J154" s="103">
        <f>VLOOKUP($A154,'OI(Volume)'!$A$7:$O$427,11)</f>
        <v>2149000</v>
      </c>
      <c r="K154" s="103">
        <f>VLOOKUP($A154,'OI(Volume)'!$A$7:$O$427,12)</f>
        <v>116200</v>
      </c>
      <c r="L154" s="103">
        <f>VLOOKUP($A154,'OI(Value)'!$A$7:$O$306,8,0)</f>
        <v>174</v>
      </c>
      <c r="M154" s="103">
        <f>VLOOKUP($A154,'OI(Value)'!$A$7:$O$306,9,0)</f>
        <v>7</v>
      </c>
      <c r="N154" s="103">
        <f>VLOOKUP($A154,'OI(Value)'!$A$7:$O$306,11,0)</f>
        <v>92</v>
      </c>
      <c r="O154" s="103">
        <f>VLOOKUP($A154,'OI(Value)'!$A$7:$O$306,12,0)</f>
        <v>5</v>
      </c>
      <c r="P154" s="179">
        <f>VLOOKUP(A154,'OI(Value)'!A154:O355,8,0)</f>
        <v>174</v>
      </c>
      <c r="Q154" s="179">
        <f>VLOOKUP(A154,'OI(Value)'!A154:O355,9,0)</f>
        <v>7</v>
      </c>
      <c r="R154" s="179">
        <f>VLOOKUP(A154,'OI(Value)'!A154:O355,11,0)</f>
        <v>92</v>
      </c>
      <c r="S154" s="179">
        <f>VLOOKUP(A154,'OI(Value)'!A154:O355,11,0)</f>
        <v>92</v>
      </c>
    </row>
    <row r="155" spans="1:19" x14ac:dyDescent="0.25">
      <c r="A155" s="105" t="str">
        <f>'Data shares'!C150</f>
        <v>ONGC</v>
      </c>
      <c r="B155" s="143">
        <f>VLOOKUP($A155,'Data shares'!$C:$FA,118)</f>
        <v>0.56000000000000005</v>
      </c>
      <c r="C155" s="143">
        <f>VLOOKUP($A155,'Data shares'!$C:$FA,119)</f>
        <v>0.79</v>
      </c>
      <c r="D155" s="143">
        <f>VLOOKUP($A155,'Data shares'!$C:$FA,121)*100</f>
        <v>-29.110000000000003</v>
      </c>
      <c r="E155" s="143">
        <f>VLOOKUP($A155,'Data shares'!$C:$FA,124)</f>
        <v>0.39</v>
      </c>
      <c r="F155" s="143">
        <f>VLOOKUP($A155,'Data shares'!$C:$FA,125)</f>
        <v>0.5</v>
      </c>
      <c r="G155" s="143">
        <f>VLOOKUP($A155,'Data shares'!$C:$FA,127)*100</f>
        <v>-22</v>
      </c>
      <c r="H155" s="103">
        <f>VLOOKUP($A155,'OI(Volume)'!$A$7:$O$427,8)</f>
        <v>34200000</v>
      </c>
      <c r="I155" s="103">
        <f>VLOOKUP($A155,'OI(Volume)'!$A$7:$O$427,9)</f>
        <v>11421000</v>
      </c>
      <c r="J155" s="103">
        <f>VLOOKUP($A155,'OI(Volume)'!$A$7:$O$427,11)</f>
        <v>19003500</v>
      </c>
      <c r="K155" s="103">
        <f>VLOOKUP($A155,'OI(Volume)'!$A$7:$O$427,12)</f>
        <v>931500</v>
      </c>
      <c r="L155" s="103">
        <f>VLOOKUP($A155,'OI(Value)'!$A$7:$O$306,8,0)</f>
        <v>819</v>
      </c>
      <c r="M155" s="103">
        <f>VLOOKUP($A155,'OI(Value)'!$A$7:$O$306,9,0)</f>
        <v>273</v>
      </c>
      <c r="N155" s="103">
        <f>VLOOKUP($A155,'OI(Value)'!$A$7:$O$306,11,0)</f>
        <v>455</v>
      </c>
      <c r="O155" s="103">
        <f>VLOOKUP($A155,'OI(Value)'!$A$7:$O$306,12,0)</f>
        <v>22</v>
      </c>
      <c r="P155" s="179">
        <f>VLOOKUP(A155,'OI(Value)'!A155:O356,8,0)</f>
        <v>819</v>
      </c>
      <c r="Q155" s="179">
        <f>VLOOKUP(A155,'OI(Value)'!A155:O356,9,0)</f>
        <v>273</v>
      </c>
      <c r="R155" s="179">
        <f>VLOOKUP(A155,'OI(Value)'!A155:O356,11,0)</f>
        <v>455</v>
      </c>
      <c r="S155" s="179">
        <f>VLOOKUP(A155,'OI(Value)'!A155:O356,11,0)</f>
        <v>455</v>
      </c>
    </row>
    <row r="156" spans="1:19" x14ac:dyDescent="0.25">
      <c r="A156" s="105" t="str">
        <f>'Data shares'!C151</f>
        <v>PAGEIND</v>
      </c>
      <c r="B156" s="143">
        <f>VLOOKUP($A156,'Data shares'!$C:$FA,118)</f>
        <v>0.61</v>
      </c>
      <c r="C156" s="143">
        <f>VLOOKUP($A156,'Data shares'!$C:$FA,119)</f>
        <v>0.79</v>
      </c>
      <c r="D156" s="143">
        <f>VLOOKUP($A156,'Data shares'!$C:$FA,121)*100</f>
        <v>-22.78</v>
      </c>
      <c r="E156" s="143">
        <f>VLOOKUP($A156,'Data shares'!$C:$FA,124)</f>
        <v>0.42</v>
      </c>
      <c r="F156" s="143">
        <f>VLOOKUP($A156,'Data shares'!$C:$FA,125)</f>
        <v>0.4</v>
      </c>
      <c r="G156" s="143">
        <f>VLOOKUP($A156,'Data shares'!$C:$FA,127)*100</f>
        <v>5</v>
      </c>
      <c r="H156" s="103">
        <f>VLOOKUP($A156,'OI(Volume)'!$A$7:$O$427,8)</f>
        <v>43095</v>
      </c>
      <c r="I156" s="103">
        <f>VLOOKUP($A156,'OI(Volume)'!$A$7:$O$427,9)</f>
        <v>11190</v>
      </c>
      <c r="J156" s="103">
        <f>VLOOKUP($A156,'OI(Volume)'!$A$7:$O$427,11)</f>
        <v>26340</v>
      </c>
      <c r="K156" s="103">
        <f>VLOOKUP($A156,'OI(Volume)'!$A$7:$O$427,12)</f>
        <v>1290</v>
      </c>
      <c r="L156" s="103">
        <f>VLOOKUP($A156,'OI(Value)'!$A$7:$O$306,8,0)</f>
        <v>154</v>
      </c>
      <c r="M156" s="103">
        <f>VLOOKUP($A156,'OI(Value)'!$A$7:$O$306,9,0)</f>
        <v>40</v>
      </c>
      <c r="N156" s="103">
        <f>VLOOKUP($A156,'OI(Value)'!$A$7:$O$306,11,0)</f>
        <v>94</v>
      </c>
      <c r="O156" s="103">
        <f>VLOOKUP($A156,'OI(Value)'!$A$7:$O$306,12,0)</f>
        <v>5</v>
      </c>
      <c r="P156" s="179">
        <f>VLOOKUP(A156,'OI(Value)'!A156:O357,8,0)</f>
        <v>154</v>
      </c>
      <c r="Q156" s="179">
        <f>VLOOKUP(A156,'OI(Value)'!A156:O357,9,0)</f>
        <v>40</v>
      </c>
      <c r="R156" s="179">
        <f>VLOOKUP(A156,'OI(Value)'!A156:O357,11,0)</f>
        <v>94</v>
      </c>
      <c r="S156" s="179">
        <f>VLOOKUP(A156,'OI(Value)'!A156:O357,11,0)</f>
        <v>94</v>
      </c>
    </row>
    <row r="157" spans="1:19" x14ac:dyDescent="0.25">
      <c r="A157" s="105" t="str">
        <f>'Data shares'!C152</f>
        <v>PATANJALI</v>
      </c>
      <c r="B157" s="143">
        <f>VLOOKUP($A157,'Data shares'!$C:$FA,118)</f>
        <v>0.73</v>
      </c>
      <c r="C157" s="143">
        <f>VLOOKUP($A157,'Data shares'!$C:$FA,119)</f>
        <v>0.72</v>
      </c>
      <c r="D157" s="143">
        <f>VLOOKUP($A157,'Data shares'!$C:$FA,121)*100</f>
        <v>1.39</v>
      </c>
      <c r="E157" s="143">
        <f>VLOOKUP($A157,'Data shares'!$C:$FA,124)</f>
        <v>0.44</v>
      </c>
      <c r="F157" s="143">
        <f>VLOOKUP($A157,'Data shares'!$C:$FA,125)</f>
        <v>0.62</v>
      </c>
      <c r="G157" s="143">
        <f>VLOOKUP($A157,'Data shares'!$C:$FA,127)*100</f>
        <v>-29.03</v>
      </c>
      <c r="H157" s="103">
        <f>VLOOKUP($A157,'OI(Volume)'!$A$7:$O$427,8)</f>
        <v>2516400</v>
      </c>
      <c r="I157" s="103">
        <f>VLOOKUP($A157,'OI(Volume)'!$A$7:$O$427,9)</f>
        <v>-27000</v>
      </c>
      <c r="J157" s="103">
        <f>VLOOKUP($A157,'OI(Volume)'!$A$7:$O$427,11)</f>
        <v>1847700</v>
      </c>
      <c r="K157" s="103">
        <f>VLOOKUP($A157,'OI(Volume)'!$A$7:$O$427,12)</f>
        <v>15300</v>
      </c>
      <c r="L157" s="103">
        <f>VLOOKUP($A157,'OI(Value)'!$A$7:$O$306,8,0)</f>
        <v>139</v>
      </c>
      <c r="M157" s="103">
        <f>VLOOKUP($A157,'OI(Value)'!$A$7:$O$306,9,0)</f>
        <v>-1</v>
      </c>
      <c r="N157" s="103">
        <f>VLOOKUP($A157,'OI(Value)'!$A$7:$O$306,11,0)</f>
        <v>102</v>
      </c>
      <c r="O157" s="103">
        <f>VLOOKUP($A157,'OI(Value)'!$A$7:$O$306,12,0)</f>
        <v>1</v>
      </c>
      <c r="P157" s="179">
        <f>VLOOKUP(A157,'OI(Value)'!A157:O358,8,0)</f>
        <v>139</v>
      </c>
      <c r="Q157" s="179">
        <f>VLOOKUP(A157,'OI(Value)'!A157:O358,9,0)</f>
        <v>-1</v>
      </c>
      <c r="R157" s="179">
        <f>VLOOKUP(A157,'OI(Value)'!A157:O358,11,0)</f>
        <v>102</v>
      </c>
      <c r="S157" s="179">
        <f>VLOOKUP(A157,'OI(Value)'!A157:O358,11,0)</f>
        <v>102</v>
      </c>
    </row>
    <row r="158" spans="1:19" x14ac:dyDescent="0.25">
      <c r="A158" s="105" t="str">
        <f>'Data shares'!C153</f>
        <v>PAYTM</v>
      </c>
      <c r="B158" s="143">
        <f>VLOOKUP($A158,'Data shares'!$C:$FA,118)</f>
        <v>0.72</v>
      </c>
      <c r="C158" s="143">
        <f>VLOOKUP($A158,'Data shares'!$C:$FA,119)</f>
        <v>0.69</v>
      </c>
      <c r="D158" s="143">
        <f>VLOOKUP($A158,'Data shares'!$C:$FA,121)*100</f>
        <v>4.3499999999999996</v>
      </c>
      <c r="E158" s="143">
        <f>VLOOKUP($A158,'Data shares'!$C:$FA,124)</f>
        <v>0.39</v>
      </c>
      <c r="F158" s="143">
        <f>VLOOKUP($A158,'Data shares'!$C:$FA,125)</f>
        <v>0.37</v>
      </c>
      <c r="G158" s="143">
        <f>VLOOKUP($A158,'Data shares'!$C:$FA,127)*100</f>
        <v>5.41</v>
      </c>
      <c r="H158" s="103">
        <f>VLOOKUP($A158,'OI(Volume)'!$A$7:$O$427,8)</f>
        <v>3275550</v>
      </c>
      <c r="I158" s="103">
        <f>VLOOKUP($A158,'OI(Volume)'!$A$7:$O$427,9)</f>
        <v>258100</v>
      </c>
      <c r="J158" s="103">
        <f>VLOOKUP($A158,'OI(Volume)'!$A$7:$O$427,11)</f>
        <v>2371475</v>
      </c>
      <c r="K158" s="103">
        <f>VLOOKUP($A158,'OI(Volume)'!$A$7:$O$427,12)</f>
        <v>302325</v>
      </c>
      <c r="L158" s="103">
        <f>VLOOKUP($A158,'OI(Value)'!$A$7:$O$306,8,0)</f>
        <v>426</v>
      </c>
      <c r="M158" s="103">
        <f>VLOOKUP($A158,'OI(Value)'!$A$7:$O$306,9,0)</f>
        <v>34</v>
      </c>
      <c r="N158" s="103">
        <f>VLOOKUP($A158,'OI(Value)'!$A$7:$O$306,11,0)</f>
        <v>308</v>
      </c>
      <c r="O158" s="103">
        <f>VLOOKUP($A158,'OI(Value)'!$A$7:$O$306,12,0)</f>
        <v>39</v>
      </c>
      <c r="P158" s="179">
        <f>VLOOKUP(A158,'OI(Value)'!A158:O359,8,0)</f>
        <v>426</v>
      </c>
      <c r="Q158" s="179">
        <f>VLOOKUP(A158,'OI(Value)'!A158:O359,9,0)</f>
        <v>34</v>
      </c>
      <c r="R158" s="179">
        <f>VLOOKUP(A158,'OI(Value)'!A158:O359,11,0)</f>
        <v>308</v>
      </c>
      <c r="S158" s="179">
        <f>VLOOKUP(A158,'OI(Value)'!A158:O359,11,0)</f>
        <v>308</v>
      </c>
    </row>
    <row r="159" spans="1:19" x14ac:dyDescent="0.25">
      <c r="A159" s="105" t="str">
        <f>'Data shares'!C154</f>
        <v>PERSISTENT</v>
      </c>
      <c r="B159" s="143">
        <f>VLOOKUP($A159,'Data shares'!$C:$FA,118)</f>
        <v>0.72</v>
      </c>
      <c r="C159" s="143">
        <f>VLOOKUP($A159,'Data shares'!$C:$FA,119)</f>
        <v>0.7</v>
      </c>
      <c r="D159" s="143">
        <f>VLOOKUP($A159,'Data shares'!$C:$FA,121)*100</f>
        <v>2.86</v>
      </c>
      <c r="E159" s="143">
        <f>VLOOKUP($A159,'Data shares'!$C:$FA,124)</f>
        <v>0.48</v>
      </c>
      <c r="F159" s="143">
        <f>VLOOKUP($A159,'Data shares'!$C:$FA,125)</f>
        <v>0.56000000000000005</v>
      </c>
      <c r="G159" s="143">
        <f>VLOOKUP($A159,'Data shares'!$C:$FA,127)*100</f>
        <v>-14.29</v>
      </c>
      <c r="H159" s="103">
        <f>VLOOKUP($A159,'OI(Volume)'!$A$7:$O$427,8)</f>
        <v>457200</v>
      </c>
      <c r="I159" s="103">
        <f>VLOOKUP($A159,'OI(Volume)'!$A$7:$O$427,9)</f>
        <v>49500</v>
      </c>
      <c r="J159" s="103">
        <f>VLOOKUP($A159,'OI(Volume)'!$A$7:$O$427,11)</f>
        <v>329300</v>
      </c>
      <c r="K159" s="103">
        <f>VLOOKUP($A159,'OI(Volume)'!$A$7:$O$427,12)</f>
        <v>42900</v>
      </c>
      <c r="L159" s="103">
        <f>VLOOKUP($A159,'OI(Value)'!$A$7:$O$306,8,0)</f>
        <v>288</v>
      </c>
      <c r="M159" s="103">
        <f>VLOOKUP($A159,'OI(Value)'!$A$7:$O$306,9,0)</f>
        <v>31</v>
      </c>
      <c r="N159" s="103">
        <f>VLOOKUP($A159,'OI(Value)'!$A$7:$O$306,11,0)</f>
        <v>208</v>
      </c>
      <c r="O159" s="103">
        <f>VLOOKUP($A159,'OI(Value)'!$A$7:$O$306,12,0)</f>
        <v>27</v>
      </c>
      <c r="P159" s="179">
        <f>VLOOKUP(A159,'OI(Value)'!A159:O360,8,0)</f>
        <v>288</v>
      </c>
      <c r="Q159" s="179">
        <f>VLOOKUP(A159,'OI(Value)'!A159:O360,9,0)</f>
        <v>31</v>
      </c>
      <c r="R159" s="179">
        <f>VLOOKUP(A159,'OI(Value)'!A159:O360,11,0)</f>
        <v>208</v>
      </c>
      <c r="S159" s="179">
        <f>VLOOKUP(A159,'OI(Value)'!A159:O360,11,0)</f>
        <v>208</v>
      </c>
    </row>
    <row r="160" spans="1:19" x14ac:dyDescent="0.25">
      <c r="A160" s="105" t="str">
        <f>'Data shares'!C155</f>
        <v>PETRONET</v>
      </c>
      <c r="B160" s="143">
        <f>VLOOKUP($A160,'Data shares'!$C:$FA,118)</f>
        <v>1.6</v>
      </c>
      <c r="C160" s="143">
        <f>VLOOKUP($A160,'Data shares'!$C:$FA,119)</f>
        <v>1.47</v>
      </c>
      <c r="D160" s="143">
        <f>VLOOKUP($A160,'Data shares'!$C:$FA,121)*100</f>
        <v>8.84</v>
      </c>
      <c r="E160" s="143">
        <f>VLOOKUP($A160,'Data shares'!$C:$FA,124)</f>
        <v>0.44</v>
      </c>
      <c r="F160" s="143">
        <f>VLOOKUP($A160,'Data shares'!$C:$FA,125)</f>
        <v>0.82</v>
      </c>
      <c r="G160" s="143">
        <f>VLOOKUP($A160,'Data shares'!$C:$FA,127)*100</f>
        <v>-46.339999999999996</v>
      </c>
      <c r="H160" s="103">
        <f>VLOOKUP($A160,'OI(Volume)'!$A$7:$O$427,8)</f>
        <v>11360100</v>
      </c>
      <c r="I160" s="103">
        <f>VLOOKUP($A160,'OI(Volume)'!$A$7:$O$427,9)</f>
        <v>-600400</v>
      </c>
      <c r="J160" s="103">
        <f>VLOOKUP($A160,'OI(Volume)'!$A$7:$O$427,11)</f>
        <v>18141200</v>
      </c>
      <c r="K160" s="103">
        <f>VLOOKUP($A160,'OI(Volume)'!$A$7:$O$427,12)</f>
        <v>505400</v>
      </c>
      <c r="L160" s="103">
        <f>VLOOKUP($A160,'OI(Value)'!$A$7:$O$306,8,0)</f>
        <v>329</v>
      </c>
      <c r="M160" s="103">
        <f>VLOOKUP($A160,'OI(Value)'!$A$7:$O$306,9,0)</f>
        <v>-17</v>
      </c>
      <c r="N160" s="103">
        <f>VLOOKUP($A160,'OI(Value)'!$A$7:$O$306,11,0)</f>
        <v>525</v>
      </c>
      <c r="O160" s="103">
        <f>VLOOKUP($A160,'OI(Value)'!$A$7:$O$306,12,0)</f>
        <v>15</v>
      </c>
      <c r="P160" s="179">
        <f>VLOOKUP(A160,'OI(Value)'!A160:O361,8,0)</f>
        <v>329</v>
      </c>
      <c r="Q160" s="179">
        <f>VLOOKUP(A160,'OI(Value)'!A160:O361,9,0)</f>
        <v>-17</v>
      </c>
      <c r="R160" s="179">
        <f>VLOOKUP(A160,'OI(Value)'!A160:O361,11,0)</f>
        <v>525</v>
      </c>
      <c r="S160" s="179">
        <f>VLOOKUP(A160,'OI(Value)'!A160:O361,11,0)</f>
        <v>525</v>
      </c>
    </row>
    <row r="161" spans="1:19" x14ac:dyDescent="0.25">
      <c r="A161" s="105" t="str">
        <f>'Data shares'!C156</f>
        <v>PFC</v>
      </c>
      <c r="B161" s="143">
        <f>VLOOKUP($A161,'Data shares'!$C:$FA,118)</f>
        <v>0.79</v>
      </c>
      <c r="C161" s="143">
        <f>VLOOKUP($A161,'Data shares'!$C:$FA,119)</f>
        <v>0.84</v>
      </c>
      <c r="D161" s="143">
        <f>VLOOKUP($A161,'Data shares'!$C:$FA,121)*100</f>
        <v>-5.9499999999999993</v>
      </c>
      <c r="E161" s="143">
        <f>VLOOKUP($A161,'Data shares'!$C:$FA,124)</f>
        <v>0.21</v>
      </c>
      <c r="F161" s="143">
        <f>VLOOKUP($A161,'Data shares'!$C:$FA,125)</f>
        <v>0.49</v>
      </c>
      <c r="G161" s="143">
        <f>VLOOKUP($A161,'Data shares'!$C:$FA,127)*100</f>
        <v>-57.14</v>
      </c>
      <c r="H161" s="103">
        <f>VLOOKUP($A161,'OI(Volume)'!$A$7:$O$427,8)</f>
        <v>28169700</v>
      </c>
      <c r="I161" s="103">
        <f>VLOOKUP($A161,'OI(Volume)'!$A$7:$O$427,9)</f>
        <v>3822000</v>
      </c>
      <c r="J161" s="103">
        <f>VLOOKUP($A161,'OI(Volume)'!$A$7:$O$427,11)</f>
        <v>22170200</v>
      </c>
      <c r="K161" s="103">
        <f>VLOOKUP($A161,'OI(Volume)'!$A$7:$O$427,12)</f>
        <v>1709500</v>
      </c>
      <c r="L161" s="103">
        <f>VLOOKUP($A161,'OI(Value)'!$A$7:$O$306,8,0)</f>
        <v>1027</v>
      </c>
      <c r="M161" s="103">
        <f>VLOOKUP($A161,'OI(Value)'!$A$7:$O$306,9,0)</f>
        <v>139</v>
      </c>
      <c r="N161" s="103">
        <f>VLOOKUP($A161,'OI(Value)'!$A$7:$O$306,11,0)</f>
        <v>809</v>
      </c>
      <c r="O161" s="103">
        <f>VLOOKUP($A161,'OI(Value)'!$A$7:$O$306,12,0)</f>
        <v>62</v>
      </c>
      <c r="P161" s="179">
        <f>VLOOKUP(A161,'OI(Value)'!A161:O362,8,0)</f>
        <v>1027</v>
      </c>
      <c r="Q161" s="179">
        <f>VLOOKUP(A161,'OI(Value)'!A161:O362,9,0)</f>
        <v>139</v>
      </c>
      <c r="R161" s="179">
        <f>VLOOKUP(A161,'OI(Value)'!A161:O362,11,0)</f>
        <v>809</v>
      </c>
      <c r="S161" s="179">
        <f>VLOOKUP(A161,'OI(Value)'!A161:O362,11,0)</f>
        <v>809</v>
      </c>
    </row>
    <row r="162" spans="1:19" x14ac:dyDescent="0.25">
      <c r="A162" s="105" t="str">
        <f>'Data shares'!C157</f>
        <v>PGEL</v>
      </c>
      <c r="B162" s="143">
        <f>VLOOKUP($A162,'Data shares'!$C:$FA,118)</f>
        <v>0.96</v>
      </c>
      <c r="C162" s="143">
        <f>VLOOKUP($A162,'Data shares'!$C:$FA,119)</f>
        <v>0.95</v>
      </c>
      <c r="D162" s="143">
        <f>VLOOKUP($A162,'Data shares'!$C:$FA,121)*100</f>
        <v>1.05</v>
      </c>
      <c r="E162" s="143">
        <f>VLOOKUP($A162,'Data shares'!$C:$FA,124)</f>
        <v>0.45</v>
      </c>
      <c r="F162" s="143">
        <f>VLOOKUP($A162,'Data shares'!$C:$FA,125)</f>
        <v>0.46</v>
      </c>
      <c r="G162" s="143">
        <f>VLOOKUP($A162,'Data shares'!$C:$FA,127)*100</f>
        <v>-2.17</v>
      </c>
      <c r="H162" s="103">
        <f>VLOOKUP($A162,'OI(Volume)'!$A$7:$O$427,8)</f>
        <v>2713200</v>
      </c>
      <c r="I162" s="103">
        <f>VLOOKUP($A162,'OI(Volume)'!$A$7:$O$427,9)</f>
        <v>125400</v>
      </c>
      <c r="J162" s="103">
        <f>VLOOKUP($A162,'OI(Volume)'!$A$7:$O$427,11)</f>
        <v>2591600</v>
      </c>
      <c r="K162" s="103">
        <f>VLOOKUP($A162,'OI(Volume)'!$A$7:$O$427,12)</f>
        <v>141550</v>
      </c>
      <c r="L162" s="103">
        <f>VLOOKUP($A162,'OI(Value)'!$A$7:$O$306,8,0)</f>
        <v>158</v>
      </c>
      <c r="M162" s="103">
        <f>VLOOKUP($A162,'OI(Value)'!$A$7:$O$306,9,0)</f>
        <v>7</v>
      </c>
      <c r="N162" s="103">
        <f>VLOOKUP($A162,'OI(Value)'!$A$7:$O$306,11,0)</f>
        <v>151</v>
      </c>
      <c r="O162" s="103">
        <f>VLOOKUP($A162,'OI(Value)'!$A$7:$O$306,12,0)</f>
        <v>8</v>
      </c>
      <c r="P162" s="179">
        <f>VLOOKUP(A162,'OI(Value)'!A162:O363,8,0)</f>
        <v>158</v>
      </c>
      <c r="Q162" s="179">
        <f>VLOOKUP(A162,'OI(Value)'!A162:O363,9,0)</f>
        <v>7</v>
      </c>
      <c r="R162" s="179">
        <f>VLOOKUP(A162,'OI(Value)'!A162:O363,11,0)</f>
        <v>151</v>
      </c>
      <c r="S162" s="179">
        <f>VLOOKUP(A162,'OI(Value)'!A162:O363,11,0)</f>
        <v>151</v>
      </c>
    </row>
    <row r="163" spans="1:19" x14ac:dyDescent="0.25">
      <c r="A163" s="105" t="str">
        <f>'Data shares'!C158</f>
        <v>PHOENIXLTD</v>
      </c>
      <c r="B163" s="143">
        <f>VLOOKUP($A163,'Data shares'!$C:$FA,118)</f>
        <v>0.53</v>
      </c>
      <c r="C163" s="143">
        <f>VLOOKUP($A163,'Data shares'!$C:$FA,119)</f>
        <v>0.79</v>
      </c>
      <c r="D163" s="143">
        <f>VLOOKUP($A163,'Data shares'!$C:$FA,121)*100</f>
        <v>-32.910000000000004</v>
      </c>
      <c r="E163" s="143">
        <f>VLOOKUP($A163,'Data shares'!$C:$FA,124)</f>
        <v>0.31</v>
      </c>
      <c r="F163" s="143">
        <f>VLOOKUP($A163,'Data shares'!$C:$FA,125)</f>
        <v>0.73</v>
      </c>
      <c r="G163" s="143">
        <f>VLOOKUP($A163,'Data shares'!$C:$FA,127)*100</f>
        <v>-57.53</v>
      </c>
      <c r="H163" s="103">
        <f>VLOOKUP($A163,'OI(Volume)'!$A$7:$O$427,8)</f>
        <v>417200</v>
      </c>
      <c r="I163" s="103">
        <f>VLOOKUP($A163,'OI(Volume)'!$A$7:$O$427,9)</f>
        <v>124250</v>
      </c>
      <c r="J163" s="103">
        <f>VLOOKUP($A163,'OI(Volume)'!$A$7:$O$427,11)</f>
        <v>219450</v>
      </c>
      <c r="K163" s="103">
        <f>VLOOKUP($A163,'OI(Volume)'!$A$7:$O$427,12)</f>
        <v>-11200</v>
      </c>
      <c r="L163" s="103">
        <f>VLOOKUP($A163,'OI(Value)'!$A$7:$O$306,8,0)</f>
        <v>78</v>
      </c>
      <c r="M163" s="103">
        <f>VLOOKUP($A163,'OI(Value)'!$A$7:$O$306,9,0)</f>
        <v>23</v>
      </c>
      <c r="N163" s="103">
        <f>VLOOKUP($A163,'OI(Value)'!$A$7:$O$306,11,0)</f>
        <v>41</v>
      </c>
      <c r="O163" s="103">
        <f>VLOOKUP($A163,'OI(Value)'!$A$7:$O$306,12,0)</f>
        <v>-2</v>
      </c>
      <c r="P163" s="179">
        <f>VLOOKUP(A163,'OI(Value)'!A163:O364,8,0)</f>
        <v>78</v>
      </c>
      <c r="Q163" s="179">
        <f>VLOOKUP(A163,'OI(Value)'!A163:O364,9,0)</f>
        <v>23</v>
      </c>
      <c r="R163" s="179">
        <f>VLOOKUP(A163,'OI(Value)'!A163:O364,11,0)</f>
        <v>41</v>
      </c>
      <c r="S163" s="179">
        <f>VLOOKUP(A163,'OI(Value)'!A163:O364,11,0)</f>
        <v>41</v>
      </c>
    </row>
    <row r="164" spans="1:19" x14ac:dyDescent="0.25">
      <c r="A164" s="105" t="str">
        <f>'Data shares'!C159</f>
        <v>PIDILITIND</v>
      </c>
      <c r="B164" s="143">
        <f>VLOOKUP($A164,'Data shares'!$C:$FA,118)</f>
        <v>0.89</v>
      </c>
      <c r="C164" s="143">
        <f>VLOOKUP($A164,'Data shares'!$C:$FA,119)</f>
        <v>0.86</v>
      </c>
      <c r="D164" s="143">
        <f>VLOOKUP($A164,'Data shares'!$C:$FA,121)*100</f>
        <v>3.49</v>
      </c>
      <c r="E164" s="143">
        <f>VLOOKUP($A164,'Data shares'!$C:$FA,124)</f>
        <v>0.48</v>
      </c>
      <c r="F164" s="143">
        <f>VLOOKUP($A164,'Data shares'!$C:$FA,125)</f>
        <v>0.38</v>
      </c>
      <c r="G164" s="143">
        <f>VLOOKUP($A164,'Data shares'!$C:$FA,127)*100</f>
        <v>26.32</v>
      </c>
      <c r="H164" s="103">
        <f>VLOOKUP($A164,'OI(Volume)'!$A$7:$O$427,8)</f>
        <v>759500</v>
      </c>
      <c r="I164" s="103">
        <f>VLOOKUP($A164,'OI(Volume)'!$A$7:$O$427,9)</f>
        <v>32000</v>
      </c>
      <c r="J164" s="103">
        <f>VLOOKUP($A164,'OI(Volume)'!$A$7:$O$427,11)</f>
        <v>675000</v>
      </c>
      <c r="K164" s="103">
        <f>VLOOKUP($A164,'OI(Volume)'!$A$7:$O$427,12)</f>
        <v>50500</v>
      </c>
      <c r="L164" s="103">
        <f>VLOOKUP($A164,'OI(Value)'!$A$7:$O$306,8,0)</f>
        <v>112</v>
      </c>
      <c r="M164" s="103">
        <f>VLOOKUP($A164,'OI(Value)'!$A$7:$O$306,9,0)</f>
        <v>5</v>
      </c>
      <c r="N164" s="103">
        <f>VLOOKUP($A164,'OI(Value)'!$A$7:$O$306,11,0)</f>
        <v>100</v>
      </c>
      <c r="O164" s="103">
        <f>VLOOKUP($A164,'OI(Value)'!$A$7:$O$306,12,0)</f>
        <v>7</v>
      </c>
      <c r="P164" s="179">
        <f>VLOOKUP(A164,'OI(Value)'!A164:O365,8,0)</f>
        <v>112</v>
      </c>
      <c r="Q164" s="179">
        <f>VLOOKUP(A164,'OI(Value)'!A164:O365,9,0)</f>
        <v>5</v>
      </c>
      <c r="R164" s="179">
        <f>VLOOKUP(A164,'OI(Value)'!A164:O365,11,0)</f>
        <v>100</v>
      </c>
      <c r="S164" s="179">
        <f>VLOOKUP(A164,'OI(Value)'!A164:O365,11,0)</f>
        <v>100</v>
      </c>
    </row>
    <row r="165" spans="1:19" x14ac:dyDescent="0.25">
      <c r="A165" s="105" t="str">
        <f>'Data shares'!C160</f>
        <v>PIIND</v>
      </c>
      <c r="B165" s="143">
        <f>VLOOKUP($A165,'Data shares'!$C:$FA,118)</f>
        <v>0.87</v>
      </c>
      <c r="C165" s="143">
        <f>VLOOKUP($A165,'Data shares'!$C:$FA,119)</f>
        <v>0.95</v>
      </c>
      <c r="D165" s="143">
        <f>VLOOKUP($A165,'Data shares'!$C:$FA,121)*100</f>
        <v>-8.42</v>
      </c>
      <c r="E165" s="143">
        <f>VLOOKUP($A165,'Data shares'!$C:$FA,124)</f>
        <v>0.45</v>
      </c>
      <c r="F165" s="143">
        <f>VLOOKUP($A165,'Data shares'!$C:$FA,125)</f>
        <v>0.45</v>
      </c>
      <c r="G165" s="143">
        <f>VLOOKUP($A165,'Data shares'!$C:$FA,127)*100</f>
        <v>0</v>
      </c>
      <c r="H165" s="103">
        <f>VLOOKUP($A165,'OI(Volume)'!$A$7:$O$427,8)</f>
        <v>324625</v>
      </c>
      <c r="I165" s="103">
        <f>VLOOKUP($A165,'OI(Volume)'!$A$7:$O$427,9)</f>
        <v>44100</v>
      </c>
      <c r="J165" s="103">
        <f>VLOOKUP($A165,'OI(Volume)'!$A$7:$O$427,11)</f>
        <v>281925</v>
      </c>
      <c r="K165" s="103">
        <f>VLOOKUP($A165,'OI(Volume)'!$A$7:$O$427,12)</f>
        <v>16800</v>
      </c>
      <c r="L165" s="103">
        <f>VLOOKUP($A165,'OI(Value)'!$A$7:$O$306,8,0)</f>
        <v>105</v>
      </c>
      <c r="M165" s="103">
        <f>VLOOKUP($A165,'OI(Value)'!$A$7:$O$306,9,0)</f>
        <v>14</v>
      </c>
      <c r="N165" s="103">
        <f>VLOOKUP($A165,'OI(Value)'!$A$7:$O$306,11,0)</f>
        <v>91</v>
      </c>
      <c r="O165" s="103">
        <f>VLOOKUP($A165,'OI(Value)'!$A$7:$O$306,12,0)</f>
        <v>5</v>
      </c>
      <c r="P165" s="179">
        <f>VLOOKUP(A165,'OI(Value)'!A165:O366,8,0)</f>
        <v>105</v>
      </c>
      <c r="Q165" s="179">
        <f>VLOOKUP(A165,'OI(Value)'!A165:O366,9,0)</f>
        <v>14</v>
      </c>
      <c r="R165" s="179">
        <f>VLOOKUP(A165,'OI(Value)'!A165:O366,11,0)</f>
        <v>91</v>
      </c>
      <c r="S165" s="179">
        <f>VLOOKUP(A165,'OI(Value)'!A165:O366,11,0)</f>
        <v>91</v>
      </c>
    </row>
    <row r="166" spans="1:19" x14ac:dyDescent="0.25">
      <c r="A166" s="105" t="str">
        <f>'Data shares'!C161</f>
        <v>PNB</v>
      </c>
      <c r="B166" s="143">
        <f>VLOOKUP($A166,'Data shares'!$C:$FA,118)</f>
        <v>1.02</v>
      </c>
      <c r="C166" s="143">
        <f>VLOOKUP($A166,'Data shares'!$C:$FA,119)</f>
        <v>1.02</v>
      </c>
      <c r="D166" s="143">
        <f>VLOOKUP($A166,'Data shares'!$C:$FA,121)*100</f>
        <v>0</v>
      </c>
      <c r="E166" s="143">
        <f>VLOOKUP($A166,'Data shares'!$C:$FA,124)</f>
        <v>0.75</v>
      </c>
      <c r="F166" s="143">
        <f>VLOOKUP($A166,'Data shares'!$C:$FA,125)</f>
        <v>0.79</v>
      </c>
      <c r="G166" s="143">
        <f>VLOOKUP($A166,'Data shares'!$C:$FA,127)*100</f>
        <v>-5.0599999999999996</v>
      </c>
      <c r="H166" s="103">
        <f>VLOOKUP($A166,'OI(Volume)'!$A$7:$O$427,8)</f>
        <v>55912000</v>
      </c>
      <c r="I166" s="103">
        <f>VLOOKUP($A166,'OI(Volume)'!$A$7:$O$427,9)</f>
        <v>4312000</v>
      </c>
      <c r="J166" s="103">
        <f>VLOOKUP($A166,'OI(Volume)'!$A$7:$O$427,11)</f>
        <v>56976000</v>
      </c>
      <c r="K166" s="103">
        <f>VLOOKUP($A166,'OI(Volume)'!$A$7:$O$427,12)</f>
        <v>4120000</v>
      </c>
      <c r="L166" s="103">
        <f>VLOOKUP($A166,'OI(Value)'!$A$7:$O$306,8,0)</f>
        <v>697</v>
      </c>
      <c r="M166" s="103">
        <f>VLOOKUP($A166,'OI(Value)'!$A$7:$O$306,9,0)</f>
        <v>54</v>
      </c>
      <c r="N166" s="103">
        <f>VLOOKUP($A166,'OI(Value)'!$A$7:$O$306,11,0)</f>
        <v>710</v>
      </c>
      <c r="O166" s="103">
        <f>VLOOKUP($A166,'OI(Value)'!$A$7:$O$306,12,0)</f>
        <v>51</v>
      </c>
      <c r="P166" s="179">
        <f>VLOOKUP(A166,'OI(Value)'!A166:O367,8,0)</f>
        <v>697</v>
      </c>
      <c r="Q166" s="179">
        <f>VLOOKUP(A166,'OI(Value)'!A166:O367,9,0)</f>
        <v>54</v>
      </c>
      <c r="R166" s="179">
        <f>VLOOKUP(A166,'OI(Value)'!A166:O367,11,0)</f>
        <v>710</v>
      </c>
      <c r="S166" s="179">
        <f>VLOOKUP(A166,'OI(Value)'!A166:O367,11,0)</f>
        <v>710</v>
      </c>
    </row>
    <row r="167" spans="1:19" x14ac:dyDescent="0.25">
      <c r="A167" s="105" t="str">
        <f>'Data shares'!C162</f>
        <v>PNBHOUSING</v>
      </c>
      <c r="B167" s="143">
        <f>VLOOKUP($A167,'Data shares'!$C:$FA,118)</f>
        <v>0.64</v>
      </c>
      <c r="C167" s="143">
        <f>VLOOKUP($A167,'Data shares'!$C:$FA,119)</f>
        <v>0.61</v>
      </c>
      <c r="D167" s="143">
        <f>VLOOKUP($A167,'Data shares'!$C:$FA,121)*100</f>
        <v>4.92</v>
      </c>
      <c r="E167" s="143">
        <f>VLOOKUP($A167,'Data shares'!$C:$FA,124)</f>
        <v>0.25</v>
      </c>
      <c r="F167" s="143">
        <f>VLOOKUP($A167,'Data shares'!$C:$FA,125)</f>
        <v>0.39</v>
      </c>
      <c r="G167" s="143">
        <f>VLOOKUP($A167,'Data shares'!$C:$FA,127)*100</f>
        <v>-35.9</v>
      </c>
      <c r="H167" s="103">
        <f>VLOOKUP($A167,'OI(Volume)'!$A$7:$O$427,8)</f>
        <v>2873000</v>
      </c>
      <c r="I167" s="103">
        <f>VLOOKUP($A167,'OI(Volume)'!$A$7:$O$427,9)</f>
        <v>656500</v>
      </c>
      <c r="J167" s="103">
        <f>VLOOKUP($A167,'OI(Volume)'!$A$7:$O$427,11)</f>
        <v>1845350</v>
      </c>
      <c r="K167" s="103">
        <f>VLOOKUP($A167,'OI(Volume)'!$A$7:$O$427,12)</f>
        <v>503100</v>
      </c>
      <c r="L167" s="103">
        <f>VLOOKUP($A167,'OI(Value)'!$A$7:$O$306,8,0)</f>
        <v>285</v>
      </c>
      <c r="M167" s="103">
        <f>VLOOKUP($A167,'OI(Value)'!$A$7:$O$306,9,0)</f>
        <v>65</v>
      </c>
      <c r="N167" s="103">
        <f>VLOOKUP($A167,'OI(Value)'!$A$7:$O$306,11,0)</f>
        <v>183</v>
      </c>
      <c r="O167" s="103">
        <f>VLOOKUP($A167,'OI(Value)'!$A$7:$O$306,12,0)</f>
        <v>50</v>
      </c>
      <c r="P167" s="179">
        <f>VLOOKUP(A167,'OI(Value)'!A167:O368,8,0)</f>
        <v>285</v>
      </c>
      <c r="Q167" s="179">
        <f>VLOOKUP(A167,'OI(Value)'!A167:O368,9,0)</f>
        <v>65</v>
      </c>
      <c r="R167" s="179">
        <f>VLOOKUP(A167,'OI(Value)'!A167:O368,11,0)</f>
        <v>183</v>
      </c>
      <c r="S167" s="179">
        <f>VLOOKUP(A167,'OI(Value)'!A167:O368,11,0)</f>
        <v>183</v>
      </c>
    </row>
    <row r="168" spans="1:19" x14ac:dyDescent="0.25">
      <c r="A168" s="105" t="str">
        <f>'Data shares'!C163</f>
        <v>POLICYBZR</v>
      </c>
      <c r="B168" s="143">
        <f>VLOOKUP($A168,'Data shares'!$C:$FA,118)</f>
        <v>0.8</v>
      </c>
      <c r="C168" s="143">
        <f>VLOOKUP($A168,'Data shares'!$C:$FA,119)</f>
        <v>0.76</v>
      </c>
      <c r="D168" s="143">
        <f>VLOOKUP($A168,'Data shares'!$C:$FA,121)*100</f>
        <v>5.26</v>
      </c>
      <c r="E168" s="143">
        <f>VLOOKUP($A168,'Data shares'!$C:$FA,124)</f>
        <v>1.1399999999999999</v>
      </c>
      <c r="F168" s="143">
        <f>VLOOKUP($A168,'Data shares'!$C:$FA,125)</f>
        <v>1.1000000000000001</v>
      </c>
      <c r="G168" s="143">
        <f>VLOOKUP($A168,'Data shares'!$C:$FA,127)*100</f>
        <v>3.64</v>
      </c>
      <c r="H168" s="103">
        <f>VLOOKUP($A168,'OI(Volume)'!$A$7:$O$427,8)</f>
        <v>1069950</v>
      </c>
      <c r="I168" s="103">
        <f>VLOOKUP($A168,'OI(Volume)'!$A$7:$O$427,9)</f>
        <v>186550</v>
      </c>
      <c r="J168" s="103">
        <f>VLOOKUP($A168,'OI(Volume)'!$A$7:$O$427,11)</f>
        <v>852950</v>
      </c>
      <c r="K168" s="103">
        <f>VLOOKUP($A168,'OI(Volume)'!$A$7:$O$427,12)</f>
        <v>179200</v>
      </c>
      <c r="L168" s="103">
        <f>VLOOKUP($A168,'OI(Value)'!$A$7:$O$306,8,0)</f>
        <v>195</v>
      </c>
      <c r="M168" s="103">
        <f>VLOOKUP($A168,'OI(Value)'!$A$7:$O$306,9,0)</f>
        <v>34</v>
      </c>
      <c r="N168" s="103">
        <f>VLOOKUP($A168,'OI(Value)'!$A$7:$O$306,11,0)</f>
        <v>155</v>
      </c>
      <c r="O168" s="103">
        <f>VLOOKUP($A168,'OI(Value)'!$A$7:$O$306,12,0)</f>
        <v>33</v>
      </c>
      <c r="P168" s="179">
        <f>VLOOKUP(A168,'OI(Value)'!A168:O369,8,0)</f>
        <v>195</v>
      </c>
      <c r="Q168" s="179">
        <f>VLOOKUP(A168,'OI(Value)'!A168:O369,9,0)</f>
        <v>34</v>
      </c>
      <c r="R168" s="179">
        <f>VLOOKUP(A168,'OI(Value)'!A168:O369,11,0)</f>
        <v>155</v>
      </c>
      <c r="S168" s="179">
        <f>VLOOKUP(A168,'OI(Value)'!A168:O369,11,0)</f>
        <v>155</v>
      </c>
    </row>
    <row r="169" spans="1:19" x14ac:dyDescent="0.25">
      <c r="A169" s="105" t="str">
        <f>'Data shares'!C164</f>
        <v>POLYCAB</v>
      </c>
      <c r="B169" s="143">
        <f>VLOOKUP($A169,'Data shares'!$C:$FA,118)</f>
        <v>0.73</v>
      </c>
      <c r="C169" s="143">
        <f>VLOOKUP($A169,'Data shares'!$C:$FA,119)</f>
        <v>0.72</v>
      </c>
      <c r="D169" s="143">
        <f>VLOOKUP($A169,'Data shares'!$C:$FA,121)*100</f>
        <v>1.39</v>
      </c>
      <c r="E169" s="143">
        <f>VLOOKUP($A169,'Data shares'!$C:$FA,124)</f>
        <v>0.52</v>
      </c>
      <c r="F169" s="143">
        <f>VLOOKUP($A169,'Data shares'!$C:$FA,125)</f>
        <v>0.55000000000000004</v>
      </c>
      <c r="G169" s="143">
        <f>VLOOKUP($A169,'Data shares'!$C:$FA,127)*100</f>
        <v>-5.45</v>
      </c>
      <c r="H169" s="103">
        <f>VLOOKUP($A169,'OI(Volume)'!$A$7:$O$427,8)</f>
        <v>346625</v>
      </c>
      <c r="I169" s="103">
        <f>VLOOKUP($A169,'OI(Volume)'!$A$7:$O$427,9)</f>
        <v>25250</v>
      </c>
      <c r="J169" s="103">
        <f>VLOOKUP($A169,'OI(Volume)'!$A$7:$O$427,11)</f>
        <v>254125</v>
      </c>
      <c r="K169" s="103">
        <f>VLOOKUP($A169,'OI(Volume)'!$A$7:$O$427,12)</f>
        <v>23500</v>
      </c>
      <c r="L169" s="103">
        <f>VLOOKUP($A169,'OI(Value)'!$A$7:$O$306,8,0)</f>
        <v>268</v>
      </c>
      <c r="M169" s="103">
        <f>VLOOKUP($A169,'OI(Value)'!$A$7:$O$306,9,0)</f>
        <v>19</v>
      </c>
      <c r="N169" s="103">
        <f>VLOOKUP($A169,'OI(Value)'!$A$7:$O$306,11,0)</f>
        <v>196</v>
      </c>
      <c r="O169" s="103">
        <f>VLOOKUP($A169,'OI(Value)'!$A$7:$O$306,12,0)</f>
        <v>18</v>
      </c>
      <c r="P169" s="179">
        <f>VLOOKUP(A169,'OI(Value)'!A169:O370,8,0)</f>
        <v>268</v>
      </c>
      <c r="Q169" s="179">
        <f>VLOOKUP(A169,'OI(Value)'!A169:O370,9,0)</f>
        <v>19</v>
      </c>
      <c r="R169" s="179">
        <f>VLOOKUP(A169,'OI(Value)'!A169:O370,11,0)</f>
        <v>196</v>
      </c>
      <c r="S169" s="179">
        <f>VLOOKUP(A169,'OI(Value)'!A169:O370,11,0)</f>
        <v>196</v>
      </c>
    </row>
    <row r="170" spans="1:19" x14ac:dyDescent="0.25">
      <c r="A170" s="105" t="str">
        <f>'Data shares'!C165</f>
        <v>POWERGRID</v>
      </c>
      <c r="B170" s="143">
        <f>VLOOKUP($A170,'Data shares'!$C:$FA,118)</f>
        <v>0.79</v>
      </c>
      <c r="C170" s="143">
        <f>VLOOKUP($A170,'Data shares'!$C:$FA,119)</f>
        <v>0.88</v>
      </c>
      <c r="D170" s="143">
        <f>VLOOKUP($A170,'Data shares'!$C:$FA,121)*100</f>
        <v>-10.23</v>
      </c>
      <c r="E170" s="143">
        <f>VLOOKUP($A170,'Data shares'!$C:$FA,124)</f>
        <v>0.36</v>
      </c>
      <c r="F170" s="143">
        <f>VLOOKUP($A170,'Data shares'!$C:$FA,125)</f>
        <v>0.45</v>
      </c>
      <c r="G170" s="143">
        <f>VLOOKUP($A170,'Data shares'!$C:$FA,127)*100</f>
        <v>-20</v>
      </c>
      <c r="H170" s="103">
        <f>VLOOKUP($A170,'OI(Volume)'!$A$7:$O$427,8)</f>
        <v>20607400</v>
      </c>
      <c r="I170" s="103">
        <f>VLOOKUP($A170,'OI(Volume)'!$A$7:$O$427,9)</f>
        <v>3117900</v>
      </c>
      <c r="J170" s="103">
        <f>VLOOKUP($A170,'OI(Volume)'!$A$7:$O$427,11)</f>
        <v>16319100</v>
      </c>
      <c r="K170" s="103">
        <f>VLOOKUP($A170,'OI(Volume)'!$A$7:$O$427,12)</f>
        <v>860700</v>
      </c>
      <c r="L170" s="103">
        <f>VLOOKUP($A170,'OI(Value)'!$A$7:$O$306,8,0)</f>
        <v>553</v>
      </c>
      <c r="M170" s="103">
        <f>VLOOKUP($A170,'OI(Value)'!$A$7:$O$306,9,0)</f>
        <v>84</v>
      </c>
      <c r="N170" s="103">
        <f>VLOOKUP($A170,'OI(Value)'!$A$7:$O$306,11,0)</f>
        <v>438</v>
      </c>
      <c r="O170" s="103">
        <f>VLOOKUP($A170,'OI(Value)'!$A$7:$O$306,12,0)</f>
        <v>23</v>
      </c>
      <c r="P170" s="179">
        <f>VLOOKUP(A170,'OI(Value)'!A170:O371,8,0)</f>
        <v>553</v>
      </c>
      <c r="Q170" s="179">
        <f>VLOOKUP(A170,'OI(Value)'!A170:O371,9,0)</f>
        <v>84</v>
      </c>
      <c r="R170" s="179">
        <f>VLOOKUP(A170,'OI(Value)'!A170:O371,11,0)</f>
        <v>438</v>
      </c>
      <c r="S170" s="179">
        <f>VLOOKUP(A170,'OI(Value)'!A170:O371,11,0)</f>
        <v>438</v>
      </c>
    </row>
    <row r="171" spans="1:19" x14ac:dyDescent="0.25">
      <c r="A171" s="105" t="str">
        <f>'Data shares'!C166</f>
        <v>POWERINDIA</v>
      </c>
      <c r="B171" s="143">
        <f>VLOOKUP($A171,'Data shares'!$C:$FA,118)</f>
        <v>0.5</v>
      </c>
      <c r="C171" s="143">
        <f>VLOOKUP($A171,'Data shares'!$C:$FA,119)</f>
        <v>0.44</v>
      </c>
      <c r="D171" s="143">
        <f>VLOOKUP($A171,'Data shares'!$C:$FA,121)*100</f>
        <v>13.639999999999999</v>
      </c>
      <c r="E171" s="143">
        <f>VLOOKUP($A171,'Data shares'!$C:$FA,124)</f>
        <v>0.32</v>
      </c>
      <c r="F171" s="143">
        <f>VLOOKUP($A171,'Data shares'!$C:$FA,125)</f>
        <v>0.24</v>
      </c>
      <c r="G171" s="143">
        <f>VLOOKUP($A171,'Data shares'!$C:$FA,127)*100</f>
        <v>33.33</v>
      </c>
      <c r="H171" s="103">
        <f>VLOOKUP($A171,'OI(Volume)'!$A$7:$O$427,8)</f>
        <v>66400</v>
      </c>
      <c r="I171" s="103">
        <f>VLOOKUP($A171,'OI(Volume)'!$A$7:$O$427,9)</f>
        <v>-4500</v>
      </c>
      <c r="J171" s="103">
        <f>VLOOKUP($A171,'OI(Volume)'!$A$7:$O$427,11)</f>
        <v>33150</v>
      </c>
      <c r="K171" s="103">
        <f>VLOOKUP($A171,'OI(Volume)'!$A$7:$O$427,12)</f>
        <v>2100</v>
      </c>
      <c r="L171" s="103">
        <f>VLOOKUP($A171,'OI(Value)'!$A$7:$O$306,8,0)</f>
        <v>123</v>
      </c>
      <c r="M171" s="103">
        <f>VLOOKUP($A171,'OI(Value)'!$A$7:$O$306,9,0)</f>
        <v>-8</v>
      </c>
      <c r="N171" s="103">
        <f>VLOOKUP($A171,'OI(Value)'!$A$7:$O$306,11,0)</f>
        <v>62</v>
      </c>
      <c r="O171" s="103">
        <f>VLOOKUP($A171,'OI(Value)'!$A$7:$O$306,12,0)</f>
        <v>4</v>
      </c>
      <c r="P171" s="179">
        <f>VLOOKUP(A171,'OI(Value)'!A171:O372,8,0)</f>
        <v>123</v>
      </c>
      <c r="Q171" s="179">
        <f>VLOOKUP(A171,'OI(Value)'!A171:O372,9,0)</f>
        <v>-8</v>
      </c>
      <c r="R171" s="179">
        <f>VLOOKUP(A171,'OI(Value)'!A171:O372,11,0)</f>
        <v>62</v>
      </c>
      <c r="S171" s="179">
        <f>VLOOKUP(A171,'OI(Value)'!A171:O372,11,0)</f>
        <v>62</v>
      </c>
    </row>
    <row r="172" spans="1:19" x14ac:dyDescent="0.25">
      <c r="A172" s="105" t="str">
        <f>'Data shares'!C167</f>
        <v>PPLPHARMA</v>
      </c>
      <c r="B172" s="143">
        <f>VLOOKUP($A172,'Data shares'!$C:$FA,118)</f>
        <v>0.71</v>
      </c>
      <c r="C172" s="143">
        <f>VLOOKUP($A172,'Data shares'!$C:$FA,119)</f>
        <v>0.7</v>
      </c>
      <c r="D172" s="143">
        <f>VLOOKUP($A172,'Data shares'!$C:$FA,121)*100</f>
        <v>1.43</v>
      </c>
      <c r="E172" s="143">
        <f>VLOOKUP($A172,'Data shares'!$C:$FA,124)</f>
        <v>0.48</v>
      </c>
      <c r="F172" s="143">
        <f>VLOOKUP($A172,'Data shares'!$C:$FA,125)</f>
        <v>0.14000000000000001</v>
      </c>
      <c r="G172" s="143">
        <f>VLOOKUP($A172,'Data shares'!$C:$FA,127)*100</f>
        <v>242.85999999999999</v>
      </c>
      <c r="H172" s="103">
        <f>VLOOKUP($A172,'OI(Volume)'!$A$7:$O$427,8)</f>
        <v>5011125</v>
      </c>
      <c r="I172" s="103">
        <f>VLOOKUP($A172,'OI(Volume)'!$A$7:$O$427,9)</f>
        <v>370125</v>
      </c>
      <c r="J172" s="103">
        <f>VLOOKUP($A172,'OI(Volume)'!$A$7:$O$427,11)</f>
        <v>3577875</v>
      </c>
      <c r="K172" s="103">
        <f>VLOOKUP($A172,'OI(Volume)'!$A$7:$O$427,12)</f>
        <v>312375</v>
      </c>
      <c r="L172" s="103">
        <f>VLOOKUP($A172,'OI(Value)'!$A$7:$O$306,8,0)</f>
        <v>86</v>
      </c>
      <c r="M172" s="103">
        <f>VLOOKUP($A172,'OI(Value)'!$A$7:$O$306,9,0)</f>
        <v>6</v>
      </c>
      <c r="N172" s="103">
        <f>VLOOKUP($A172,'OI(Value)'!$A$7:$O$306,11,0)</f>
        <v>61</v>
      </c>
      <c r="O172" s="103">
        <f>VLOOKUP($A172,'OI(Value)'!$A$7:$O$306,12,0)</f>
        <v>5</v>
      </c>
      <c r="P172" s="179">
        <f>VLOOKUP(A172,'OI(Value)'!A172:O373,8,0)</f>
        <v>86</v>
      </c>
      <c r="Q172" s="179">
        <f>VLOOKUP(A172,'OI(Value)'!A172:O373,9,0)</f>
        <v>6</v>
      </c>
      <c r="R172" s="179">
        <f>VLOOKUP(A172,'OI(Value)'!A172:O373,11,0)</f>
        <v>61</v>
      </c>
      <c r="S172" s="179">
        <f>VLOOKUP(A172,'OI(Value)'!A172:O373,11,0)</f>
        <v>61</v>
      </c>
    </row>
    <row r="173" spans="1:19" x14ac:dyDescent="0.25">
      <c r="A173" s="105" t="str">
        <f>'Data shares'!C168</f>
        <v>PREMIERENE</v>
      </c>
      <c r="B173" s="143">
        <f>VLOOKUP($A173,'Data shares'!$C:$FA,118)</f>
        <v>0.56999999999999995</v>
      </c>
      <c r="C173" s="143">
        <f>VLOOKUP($A173,'Data shares'!$C:$FA,119)</f>
        <v>0.5</v>
      </c>
      <c r="D173" s="143">
        <f>VLOOKUP($A173,'Data shares'!$C:$FA,121)*100</f>
        <v>14.000000000000002</v>
      </c>
      <c r="E173" s="143">
        <f>VLOOKUP($A173,'Data shares'!$C:$FA,124)</f>
        <v>0.61</v>
      </c>
      <c r="F173" s="143">
        <f>VLOOKUP($A173,'Data shares'!$C:$FA,125)</f>
        <v>0.75</v>
      </c>
      <c r="G173" s="143">
        <f>VLOOKUP($A173,'Data shares'!$C:$FA,127)*100</f>
        <v>-18.670000000000002</v>
      </c>
      <c r="H173" s="103">
        <f>VLOOKUP($A173,'OI(Volume)'!$A$7:$O$427,8)</f>
        <v>523250</v>
      </c>
      <c r="I173" s="103">
        <f>VLOOKUP($A173,'OI(Volume)'!$A$7:$O$427,9)</f>
        <v>62675</v>
      </c>
      <c r="J173" s="103">
        <f>VLOOKUP($A173,'OI(Volume)'!$A$7:$O$427,11)</f>
        <v>296700</v>
      </c>
      <c r="K173" s="103">
        <f>VLOOKUP($A173,'OI(Volume)'!$A$7:$O$427,12)</f>
        <v>66125</v>
      </c>
      <c r="L173" s="103">
        <f>VLOOKUP($A173,'OI(Value)'!$A$7:$O$306,8,0)</f>
        <v>45</v>
      </c>
      <c r="M173" s="103">
        <f>VLOOKUP($A173,'OI(Value)'!$A$7:$O$306,9,0)</f>
        <v>5</v>
      </c>
      <c r="N173" s="103">
        <f>VLOOKUP($A173,'OI(Value)'!$A$7:$O$306,11,0)</f>
        <v>25</v>
      </c>
      <c r="O173" s="103">
        <f>VLOOKUP($A173,'OI(Value)'!$A$7:$O$306,12,0)</f>
        <v>6</v>
      </c>
    </row>
    <row r="174" spans="1:19" x14ac:dyDescent="0.25">
      <c r="A174" s="105" t="str">
        <f>'Data shares'!C169</f>
        <v>PRESTIGE</v>
      </c>
      <c r="B174" s="143">
        <f>VLOOKUP($A174,'Data shares'!$C:$FA,118)</f>
        <v>1.0900000000000001</v>
      </c>
      <c r="C174" s="143">
        <f>VLOOKUP($A174,'Data shares'!$C:$FA,119)</f>
        <v>1.06</v>
      </c>
      <c r="D174" s="143">
        <f>VLOOKUP($A174,'Data shares'!$C:$FA,121)*100</f>
        <v>2.83</v>
      </c>
      <c r="E174" s="143">
        <f>VLOOKUP($A174,'Data shares'!$C:$FA,124)</f>
        <v>0.35</v>
      </c>
      <c r="F174" s="143">
        <f>VLOOKUP($A174,'Data shares'!$C:$FA,125)</f>
        <v>0.48</v>
      </c>
      <c r="G174" s="143">
        <f>VLOOKUP($A174,'Data shares'!$C:$FA,127)*100</f>
        <v>-27.08</v>
      </c>
      <c r="H174" s="103">
        <f>VLOOKUP($A174,'OI(Volume)'!$A$7:$O$427,8)</f>
        <v>597150</v>
      </c>
      <c r="I174" s="103">
        <f>VLOOKUP($A174,'OI(Volume)'!$A$7:$O$427,9)</f>
        <v>22500</v>
      </c>
      <c r="J174" s="103">
        <f>VLOOKUP($A174,'OI(Volume)'!$A$7:$O$427,11)</f>
        <v>653850</v>
      </c>
      <c r="K174" s="103">
        <f>VLOOKUP($A174,'OI(Volume)'!$A$7:$O$427,12)</f>
        <v>41850</v>
      </c>
      <c r="L174" s="103">
        <f>VLOOKUP($A174,'OI(Value)'!$A$7:$O$306,8,0)</f>
        <v>96</v>
      </c>
      <c r="M174" s="103">
        <f>VLOOKUP($A174,'OI(Value)'!$A$7:$O$306,9,0)</f>
        <v>4</v>
      </c>
      <c r="N174" s="103">
        <f>VLOOKUP($A174,'OI(Value)'!$A$7:$O$306,11,0)</f>
        <v>106</v>
      </c>
      <c r="O174" s="103">
        <f>VLOOKUP($A174,'OI(Value)'!$A$7:$O$306,12,0)</f>
        <v>7</v>
      </c>
    </row>
    <row r="175" spans="1:19" x14ac:dyDescent="0.25">
      <c r="A175" s="105" t="str">
        <f>'Data shares'!C170</f>
        <v>RBLBANK</v>
      </c>
      <c r="B175" s="143">
        <f>VLOOKUP($A175,'Data shares'!$C:$FA,118)</f>
        <v>0.76</v>
      </c>
      <c r="C175" s="143">
        <f>VLOOKUP($A175,'Data shares'!$C:$FA,119)</f>
        <v>0.81</v>
      </c>
      <c r="D175" s="143">
        <f>VLOOKUP($A175,'Data shares'!$C:$FA,121)*100</f>
        <v>-6.17</v>
      </c>
      <c r="E175" s="143">
        <f>VLOOKUP($A175,'Data shares'!$C:$FA,124)</f>
        <v>0.47</v>
      </c>
      <c r="F175" s="143">
        <f>VLOOKUP($A175,'Data shares'!$C:$FA,125)</f>
        <v>0.53</v>
      </c>
      <c r="G175" s="143">
        <f>VLOOKUP($A175,'Data shares'!$C:$FA,127)*100</f>
        <v>-11.32</v>
      </c>
      <c r="H175" s="103">
        <f>VLOOKUP($A175,'OI(Volume)'!$A$7:$O$427,8)</f>
        <v>13617575</v>
      </c>
      <c r="I175" s="103">
        <f>VLOOKUP($A175,'OI(Volume)'!$A$7:$O$427,9)</f>
        <v>844550</v>
      </c>
      <c r="J175" s="103">
        <f>VLOOKUP($A175,'OI(Volume)'!$A$7:$O$427,11)</f>
        <v>10334625</v>
      </c>
      <c r="K175" s="103">
        <f>VLOOKUP($A175,'OI(Volume)'!$A$7:$O$427,12)</f>
        <v>-19050</v>
      </c>
      <c r="L175" s="103">
        <f>VLOOKUP($A175,'OI(Value)'!$A$7:$O$306,8,0)</f>
        <v>432</v>
      </c>
      <c r="M175" s="103">
        <f>VLOOKUP($A175,'OI(Value)'!$A$7:$O$306,9,0)</f>
        <v>27</v>
      </c>
      <c r="N175" s="103">
        <f>VLOOKUP($A175,'OI(Value)'!$A$7:$O$306,11,0)</f>
        <v>328</v>
      </c>
      <c r="O175" s="103">
        <f>VLOOKUP($A175,'OI(Value)'!$A$7:$O$306,12,0)</f>
        <v>-1</v>
      </c>
    </row>
    <row r="176" spans="1:19" x14ac:dyDescent="0.25">
      <c r="A176" s="105" t="str">
        <f>'Data shares'!C171</f>
        <v>RECLTD</v>
      </c>
      <c r="B176" s="143">
        <f>VLOOKUP($A176,'Data shares'!$C:$FA,118)</f>
        <v>0.74</v>
      </c>
      <c r="C176" s="143">
        <f>VLOOKUP($A176,'Data shares'!$C:$FA,119)</f>
        <v>0.76</v>
      </c>
      <c r="D176" s="143">
        <f>VLOOKUP($A176,'Data shares'!$C:$FA,121)*100</f>
        <v>-2.63</v>
      </c>
      <c r="E176" s="143">
        <f>VLOOKUP($A176,'Data shares'!$C:$FA,124)</f>
        <v>0.26</v>
      </c>
      <c r="F176" s="143">
        <f>VLOOKUP($A176,'Data shares'!$C:$FA,125)</f>
        <v>0.39</v>
      </c>
      <c r="G176" s="143">
        <f>VLOOKUP($A176,'Data shares'!$C:$FA,127)*100</f>
        <v>-33.33</v>
      </c>
      <c r="H176" s="103">
        <f>VLOOKUP($A176,'OI(Volume)'!$A$7:$O$427,8)</f>
        <v>32664800</v>
      </c>
      <c r="I176" s="103">
        <f>VLOOKUP($A176,'OI(Volume)'!$A$7:$O$427,9)</f>
        <v>4128600</v>
      </c>
      <c r="J176" s="103">
        <f>VLOOKUP($A176,'OI(Volume)'!$A$7:$O$427,11)</f>
        <v>24017000</v>
      </c>
      <c r="K176" s="103">
        <f>VLOOKUP($A176,'OI(Volume)'!$A$7:$O$427,12)</f>
        <v>2314200</v>
      </c>
      <c r="L176" s="103">
        <f>VLOOKUP($A176,'OI(Value)'!$A$7:$O$306,8,0)</f>
        <v>1204</v>
      </c>
      <c r="M176" s="103">
        <f>VLOOKUP($A176,'OI(Value)'!$A$7:$O$306,9,0)</f>
        <v>152</v>
      </c>
      <c r="N176" s="103">
        <f>VLOOKUP($A176,'OI(Value)'!$A$7:$O$306,11,0)</f>
        <v>885</v>
      </c>
      <c r="O176" s="103">
        <f>VLOOKUP($A176,'OI(Value)'!$A$7:$O$306,12,0)</f>
        <v>85</v>
      </c>
    </row>
    <row r="177" spans="1:15" x14ac:dyDescent="0.25">
      <c r="A177" s="105" t="str">
        <f>'Data shares'!C172</f>
        <v>RELIANCE</v>
      </c>
      <c r="B177" s="143">
        <f>VLOOKUP($A177,'Data shares'!$C:$FA,118)</f>
        <v>0.62</v>
      </c>
      <c r="C177" s="143">
        <f>VLOOKUP($A177,'Data shares'!$C:$FA,119)</f>
        <v>0.7</v>
      </c>
      <c r="D177" s="143">
        <f>VLOOKUP($A177,'Data shares'!$C:$FA,121)*100</f>
        <v>-11.43</v>
      </c>
      <c r="E177" s="143">
        <f>VLOOKUP($A177,'Data shares'!$C:$FA,124)</f>
        <v>0.47</v>
      </c>
      <c r="F177" s="143">
        <f>VLOOKUP($A177,'Data shares'!$C:$FA,125)</f>
        <v>0.54</v>
      </c>
      <c r="G177" s="143">
        <f>VLOOKUP($A177,'Data shares'!$C:$FA,127)*100</f>
        <v>-12.959999999999999</v>
      </c>
      <c r="H177" s="103">
        <f>VLOOKUP($A177,'OI(Volume)'!$A$7:$O$427,8)</f>
        <v>27750500</v>
      </c>
      <c r="I177" s="103">
        <f>VLOOKUP($A177,'OI(Volume)'!$A$7:$O$427,9)</f>
        <v>4306000</v>
      </c>
      <c r="J177" s="103">
        <f>VLOOKUP($A177,'OI(Volume)'!$A$7:$O$427,11)</f>
        <v>17258500</v>
      </c>
      <c r="K177" s="103">
        <f>VLOOKUP($A177,'OI(Volume)'!$A$7:$O$427,12)</f>
        <v>787000</v>
      </c>
      <c r="L177" s="103">
        <f>VLOOKUP($A177,'OI(Value)'!$A$7:$O$306,8,0)</f>
        <v>4396</v>
      </c>
      <c r="M177" s="103">
        <f>VLOOKUP($A177,'OI(Value)'!$A$7:$O$306,9,0)</f>
        <v>682</v>
      </c>
      <c r="N177" s="103">
        <f>VLOOKUP($A177,'OI(Value)'!$A$7:$O$306,11,0)</f>
        <v>2734</v>
      </c>
      <c r="O177" s="103">
        <f>VLOOKUP($A177,'OI(Value)'!$A$7:$O$306,12,0)</f>
        <v>125</v>
      </c>
    </row>
    <row r="178" spans="1:15" x14ac:dyDescent="0.25">
      <c r="A178" s="105" t="str">
        <f>'Data shares'!C173</f>
        <v>RVNL</v>
      </c>
      <c r="B178" s="143">
        <f>VLOOKUP($A178,'Data shares'!$C:$FA,118)</f>
        <v>0.35</v>
      </c>
      <c r="C178" s="143">
        <f>VLOOKUP($A178,'Data shares'!$C:$FA,119)</f>
        <v>0.35</v>
      </c>
      <c r="D178" s="143">
        <f>VLOOKUP($A178,'Data shares'!$C:$FA,121)*100</f>
        <v>0</v>
      </c>
      <c r="E178" s="143">
        <f>VLOOKUP($A178,'Data shares'!$C:$FA,124)</f>
        <v>0.26</v>
      </c>
      <c r="F178" s="143">
        <f>VLOOKUP($A178,'Data shares'!$C:$FA,125)</f>
        <v>0.28999999999999998</v>
      </c>
      <c r="G178" s="143">
        <f>VLOOKUP($A178,'Data shares'!$C:$FA,127)*100</f>
        <v>-10.34</v>
      </c>
      <c r="H178" s="103">
        <f>VLOOKUP($A178,'OI(Volume)'!$A$7:$O$427,8)</f>
        <v>41161275</v>
      </c>
      <c r="I178" s="103">
        <f>VLOOKUP($A178,'OI(Volume)'!$A$7:$O$427,9)</f>
        <v>-88450</v>
      </c>
      <c r="J178" s="103">
        <f>VLOOKUP($A178,'OI(Volume)'!$A$7:$O$427,11)</f>
        <v>14478350</v>
      </c>
      <c r="K178" s="103">
        <f>VLOOKUP($A178,'OI(Volume)'!$A$7:$O$427,12)</f>
        <v>129625</v>
      </c>
      <c r="L178" s="103">
        <f>VLOOKUP($A178,'OI(Value)'!$A$7:$O$306,8,0)</f>
        <v>1472</v>
      </c>
      <c r="M178" s="103">
        <f>VLOOKUP($A178,'OI(Value)'!$A$7:$O$306,9,0)</f>
        <v>-3</v>
      </c>
      <c r="N178" s="103">
        <f>VLOOKUP($A178,'OI(Value)'!$A$7:$O$306,11,0)</f>
        <v>518</v>
      </c>
      <c r="O178" s="103">
        <f>VLOOKUP($A178,'OI(Value)'!$A$7:$O$306,12,0)</f>
        <v>5</v>
      </c>
    </row>
    <row r="179" spans="1:15" x14ac:dyDescent="0.25">
      <c r="A179" s="105" t="str">
        <f>'Data shares'!C174</f>
        <v>SAIL</v>
      </c>
      <c r="B179" s="143">
        <f>VLOOKUP($A179,'Data shares'!$C:$FA,118)</f>
        <v>0.78</v>
      </c>
      <c r="C179" s="143">
        <f>VLOOKUP($A179,'Data shares'!$C:$FA,119)</f>
        <v>0.77</v>
      </c>
      <c r="D179" s="143">
        <f>VLOOKUP($A179,'Data shares'!$C:$FA,121)*100</f>
        <v>1.3</v>
      </c>
      <c r="E179" s="143">
        <f>VLOOKUP($A179,'Data shares'!$C:$FA,124)</f>
        <v>0.63</v>
      </c>
      <c r="F179" s="143">
        <f>VLOOKUP($A179,'Data shares'!$C:$FA,125)</f>
        <v>0.56999999999999995</v>
      </c>
      <c r="G179" s="143">
        <f>VLOOKUP($A179,'Data shares'!$C:$FA,127)*100</f>
        <v>10.530000000000001</v>
      </c>
      <c r="H179" s="103">
        <f>VLOOKUP($A179,'OI(Volume)'!$A$7:$O$427,8)</f>
        <v>52950200</v>
      </c>
      <c r="I179" s="103">
        <f>VLOOKUP($A179,'OI(Volume)'!$A$7:$O$427,9)</f>
        <v>1367700</v>
      </c>
      <c r="J179" s="103">
        <f>VLOOKUP($A179,'OI(Volume)'!$A$7:$O$427,11)</f>
        <v>41327100</v>
      </c>
      <c r="K179" s="103">
        <f>VLOOKUP($A179,'OI(Volume)'!$A$7:$O$427,12)</f>
        <v>1447600</v>
      </c>
      <c r="L179" s="103">
        <f>VLOOKUP($A179,'OI(Value)'!$A$7:$O$306,8,0)</f>
        <v>791</v>
      </c>
      <c r="M179" s="103">
        <f>VLOOKUP($A179,'OI(Value)'!$A$7:$O$306,9,0)</f>
        <v>20</v>
      </c>
      <c r="N179" s="103">
        <f>VLOOKUP($A179,'OI(Value)'!$A$7:$O$306,11,0)</f>
        <v>617</v>
      </c>
      <c r="O179" s="103">
        <f>VLOOKUP($A179,'OI(Value)'!$A$7:$O$306,12,0)</f>
        <v>22</v>
      </c>
    </row>
    <row r="180" spans="1:15" x14ac:dyDescent="0.25">
      <c r="A180" s="105" t="str">
        <f>'Data shares'!C175</f>
        <v>SAMMAANCAP</v>
      </c>
      <c r="B180" s="143">
        <f>VLOOKUP($A180,'Data shares'!$C:$FA,118)</f>
        <v>0.75</v>
      </c>
      <c r="C180" s="143">
        <f>VLOOKUP($A180,'Data shares'!$C:$FA,119)</f>
        <v>0.73</v>
      </c>
      <c r="D180" s="143">
        <f>VLOOKUP($A180,'Data shares'!$C:$FA,121)*100</f>
        <v>2.74</v>
      </c>
      <c r="E180" s="143">
        <f>VLOOKUP($A180,'Data shares'!$C:$FA,124)</f>
        <v>0.86</v>
      </c>
      <c r="F180" s="143">
        <f>VLOOKUP($A180,'Data shares'!$C:$FA,125)</f>
        <v>0.44</v>
      </c>
      <c r="G180" s="143">
        <f>VLOOKUP($A180,'Data shares'!$C:$FA,127)*100</f>
        <v>95.45</v>
      </c>
      <c r="H180" s="103">
        <f>VLOOKUP($A180,'OI(Volume)'!$A$7:$O$427,8)</f>
        <v>25542000</v>
      </c>
      <c r="I180" s="103">
        <f>VLOOKUP($A180,'OI(Volume)'!$A$7:$O$427,9)</f>
        <v>3366900</v>
      </c>
      <c r="J180" s="103">
        <f>VLOOKUP($A180,'OI(Volume)'!$A$7:$O$427,11)</f>
        <v>19147900</v>
      </c>
      <c r="K180" s="103">
        <f>VLOOKUP($A180,'OI(Volume)'!$A$7:$O$427,12)</f>
        <v>2859500</v>
      </c>
      <c r="L180" s="103">
        <f>VLOOKUP($A180,'OI(Value)'!$A$7:$O$306,8,0)</f>
        <v>371</v>
      </c>
      <c r="M180" s="103">
        <f>VLOOKUP($A180,'OI(Value)'!$A$7:$O$306,9,0)</f>
        <v>49</v>
      </c>
      <c r="N180" s="103">
        <f>VLOOKUP($A180,'OI(Value)'!$A$7:$O$306,11,0)</f>
        <v>278</v>
      </c>
      <c r="O180" s="103">
        <f>VLOOKUP($A180,'OI(Value)'!$A$7:$O$306,12,0)</f>
        <v>42</v>
      </c>
    </row>
    <row r="181" spans="1:15" x14ac:dyDescent="0.25">
      <c r="A181" s="105" t="str">
        <f>'Data shares'!C176</f>
        <v>SBICARD</v>
      </c>
      <c r="B181" s="143">
        <f>VLOOKUP($A181,'Data shares'!$C:$FA,118)</f>
        <v>0.8</v>
      </c>
      <c r="C181" s="143">
        <f>VLOOKUP($A181,'Data shares'!$C:$FA,119)</f>
        <v>0.78</v>
      </c>
      <c r="D181" s="143">
        <f>VLOOKUP($A181,'Data shares'!$C:$FA,121)*100</f>
        <v>2.56</v>
      </c>
      <c r="E181" s="143">
        <f>VLOOKUP($A181,'Data shares'!$C:$FA,124)</f>
        <v>0.65</v>
      </c>
      <c r="F181" s="143">
        <f>VLOOKUP($A181,'Data shares'!$C:$FA,125)</f>
        <v>0.54</v>
      </c>
      <c r="G181" s="143">
        <f>VLOOKUP($A181,'Data shares'!$C:$FA,127)*100</f>
        <v>20.369999999999997</v>
      </c>
      <c r="H181" s="103">
        <f>VLOOKUP($A181,'OI(Volume)'!$A$7:$O$427,8)</f>
        <v>3603200</v>
      </c>
      <c r="I181" s="103">
        <f>VLOOKUP($A181,'OI(Volume)'!$A$7:$O$427,9)</f>
        <v>253600</v>
      </c>
      <c r="J181" s="103">
        <f>VLOOKUP($A181,'OI(Volume)'!$A$7:$O$427,11)</f>
        <v>2870400</v>
      </c>
      <c r="K181" s="103">
        <f>VLOOKUP($A181,'OI(Volume)'!$A$7:$O$427,12)</f>
        <v>268800</v>
      </c>
      <c r="L181" s="103">
        <f>VLOOKUP($A181,'OI(Value)'!$A$7:$O$306,8,0)</f>
        <v>311</v>
      </c>
      <c r="M181" s="103">
        <f>VLOOKUP($A181,'OI(Value)'!$A$7:$O$306,9,0)</f>
        <v>22</v>
      </c>
      <c r="N181" s="103">
        <f>VLOOKUP($A181,'OI(Value)'!$A$7:$O$306,11,0)</f>
        <v>247</v>
      </c>
      <c r="O181" s="103">
        <f>VLOOKUP($A181,'OI(Value)'!$A$7:$O$306,12,0)</f>
        <v>23</v>
      </c>
    </row>
    <row r="182" spans="1:15" x14ac:dyDescent="0.25">
      <c r="A182" s="105" t="str">
        <f>'Data shares'!C177</f>
        <v>SBILIFE</v>
      </c>
      <c r="B182" s="143">
        <f>VLOOKUP($A182,'Data shares'!$C:$FA,118)</f>
        <v>0.56000000000000005</v>
      </c>
      <c r="C182" s="143">
        <f>VLOOKUP($A182,'Data shares'!$C:$FA,119)</f>
        <v>0.5</v>
      </c>
      <c r="D182" s="143">
        <f>VLOOKUP($A182,'Data shares'!$C:$FA,121)*100</f>
        <v>12</v>
      </c>
      <c r="E182" s="143">
        <f>VLOOKUP($A182,'Data shares'!$C:$FA,124)</f>
        <v>0.56000000000000005</v>
      </c>
      <c r="F182" s="143">
        <f>VLOOKUP($A182,'Data shares'!$C:$FA,125)</f>
        <v>0.31</v>
      </c>
      <c r="G182" s="143">
        <f>VLOOKUP($A182,'Data shares'!$C:$FA,127)*100</f>
        <v>80.650000000000006</v>
      </c>
      <c r="H182" s="103">
        <f>VLOOKUP($A182,'OI(Volume)'!$A$7:$O$427,8)</f>
        <v>1728375</v>
      </c>
      <c r="I182" s="103">
        <f>VLOOKUP($A182,'OI(Volume)'!$A$7:$O$427,9)</f>
        <v>245625</v>
      </c>
      <c r="J182" s="103">
        <f>VLOOKUP($A182,'OI(Volume)'!$A$7:$O$427,11)</f>
        <v>965625</v>
      </c>
      <c r="K182" s="103">
        <f>VLOOKUP($A182,'OI(Volume)'!$A$7:$O$427,12)</f>
        <v>221625</v>
      </c>
      <c r="L182" s="103">
        <f>VLOOKUP($A182,'OI(Value)'!$A$7:$O$306,8,0)</f>
        <v>355</v>
      </c>
      <c r="M182" s="103">
        <f>VLOOKUP($A182,'OI(Value)'!$A$7:$O$306,9,0)</f>
        <v>50</v>
      </c>
      <c r="N182" s="103">
        <f>VLOOKUP($A182,'OI(Value)'!$A$7:$O$306,11,0)</f>
        <v>198</v>
      </c>
      <c r="O182" s="103">
        <f>VLOOKUP($A182,'OI(Value)'!$A$7:$O$306,12,0)</f>
        <v>46</v>
      </c>
    </row>
    <row r="183" spans="1:15" x14ac:dyDescent="0.25">
      <c r="A183" s="105" t="str">
        <f>'Data shares'!C178</f>
        <v>SBIN</v>
      </c>
      <c r="B183" s="143">
        <f>VLOOKUP($A183,'Data shares'!$C:$FA,118)</f>
        <v>0.89</v>
      </c>
      <c r="C183" s="143">
        <f>VLOOKUP($A183,'Data shares'!$C:$FA,119)</f>
        <v>0.87</v>
      </c>
      <c r="D183" s="143">
        <f>VLOOKUP($A183,'Data shares'!$C:$FA,121)*100</f>
        <v>2.2999999999999998</v>
      </c>
      <c r="E183" s="143">
        <f>VLOOKUP($A183,'Data shares'!$C:$FA,124)</f>
        <v>0.59</v>
      </c>
      <c r="F183" s="143">
        <f>VLOOKUP($A183,'Data shares'!$C:$FA,125)</f>
        <v>0.67</v>
      </c>
      <c r="G183" s="143">
        <f>VLOOKUP($A183,'Data shares'!$C:$FA,127)*100</f>
        <v>-11.940000000000001</v>
      </c>
      <c r="H183" s="103">
        <f>VLOOKUP($A183,'OI(Volume)'!$A$7:$O$427,8)</f>
        <v>19868250</v>
      </c>
      <c r="I183" s="103">
        <f>VLOOKUP($A183,'OI(Volume)'!$A$7:$O$427,9)</f>
        <v>1508250</v>
      </c>
      <c r="J183" s="103">
        <f>VLOOKUP($A183,'OI(Volume)'!$A$7:$O$427,11)</f>
        <v>17615250</v>
      </c>
      <c r="K183" s="103">
        <f>VLOOKUP($A183,'OI(Volume)'!$A$7:$O$427,12)</f>
        <v>1662750</v>
      </c>
      <c r="L183" s="103">
        <f>VLOOKUP($A183,'OI(Value)'!$A$7:$O$306,8,0)</f>
        <v>1965</v>
      </c>
      <c r="M183" s="103">
        <f>VLOOKUP($A183,'OI(Value)'!$A$7:$O$306,9,0)</f>
        <v>149</v>
      </c>
      <c r="N183" s="103">
        <f>VLOOKUP($A183,'OI(Value)'!$A$7:$O$306,11,0)</f>
        <v>1742</v>
      </c>
      <c r="O183" s="103">
        <f>VLOOKUP($A183,'OI(Value)'!$A$7:$O$306,12,0)</f>
        <v>164</v>
      </c>
    </row>
    <row r="184" spans="1:15" x14ac:dyDescent="0.25">
      <c r="A184" s="105" t="str">
        <f>'Data shares'!C179</f>
        <v>SHREECEM</v>
      </c>
      <c r="B184" s="143">
        <f>VLOOKUP($A184,'Data shares'!$C:$FA,118)</f>
        <v>0.85</v>
      </c>
      <c r="C184" s="143">
        <f>VLOOKUP($A184,'Data shares'!$C:$FA,119)</f>
        <v>0.93</v>
      </c>
      <c r="D184" s="143">
        <f>VLOOKUP($A184,'Data shares'!$C:$FA,121)*100</f>
        <v>-8.6</v>
      </c>
      <c r="E184" s="143">
        <f>VLOOKUP($A184,'Data shares'!$C:$FA,124)</f>
        <v>0.73</v>
      </c>
      <c r="F184" s="143">
        <f>VLOOKUP($A184,'Data shares'!$C:$FA,125)</f>
        <v>0.45</v>
      </c>
      <c r="G184" s="143">
        <f>VLOOKUP($A184,'Data shares'!$C:$FA,127)*100</f>
        <v>62.22</v>
      </c>
      <c r="H184" s="103">
        <f>VLOOKUP($A184,'OI(Volume)'!$A$7:$O$427,8)</f>
        <v>25775</v>
      </c>
      <c r="I184" s="103">
        <f>VLOOKUP($A184,'OI(Volume)'!$A$7:$O$427,9)</f>
        <v>4575</v>
      </c>
      <c r="J184" s="103">
        <f>VLOOKUP($A184,'OI(Volume)'!$A$7:$O$427,11)</f>
        <v>22025</v>
      </c>
      <c r="K184" s="103">
        <f>VLOOKUP($A184,'OI(Volume)'!$A$7:$O$427,12)</f>
        <v>2275</v>
      </c>
      <c r="L184" s="103">
        <f>VLOOKUP($A184,'OI(Value)'!$A$7:$O$306,8,0)</f>
        <v>70</v>
      </c>
      <c r="M184" s="103">
        <f>VLOOKUP($A184,'OI(Value)'!$A$7:$O$306,9,0)</f>
        <v>12</v>
      </c>
      <c r="N184" s="103">
        <f>VLOOKUP($A184,'OI(Value)'!$A$7:$O$306,11,0)</f>
        <v>59</v>
      </c>
      <c r="O184" s="103">
        <f>VLOOKUP($A184,'OI(Value)'!$A$7:$O$306,12,0)</f>
        <v>6</v>
      </c>
    </row>
    <row r="185" spans="1:15" x14ac:dyDescent="0.25">
      <c r="A185" s="105" t="str">
        <f>'Data shares'!C180</f>
        <v>SHRIRAMFIN</v>
      </c>
      <c r="B185" s="143">
        <f>VLOOKUP($A185,'Data shares'!$C:$FA,118)</f>
        <v>0.89</v>
      </c>
      <c r="C185" s="143">
        <f>VLOOKUP($A185,'Data shares'!$C:$FA,119)</f>
        <v>0.84</v>
      </c>
      <c r="D185" s="143">
        <f>VLOOKUP($A185,'Data shares'!$C:$FA,121)*100</f>
        <v>5.9499999999999993</v>
      </c>
      <c r="E185" s="143">
        <f>VLOOKUP($A185,'Data shares'!$C:$FA,124)</f>
        <v>0.51</v>
      </c>
      <c r="F185" s="143">
        <f>VLOOKUP($A185,'Data shares'!$C:$FA,125)</f>
        <v>0.49</v>
      </c>
      <c r="G185" s="143">
        <f>VLOOKUP($A185,'Data shares'!$C:$FA,127)*100</f>
        <v>4.08</v>
      </c>
      <c r="H185" s="103">
        <f>VLOOKUP($A185,'OI(Volume)'!$A$7:$O$427,8)</f>
        <v>13672725</v>
      </c>
      <c r="I185" s="103">
        <f>VLOOKUP($A185,'OI(Volume)'!$A$7:$O$427,9)</f>
        <v>2154075</v>
      </c>
      <c r="J185" s="103">
        <f>VLOOKUP($A185,'OI(Volume)'!$A$7:$O$427,11)</f>
        <v>12156375</v>
      </c>
      <c r="K185" s="103">
        <f>VLOOKUP($A185,'OI(Volume)'!$A$7:$O$427,12)</f>
        <v>2456850</v>
      </c>
      <c r="L185" s="103">
        <f>VLOOKUP($A185,'OI(Value)'!$A$7:$O$306,8,0)</f>
        <v>1399</v>
      </c>
      <c r="M185" s="103">
        <f>VLOOKUP($A185,'OI(Value)'!$A$7:$O$306,9,0)</f>
        <v>220</v>
      </c>
      <c r="N185" s="103">
        <f>VLOOKUP($A185,'OI(Value)'!$A$7:$O$306,11,0)</f>
        <v>1244</v>
      </c>
      <c r="O185" s="103">
        <f>VLOOKUP($A185,'OI(Value)'!$A$7:$O$306,12,0)</f>
        <v>251</v>
      </c>
    </row>
    <row r="186" spans="1:15" x14ac:dyDescent="0.25">
      <c r="A186" s="105" t="str">
        <f>'Data shares'!C181</f>
        <v>SIEMENS</v>
      </c>
      <c r="B186" s="143">
        <f>VLOOKUP($A186,'Data shares'!$C:$FA,118)</f>
        <v>0.55000000000000004</v>
      </c>
      <c r="C186" s="143">
        <f>VLOOKUP($A186,'Data shares'!$C:$FA,119)</f>
        <v>0.54</v>
      </c>
      <c r="D186" s="143">
        <f>VLOOKUP($A186,'Data shares'!$C:$FA,121)*100</f>
        <v>1.8499999999999999</v>
      </c>
      <c r="E186" s="143">
        <f>VLOOKUP($A186,'Data shares'!$C:$FA,124)</f>
        <v>0.38</v>
      </c>
      <c r="F186" s="143">
        <f>VLOOKUP($A186,'Data shares'!$C:$FA,125)</f>
        <v>0.35</v>
      </c>
      <c r="G186" s="143">
        <f>VLOOKUP($A186,'Data shares'!$C:$FA,127)*100</f>
        <v>8.57</v>
      </c>
      <c r="H186" s="103">
        <f>VLOOKUP($A186,'OI(Volume)'!$A$7:$O$427,8)</f>
        <v>744975</v>
      </c>
      <c r="I186" s="103">
        <f>VLOOKUP($A186,'OI(Volume)'!$A$7:$O$427,9)</f>
        <v>-2275</v>
      </c>
      <c r="J186" s="103">
        <f>VLOOKUP($A186,'OI(Volume)'!$A$7:$O$427,11)</f>
        <v>409150</v>
      </c>
      <c r="K186" s="103">
        <f>VLOOKUP($A186,'OI(Volume)'!$A$7:$O$427,12)</f>
        <v>5075</v>
      </c>
      <c r="L186" s="103">
        <f>VLOOKUP($A186,'OI(Value)'!$A$7:$O$306,8,0)</f>
        <v>232</v>
      </c>
      <c r="M186" s="103">
        <f>VLOOKUP($A186,'OI(Value)'!$A$7:$O$306,9,0)</f>
        <v>-1</v>
      </c>
      <c r="N186" s="103">
        <f>VLOOKUP($A186,'OI(Value)'!$A$7:$O$306,11,0)</f>
        <v>127</v>
      </c>
      <c r="O186" s="103">
        <f>VLOOKUP($A186,'OI(Value)'!$A$7:$O$306,12,0)</f>
        <v>2</v>
      </c>
    </row>
    <row r="187" spans="1:15" x14ac:dyDescent="0.25">
      <c r="A187" s="105" t="str">
        <f>'Data shares'!C182</f>
        <v>SOLARINDS</v>
      </c>
      <c r="B187" s="143">
        <f>VLOOKUP($A187,'Data shares'!$C:$FA,118)</f>
        <v>0.56999999999999995</v>
      </c>
      <c r="C187" s="143">
        <f>VLOOKUP($A187,'Data shares'!$C:$FA,119)</f>
        <v>0.62</v>
      </c>
      <c r="D187" s="143">
        <f>VLOOKUP($A187,'Data shares'!$C:$FA,121)*100</f>
        <v>-8.06</v>
      </c>
      <c r="E187" s="143">
        <f>VLOOKUP($A187,'Data shares'!$C:$FA,124)</f>
        <v>0.51</v>
      </c>
      <c r="F187" s="143">
        <f>VLOOKUP($A187,'Data shares'!$C:$FA,125)</f>
        <v>0.28999999999999998</v>
      </c>
      <c r="G187" s="143">
        <f>VLOOKUP($A187,'Data shares'!$C:$FA,127)*100</f>
        <v>75.86</v>
      </c>
      <c r="H187" s="103">
        <f>VLOOKUP($A187,'OI(Volume)'!$A$7:$O$427,8)</f>
        <v>397850</v>
      </c>
      <c r="I187" s="103">
        <f>VLOOKUP($A187,'OI(Volume)'!$A$7:$O$427,9)</f>
        <v>35350</v>
      </c>
      <c r="J187" s="103">
        <f>VLOOKUP($A187,'OI(Volume)'!$A$7:$O$427,11)</f>
        <v>226200</v>
      </c>
      <c r="K187" s="103">
        <f>VLOOKUP($A187,'OI(Volume)'!$A$7:$O$427,12)</f>
        <v>1050</v>
      </c>
      <c r="L187" s="103">
        <f>VLOOKUP($A187,'OI(Value)'!$A$7:$O$306,8,0)</f>
        <v>486</v>
      </c>
      <c r="M187" s="103">
        <f>VLOOKUP($A187,'OI(Value)'!$A$7:$O$306,9,0)</f>
        <v>43</v>
      </c>
      <c r="N187" s="103">
        <f>VLOOKUP($A187,'OI(Value)'!$A$7:$O$306,11,0)</f>
        <v>276</v>
      </c>
      <c r="O187" s="103">
        <f>VLOOKUP($A187,'OI(Value)'!$A$7:$O$306,12,0)</f>
        <v>1</v>
      </c>
    </row>
    <row r="188" spans="1:15" x14ac:dyDescent="0.25">
      <c r="A188" s="105" t="str">
        <f>'Data shares'!C183</f>
        <v>SONACOMS</v>
      </c>
      <c r="B188" s="143">
        <f>VLOOKUP($A188,'Data shares'!$C:$FA,118)</f>
        <v>0.68</v>
      </c>
      <c r="C188" s="143">
        <f>VLOOKUP($A188,'Data shares'!$C:$FA,119)</f>
        <v>0.75</v>
      </c>
      <c r="D188" s="143">
        <f>VLOOKUP($A188,'Data shares'!$C:$FA,121)*100</f>
        <v>-9.33</v>
      </c>
      <c r="E188" s="143">
        <f>VLOOKUP($A188,'Data shares'!$C:$FA,124)</f>
        <v>0.36</v>
      </c>
      <c r="F188" s="143">
        <f>VLOOKUP($A188,'Data shares'!$C:$FA,125)</f>
        <v>0.48</v>
      </c>
      <c r="G188" s="143">
        <f>VLOOKUP($A188,'Data shares'!$C:$FA,127)*100</f>
        <v>-25</v>
      </c>
      <c r="H188" s="103">
        <f>VLOOKUP($A188,'OI(Volume)'!$A$7:$O$427,8)</f>
        <v>1762775</v>
      </c>
      <c r="I188" s="103">
        <f>VLOOKUP($A188,'OI(Volume)'!$A$7:$O$427,9)</f>
        <v>253575</v>
      </c>
      <c r="J188" s="103">
        <f>VLOOKUP($A188,'OI(Volume)'!$A$7:$O$427,11)</f>
        <v>1195600</v>
      </c>
      <c r="K188" s="103">
        <f>VLOOKUP($A188,'OI(Volume)'!$A$7:$O$427,12)</f>
        <v>60025</v>
      </c>
      <c r="L188" s="103">
        <f>VLOOKUP($A188,'OI(Value)'!$A$7:$O$306,8,0)</f>
        <v>84</v>
      </c>
      <c r="M188" s="103">
        <f>VLOOKUP($A188,'OI(Value)'!$A$7:$O$306,9,0)</f>
        <v>12</v>
      </c>
      <c r="N188" s="103">
        <f>VLOOKUP($A188,'OI(Value)'!$A$7:$O$306,11,0)</f>
        <v>57</v>
      </c>
      <c r="O188" s="103">
        <f>VLOOKUP($A188,'OI(Value)'!$A$7:$O$306,12,0)</f>
        <v>3</v>
      </c>
    </row>
    <row r="189" spans="1:15" x14ac:dyDescent="0.25">
      <c r="A189" s="105" t="str">
        <f>'Data shares'!C184</f>
        <v>SRF</v>
      </c>
      <c r="B189" s="143">
        <f>VLOOKUP($A189,'Data shares'!$C:$FA,118)</f>
        <v>0.8</v>
      </c>
      <c r="C189" s="143">
        <f>VLOOKUP($A189,'Data shares'!$C:$FA,119)</f>
        <v>0.72</v>
      </c>
      <c r="D189" s="143">
        <f>VLOOKUP($A189,'Data shares'!$C:$FA,121)*100</f>
        <v>11.110000000000001</v>
      </c>
      <c r="E189" s="143">
        <f>VLOOKUP($A189,'Data shares'!$C:$FA,124)</f>
        <v>0.63</v>
      </c>
      <c r="F189" s="143">
        <f>VLOOKUP($A189,'Data shares'!$C:$FA,125)</f>
        <v>0.4</v>
      </c>
      <c r="G189" s="143">
        <f>VLOOKUP($A189,'Data shares'!$C:$FA,127)*100</f>
        <v>57.499999999999993</v>
      </c>
      <c r="H189" s="103">
        <f>VLOOKUP($A189,'OI(Volume)'!$A$7:$O$427,8)</f>
        <v>1762775</v>
      </c>
      <c r="I189" s="103">
        <f>VLOOKUP($A189,'OI(Volume)'!$A$7:$O$427,9)</f>
        <v>253575</v>
      </c>
      <c r="J189" s="103">
        <f>VLOOKUP($A189,'OI(Volume)'!$A$7:$O$427,11)</f>
        <v>1195600</v>
      </c>
      <c r="K189" s="103">
        <f>VLOOKUP($A189,'OI(Volume)'!$A$7:$O$427,12)</f>
        <v>60025</v>
      </c>
      <c r="L189" s="103"/>
      <c r="M189" s="103"/>
      <c r="N189" s="103"/>
      <c r="O189" s="103"/>
    </row>
    <row r="190" spans="1:15" x14ac:dyDescent="0.25">
      <c r="A190" s="105" t="str">
        <f>'Data shares'!C215</f>
        <v>ZYDUSLIFE</v>
      </c>
      <c r="B190" s="143">
        <f>VLOOKUP($A190,'Data shares'!$C:$FA,118)</f>
        <v>0.83</v>
      </c>
      <c r="C190" s="143">
        <f>VLOOKUP($A190,'Data shares'!$C:$FA,119)</f>
        <v>0.82</v>
      </c>
      <c r="D190" s="143">
        <f>VLOOKUP($A190,'Data shares'!$C:$FA,121)*100</f>
        <v>1.22</v>
      </c>
      <c r="E190" s="143">
        <f>VLOOKUP($A190,'Data shares'!$C:$FA,124)</f>
        <v>0.56999999999999995</v>
      </c>
      <c r="F190" s="143">
        <f>VLOOKUP($A190,'Data shares'!$C:$FA,125)</f>
        <v>0.61</v>
      </c>
      <c r="G190" s="143">
        <f>VLOOKUP($A190,'Data shares'!$C:$FA,127)*100</f>
        <v>-6.5600000000000005</v>
      </c>
      <c r="H190" s="103">
        <f>VLOOKUP($A190,'OI(Volume)'!$A$7:$O$427,8)</f>
        <v>0</v>
      </c>
      <c r="I190" s="103">
        <f>VLOOKUP($A190,'OI(Volume)'!$A$7:$O$427,9)</f>
        <v>0</v>
      </c>
      <c r="J190" s="103">
        <f>VLOOKUP($A190,'OI(Volume)'!$A$7:$O$427,11)</f>
        <v>0</v>
      </c>
      <c r="K190" s="103">
        <f>VLOOKUP($A190,'OI(Volume)'!$A$7:$O$427,12)</f>
        <v>0</v>
      </c>
      <c r="L190" s="103">
        <f>VLOOKUP($A190,'OI(Value)'!$A$7:$O$306,8,0)</f>
        <v>250</v>
      </c>
      <c r="M190" s="103">
        <f>VLOOKUP($A190,'OI(Value)'!$A$7:$O$306,9,0)</f>
        <v>26</v>
      </c>
      <c r="N190" s="103">
        <f>VLOOKUP($A190,'OI(Value)'!$A$7:$O$306,11,0)</f>
        <v>207</v>
      </c>
      <c r="O190" s="103">
        <f>VLOOKUP($A190,'OI(Value)'!$A$7:$O$306,12,0)</f>
        <v>24</v>
      </c>
    </row>
    <row r="191" spans="1:15" x14ac:dyDescent="0.25">
      <c r="A191" s="105"/>
      <c r="B191" s="143"/>
      <c r="C191" s="143"/>
      <c r="D191" s="143"/>
      <c r="E191" s="143"/>
      <c r="F191" s="143"/>
      <c r="G191" s="143"/>
      <c r="H191" s="103"/>
      <c r="I191" s="103"/>
      <c r="J191" s="103"/>
      <c r="K191" s="103"/>
      <c r="L191" s="103"/>
      <c r="M191" s="103"/>
      <c r="N191" s="103"/>
      <c r="O191" s="103"/>
    </row>
    <row r="192" spans="1:15" x14ac:dyDescent="0.25">
      <c r="A192" s="126" t="s">
        <v>391</v>
      </c>
      <c r="B192" s="136"/>
      <c r="C192" s="136"/>
      <c r="D192" s="136"/>
      <c r="E192" s="136"/>
      <c r="F192" s="136"/>
      <c r="G192" s="136"/>
      <c r="H192" s="135">
        <f t="shared" ref="H192:O192" si="0">SUM(H7:H191)</f>
        <v>4875489515</v>
      </c>
      <c r="I192" s="135">
        <f t="shared" si="0"/>
        <v>458215265</v>
      </c>
      <c r="J192" s="135">
        <f t="shared" si="0"/>
        <v>3271786279</v>
      </c>
      <c r="K192" s="135">
        <f t="shared" si="0"/>
        <v>391651279</v>
      </c>
      <c r="L192" s="135">
        <f t="shared" si="0"/>
        <v>738910</v>
      </c>
      <c r="M192" s="135">
        <f t="shared" si="0"/>
        <v>138402</v>
      </c>
      <c r="N192" s="135">
        <f t="shared" si="0"/>
        <v>787740</v>
      </c>
      <c r="O192" s="135">
        <f t="shared" si="0"/>
        <v>89995</v>
      </c>
    </row>
    <row r="193" spans="1:15" x14ac:dyDescent="0.25">
      <c r="A193" s="126" t="s">
        <v>415</v>
      </c>
      <c r="B193" s="136"/>
      <c r="C193" s="136"/>
      <c r="D193" s="136"/>
      <c r="E193" s="136"/>
      <c r="F193" s="136"/>
      <c r="G193" s="136"/>
      <c r="H193" s="137">
        <f>H192/10000000</f>
        <v>487.54895149999999</v>
      </c>
      <c r="I193" s="137">
        <f>I192/10000000</f>
        <v>45.821526499999997</v>
      </c>
      <c r="J193" s="137">
        <f>J192/10000000</f>
        <v>327.17862789999998</v>
      </c>
      <c r="K193" s="137">
        <f>K192/10000000</f>
        <v>39.165127900000002</v>
      </c>
      <c r="L193" s="138">
        <f>L192</f>
        <v>738910</v>
      </c>
      <c r="M193" s="138">
        <f>M192</f>
        <v>138402</v>
      </c>
      <c r="N193" s="138">
        <f>N192</f>
        <v>787740</v>
      </c>
      <c r="O193" s="138">
        <f>O192</f>
        <v>89995</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Data Vlaue (Cr)</vt:lpstr>
      <vt:lpstr>Data shares</vt:lpstr>
      <vt:lpstr>NIFTY GRP</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2023-02-10T03:48:31Z</cp:lastPrinted>
  <dcterms:created xsi:type="dcterms:W3CDTF">2020-04-05T11:10:02Z</dcterms:created>
  <dcterms:modified xsi:type="dcterms:W3CDTF">2026-01-02T03:32:56Z</dcterms:modified>
</cp:coreProperties>
</file>